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educationgovuk.sharepoint.com/sites/lvedfe00007/WorkplaceDocuments/Budgeting and Forecasting/2026 Form dev/Workbooks/Final WB's 24.06.26 - Digicomms (version to publish - no CoA)/Workbooks to publish 30.06.26/"/>
    </mc:Choice>
  </mc:AlternateContent>
  <xr:revisionPtr revIDLastSave="35" documentId="8_{75D14DFE-60E9-41EC-A4B2-A780BB6E93F6}" xr6:coauthVersionLast="47" xr6:coauthVersionMax="47" xr10:uidLastSave="{676FAED9-6CB5-441C-8F7E-8DB9B5804027}"/>
  <bookViews>
    <workbookView xWindow="34440" yWindow="-120" windowWidth="38640" windowHeight="21120" tabRatio="885" xr2:uid="{00000000-000D-0000-FFFF-FFFF00000000}"/>
  </bookViews>
  <sheets>
    <sheet name="Version control" sheetId="18" r:id="rId1"/>
    <sheet name="Instructions" sheetId="26" r:id="rId2"/>
    <sheet name="Guidance links" sheetId="21" r:id="rId3"/>
    <sheet name="Index" sheetId="15" r:id="rId4"/>
    <sheet name="Organisation user" sheetId="3" r:id="rId5"/>
    <sheet name="Finance questions" sheetId="17" r:id="rId6"/>
    <sheet name="Prior year BFR download report" sheetId="22" r:id="rId7"/>
    <sheet name="BFR 2026" sheetId="1" r:id="rId8"/>
    <sheet name="Reserve balance details" sheetId="11" r:id="rId9"/>
    <sheet name="Reserve balance questions" sheetId="31" r:id="rId10"/>
    <sheet name="Summary declaration" sheetId="8" r:id="rId11"/>
    <sheet name="Preparer declaration " sheetId="5" r:id="rId12"/>
    <sheet name="Approver declaration" sheetId="6" r:id="rId13"/>
    <sheet name="Min max table" sheetId="7" r:id="rId14"/>
    <sheet name="Validations table" sheetId="4" r:id="rId15"/>
    <sheet name="CoA mapping tables" sheetId="24" r:id="rId16"/>
  </sheets>
  <definedNames>
    <definedName name="_xlnm._FilterDatabase" localSheetId="7" hidden="1">'BFR 2026'!$A$204:$E$204</definedName>
    <definedName name="_xlnm._FilterDatabase" localSheetId="15" hidden="1">'CoA mapping tables'!$A$4:$H$940</definedName>
    <definedName name="_xlnm._FilterDatabase" localSheetId="13" hidden="1">'Min max table'!$A$201:$D$228</definedName>
    <definedName name="_xlnm._FilterDatabase" localSheetId="14" hidden="1">'Validations table'!$A$8:$H$144</definedName>
    <definedName name="_xlnm.Print_Area" localSheetId="2">'Guidance links'!$A$1:$B$33</definedName>
    <definedName name="_xlnm.Print_Area" localSheetId="1">Instructions!$A$1:$B$69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7" i="1" l="1"/>
  <c r="A5" i="22"/>
  <c r="G68" i="1"/>
  <c r="B11" i="7"/>
  <c r="C6" i="5"/>
  <c r="A18" i="6"/>
  <c r="Z19" i="1" l="1"/>
  <c r="C8" i="5"/>
  <c r="D16" i="17"/>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14" i="22"/>
  <c r="A115" i="22"/>
  <c r="A116" i="22"/>
  <c r="A117" i="22"/>
  <c r="A118" i="22"/>
  <c r="A119" i="22"/>
  <c r="A120" i="22"/>
  <c r="A121" i="22"/>
  <c r="A122" i="22"/>
  <c r="A123" i="22"/>
  <c r="A124" i="22"/>
  <c r="A125" i="22"/>
  <c r="A126" i="22"/>
  <c r="A127" i="22"/>
  <c r="A128" i="22"/>
  <c r="A129" i="22"/>
  <c r="A130" i="22"/>
  <c r="A131" i="22"/>
  <c r="A132" i="22"/>
  <c r="A133" i="22"/>
  <c r="A134" i="22"/>
  <c r="A135" i="22"/>
  <c r="A136" i="22"/>
  <c r="A137" i="22"/>
  <c r="A138" i="22"/>
  <c r="A139" i="22"/>
  <c r="A140" i="22"/>
  <c r="A141" i="22"/>
  <c r="A142" i="22"/>
  <c r="A143" i="22"/>
  <c r="A144" i="22"/>
  <c r="A145" i="22"/>
  <c r="A146"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70" i="22"/>
  <c r="A171" i="22"/>
  <c r="A172" i="22"/>
  <c r="A173" i="22"/>
  <c r="A174" i="22"/>
  <c r="A175" i="22"/>
  <c r="A176" i="22"/>
  <c r="A177" i="22"/>
  <c r="A178" i="22"/>
  <c r="A179" i="22"/>
  <c r="A180" i="22"/>
  <c r="A181" i="22"/>
  <c r="A182" i="22"/>
  <c r="A183" i="22"/>
  <c r="A184" i="22"/>
  <c r="A185" i="22"/>
  <c r="A186" i="22"/>
  <c r="A187" i="22"/>
  <c r="A188" i="22"/>
  <c r="A189" i="22"/>
  <c r="A190" i="22"/>
  <c r="A191" i="22"/>
  <c r="A192" i="22"/>
  <c r="A193" i="22"/>
  <c r="A194" i="22"/>
  <c r="A195" i="22"/>
  <c r="A196" i="22"/>
  <c r="A197" i="22"/>
  <c r="A198" i="22"/>
  <c r="A199" i="22"/>
  <c r="A200" i="22"/>
  <c r="A201" i="22"/>
  <c r="A202" i="22"/>
  <c r="A203" i="22"/>
  <c r="A204" i="22"/>
  <c r="A205" i="22"/>
  <c r="A206" i="22"/>
  <c r="A207" i="22"/>
  <c r="A208" i="22"/>
  <c r="A209" i="22"/>
  <c r="A210" i="22"/>
  <c r="A211" i="22"/>
  <c r="A212" i="22"/>
  <c r="A213" i="22"/>
  <c r="A214" i="22"/>
  <c r="A215" i="22"/>
  <c r="A216" i="22"/>
  <c r="A217" i="22"/>
  <c r="A218" i="22"/>
  <c r="A219" i="22"/>
  <c r="A220" i="22"/>
  <c r="A221" i="22"/>
  <c r="A222" i="22"/>
  <c r="A223" i="22"/>
  <c r="A224" i="22"/>
  <c r="A225" i="22"/>
  <c r="A226" i="22"/>
  <c r="A227" i="22"/>
  <c r="A228" i="22"/>
  <c r="A229" i="22"/>
  <c r="A230" i="22"/>
  <c r="A231" i="22"/>
  <c r="A232" i="22"/>
  <c r="A233" i="22"/>
  <c r="A234" i="22"/>
  <c r="A235" i="22"/>
  <c r="A236" i="22"/>
  <c r="A237" i="22"/>
  <c r="A238" i="22"/>
  <c r="A239" i="22"/>
  <c r="A240" i="22"/>
  <c r="A241" i="22"/>
  <c r="A242" i="22"/>
  <c r="A243" i="22"/>
  <c r="A244" i="22"/>
  <c r="A245" i="22"/>
  <c r="A246" i="22"/>
  <c r="A247" i="22"/>
  <c r="A248" i="22"/>
  <c r="A249" i="22"/>
  <c r="A250" i="22"/>
  <c r="A251" i="22"/>
  <c r="A252" i="22"/>
  <c r="A253" i="22"/>
  <c r="A254" i="22"/>
  <c r="A255"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5" i="22"/>
  <c r="A286" i="22"/>
  <c r="A287" i="22"/>
  <c r="A288" i="22"/>
  <c r="A289" i="22"/>
  <c r="A290" i="22"/>
  <c r="A291" i="22"/>
  <c r="A292" i="22"/>
  <c r="A293" i="22"/>
  <c r="A294" i="22"/>
  <c r="A295" i="22"/>
  <c r="A296" i="22"/>
  <c r="A297" i="22"/>
  <c r="A298" i="22"/>
  <c r="A299"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6" i="22"/>
  <c r="A7" i="22"/>
  <c r="A8" i="22"/>
  <c r="A9" i="22"/>
  <c r="A10" i="22"/>
  <c r="A11" i="22"/>
  <c r="A12" i="22"/>
  <c r="A13" i="22"/>
  <c r="A14" i="22"/>
  <c r="A15" i="22"/>
  <c r="A16" i="22"/>
  <c r="A17" i="22"/>
  <c r="A18" i="22"/>
  <c r="A19" i="22"/>
  <c r="A20" i="22"/>
  <c r="A21" i="22"/>
  <c r="A22" i="22"/>
  <c r="E16" i="17"/>
  <c r="E143" i="4" s="1"/>
  <c r="G176" i="1" l="1"/>
  <c r="G174" i="1"/>
  <c r="G169" i="1"/>
  <c r="H169" i="1"/>
  <c r="G190" i="1"/>
  <c r="H190" i="1" s="1"/>
  <c r="G189" i="1"/>
  <c r="H189" i="1" s="1"/>
  <c r="G188" i="1"/>
  <c r="H188" i="1" s="1"/>
  <c r="G184" i="1"/>
  <c r="H184" i="1" s="1"/>
  <c r="G134" i="1"/>
  <c r="H134" i="1" s="1"/>
  <c r="G126" i="1"/>
  <c r="H126" i="1" s="1"/>
  <c r="G106" i="1"/>
  <c r="H106" i="1" s="1"/>
  <c r="G74" i="1"/>
  <c r="H74" i="1" s="1"/>
  <c r="G60" i="1"/>
  <c r="H60" i="1" s="1"/>
  <c r="G183" i="1"/>
  <c r="H183" i="1" s="1"/>
  <c r="G133" i="1"/>
  <c r="H133" i="1" s="1"/>
  <c r="G125" i="1"/>
  <c r="H125" i="1" s="1"/>
  <c r="G105" i="1"/>
  <c r="H105" i="1" s="1"/>
  <c r="G72" i="1"/>
  <c r="H72" i="1" s="1"/>
  <c r="G59" i="1"/>
  <c r="H59" i="1" s="1"/>
  <c r="G44" i="1"/>
  <c r="H44" i="1" s="1"/>
  <c r="G32" i="1"/>
  <c r="H32" i="1" s="1"/>
  <c r="G21" i="1"/>
  <c r="H21" i="1" s="1"/>
  <c r="G132" i="1"/>
  <c r="H132" i="1" s="1"/>
  <c r="G124" i="1"/>
  <c r="H124" i="1" s="1"/>
  <c r="G104" i="1"/>
  <c r="H104" i="1" s="1"/>
  <c r="G71" i="1"/>
  <c r="H71" i="1" s="1"/>
  <c r="G58" i="1"/>
  <c r="H58" i="1" s="1"/>
  <c r="G41" i="1"/>
  <c r="H41" i="1" s="1"/>
  <c r="G28" i="1"/>
  <c r="H28" i="1" s="1"/>
  <c r="G20" i="1"/>
  <c r="H20" i="1" s="1"/>
  <c r="G131" i="1"/>
  <c r="H131" i="1" s="1"/>
  <c r="G123" i="1"/>
  <c r="H123" i="1" s="1"/>
  <c r="G103" i="1"/>
  <c r="H103" i="1" s="1"/>
  <c r="H68" i="1"/>
  <c r="G57" i="1"/>
  <c r="H57" i="1" s="1"/>
  <c r="G40" i="1"/>
  <c r="H40" i="1" s="1"/>
  <c r="G27" i="1"/>
  <c r="H27" i="1" s="1"/>
  <c r="G19" i="1"/>
  <c r="H19" i="1" s="1"/>
  <c r="G130" i="1"/>
  <c r="H130" i="1" s="1"/>
  <c r="G122" i="1"/>
  <c r="H122" i="1" s="1"/>
  <c r="G99" i="1"/>
  <c r="H99" i="1" s="1"/>
  <c r="G64" i="1"/>
  <c r="H64" i="1" s="1"/>
  <c r="G56" i="1"/>
  <c r="H56" i="1" s="1"/>
  <c r="G37" i="1"/>
  <c r="H37" i="1" s="1"/>
  <c r="G26" i="1"/>
  <c r="H26" i="1" s="1"/>
  <c r="G18" i="1"/>
  <c r="G151" i="1"/>
  <c r="H151" i="1" s="1"/>
  <c r="G129" i="1"/>
  <c r="H129" i="1" s="1"/>
  <c r="G112" i="1"/>
  <c r="H112" i="1" s="1"/>
  <c r="G98" i="1"/>
  <c r="H98" i="1" s="1"/>
  <c r="G63" i="1"/>
  <c r="H63" i="1" s="1"/>
  <c r="G52" i="1"/>
  <c r="H52" i="1" s="1"/>
  <c r="G36" i="1"/>
  <c r="H36" i="1" s="1"/>
  <c r="G25" i="1"/>
  <c r="H25" i="1" s="1"/>
  <c r="G150" i="1"/>
  <c r="H150" i="1" s="1"/>
  <c r="G128" i="1"/>
  <c r="H128" i="1" s="1"/>
  <c r="G111" i="1"/>
  <c r="H111" i="1" s="1"/>
  <c r="G97" i="1"/>
  <c r="H97" i="1" s="1"/>
  <c r="G62" i="1"/>
  <c r="H62" i="1" s="1"/>
  <c r="G51" i="1"/>
  <c r="H51" i="1" s="1"/>
  <c r="G35" i="1"/>
  <c r="H35" i="1" s="1"/>
  <c r="G24" i="1"/>
  <c r="H24" i="1" s="1"/>
  <c r="G149" i="1"/>
  <c r="H149" i="1" s="1"/>
  <c r="G127" i="1"/>
  <c r="H127" i="1" s="1"/>
  <c r="G107" i="1"/>
  <c r="H107" i="1" s="1"/>
  <c r="G96" i="1"/>
  <c r="H96" i="1" s="1"/>
  <c r="G61" i="1"/>
  <c r="H61" i="1" s="1"/>
  <c r="G50" i="1"/>
  <c r="H50" i="1" s="1"/>
  <c r="G34" i="1"/>
  <c r="H34" i="1" s="1"/>
  <c r="G23" i="1"/>
  <c r="H23" i="1" s="1"/>
  <c r="G49" i="1"/>
  <c r="H49" i="1" s="1"/>
  <c r="G33" i="1"/>
  <c r="H33" i="1" s="1"/>
  <c r="G22" i="1"/>
  <c r="H22" i="1" s="1"/>
  <c r="G182" i="1"/>
  <c r="H182" i="1" s="1"/>
  <c r="G162" i="1"/>
  <c r="H162" i="1" s="1"/>
  <c r="G161" i="1"/>
  <c r="H161" i="1" s="1"/>
  <c r="G11" i="1"/>
  <c r="G10" i="1" l="1"/>
  <c r="C8" i="3"/>
  <c r="C9" i="3"/>
  <c r="C10" i="3"/>
  <c r="C11" i="3"/>
  <c r="C14" i="3"/>
  <c r="C15" i="3"/>
  <c r="C16" i="3"/>
  <c r="C17" i="3"/>
  <c r="C19" i="3"/>
  <c r="C20" i="3"/>
  <c r="B21" i="3"/>
  <c r="C22" i="3" s="1"/>
  <c r="C24" i="3"/>
  <c r="F25" i="3"/>
  <c r="E25" i="3" s="1"/>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E54" i="3"/>
  <c r="C54" i="3" s="1"/>
  <c r="I54" i="3"/>
  <c r="I55" i="3"/>
  <c r="I56" i="3"/>
  <c r="I57" i="3"/>
  <c r="I58" i="3"/>
  <c r="I59" i="3"/>
  <c r="I60" i="3"/>
  <c r="I61" i="3"/>
  <c r="I62" i="3"/>
  <c r="I63" i="3"/>
  <c r="I64" i="3"/>
  <c r="I65" i="3"/>
  <c r="I66" i="3"/>
  <c r="I67" i="3"/>
  <c r="I68" i="3"/>
  <c r="I69" i="3"/>
  <c r="I70" i="3"/>
  <c r="I71" i="3"/>
  <c r="E72" i="3"/>
  <c r="C72" i="3" s="1"/>
  <c r="I72" i="3"/>
  <c r="I73" i="3"/>
  <c r="I74" i="3"/>
  <c r="I75" i="3"/>
  <c r="I76" i="3"/>
  <c r="I77" i="3"/>
  <c r="I78" i="3"/>
  <c r="I79" i="3"/>
  <c r="I80" i="3"/>
  <c r="I81" i="3"/>
  <c r="I82" i="3"/>
  <c r="I83" i="3"/>
  <c r="I84" i="3"/>
  <c r="I85" i="3"/>
  <c r="I86" i="3"/>
  <c r="I87" i="3"/>
  <c r="I88" i="3"/>
  <c r="I89" i="3"/>
  <c r="I90" i="3"/>
  <c r="I91" i="3"/>
  <c r="I92" i="3"/>
  <c r="I93" i="3"/>
  <c r="I94" i="3"/>
  <c r="I95" i="3"/>
  <c r="I96" i="3"/>
  <c r="I97" i="3"/>
  <c r="E98" i="3"/>
  <c r="I98" i="3"/>
  <c r="I99" i="3"/>
  <c r="I100" i="3"/>
  <c r="I101" i="3"/>
  <c r="I102" i="3"/>
  <c r="I103" i="3"/>
  <c r="I104" i="3"/>
  <c r="I105" i="3"/>
  <c r="I106" i="3"/>
  <c r="I107" i="3"/>
  <c r="I108" i="3"/>
  <c r="I109" i="3"/>
  <c r="I110" i="3"/>
  <c r="I111" i="3"/>
  <c r="I112" i="3"/>
  <c r="I113" i="3"/>
  <c r="I114" i="3"/>
  <c r="E6" i="17"/>
  <c r="E7" i="17"/>
  <c r="E8" i="17"/>
  <c r="E9" i="17"/>
  <c r="E10" i="17"/>
  <c r="E13" i="17"/>
  <c r="I10" i="1"/>
  <c r="L10" i="1"/>
  <c r="V11" i="1"/>
  <c r="I17" i="1"/>
  <c r="M17" i="1"/>
  <c r="Q17" i="1"/>
  <c r="O17" i="1" s="1"/>
  <c r="P18" i="1"/>
  <c r="Z12" i="1"/>
  <c r="L19" i="1"/>
  <c r="P19" i="1"/>
  <c r="V19" i="1"/>
  <c r="Y19" i="1"/>
  <c r="L20" i="1"/>
  <c r="P20" i="1"/>
  <c r="V20" i="1"/>
  <c r="L21" i="1"/>
  <c r="P21" i="1"/>
  <c r="V21" i="1"/>
  <c r="L22" i="1"/>
  <c r="P22" i="1"/>
  <c r="V22" i="1"/>
  <c r="L23" i="1"/>
  <c r="P23" i="1"/>
  <c r="L24" i="1"/>
  <c r="P24" i="1"/>
  <c r="V24" i="1"/>
  <c r="P25" i="1"/>
  <c r="V25" i="1"/>
  <c r="L26" i="1"/>
  <c r="P26" i="1"/>
  <c r="V26" i="1"/>
  <c r="P27" i="1"/>
  <c r="V27" i="1"/>
  <c r="P28" i="1"/>
  <c r="M29" i="1"/>
  <c r="M45" i="1" s="1"/>
  <c r="O29" i="1"/>
  <c r="Q29" i="1"/>
  <c r="Q45" i="1" s="1"/>
  <c r="P45" i="1" s="1"/>
  <c r="I31" i="1"/>
  <c r="L32" i="1"/>
  <c r="P32" i="1"/>
  <c r="V32" i="1"/>
  <c r="L33" i="1"/>
  <c r="P33" i="1"/>
  <c r="P43" i="1" s="1"/>
  <c r="V33" i="1"/>
  <c r="L34" i="1"/>
  <c r="P34" i="1"/>
  <c r="V34" i="1"/>
  <c r="L35" i="1"/>
  <c r="P35" i="1"/>
  <c r="V35" i="1"/>
  <c r="L36" i="1"/>
  <c r="U36" i="1" s="1"/>
  <c r="P36" i="1"/>
  <c r="S36" i="1"/>
  <c r="V36" i="1"/>
  <c r="T36" i="1" s="1"/>
  <c r="W36" i="1"/>
  <c r="L37" i="1"/>
  <c r="P37" i="1"/>
  <c r="V37" i="1"/>
  <c r="M39" i="1"/>
  <c r="P40" i="1"/>
  <c r="V40" i="1"/>
  <c r="L41" i="1"/>
  <c r="P41" i="1"/>
  <c r="V41" i="1"/>
  <c r="M42" i="1"/>
  <c r="O42" i="1"/>
  <c r="P42" i="1"/>
  <c r="Q42" i="1"/>
  <c r="E43" i="1"/>
  <c r="M43" i="1"/>
  <c r="O43" i="1"/>
  <c r="Q43" i="1"/>
  <c r="L44" i="1"/>
  <c r="L116" i="1" s="1"/>
  <c r="P44" i="1"/>
  <c r="E45" i="1"/>
  <c r="O45" i="1"/>
  <c r="I48" i="1"/>
  <c r="L49" i="1"/>
  <c r="P49" i="1"/>
  <c r="V49" i="1"/>
  <c r="L50" i="1"/>
  <c r="P50" i="1"/>
  <c r="P53" i="1" s="1"/>
  <c r="P75" i="1" s="1"/>
  <c r="V50" i="1"/>
  <c r="L51" i="1"/>
  <c r="P51" i="1"/>
  <c r="V51" i="1"/>
  <c r="L52" i="1"/>
  <c r="P52" i="1"/>
  <c r="V52" i="1"/>
  <c r="M53" i="1"/>
  <c r="O53" i="1"/>
  <c r="Q53" i="1"/>
  <c r="I55" i="1"/>
  <c r="P56" i="1"/>
  <c r="V56" i="1"/>
  <c r="W56" i="1"/>
  <c r="P57" i="1"/>
  <c r="V57" i="1"/>
  <c r="W57" i="1"/>
  <c r="L58" i="1"/>
  <c r="P58" i="1"/>
  <c r="V58" i="1"/>
  <c r="W58" i="1"/>
  <c r="P59" i="1"/>
  <c r="V59" i="1"/>
  <c r="W59" i="1"/>
  <c r="L60" i="1"/>
  <c r="P60" i="1"/>
  <c r="V60" i="1"/>
  <c r="W60" i="1"/>
  <c r="P61" i="1"/>
  <c r="V61" i="1"/>
  <c r="W61" i="1"/>
  <c r="L62" i="1"/>
  <c r="P62" i="1"/>
  <c r="V62" i="1"/>
  <c r="W62" i="1"/>
  <c r="P63" i="1"/>
  <c r="V63" i="1"/>
  <c r="L64" i="1"/>
  <c r="P64" i="1"/>
  <c r="V64" i="1"/>
  <c r="W64" i="1"/>
  <c r="M65" i="1"/>
  <c r="O65" i="1"/>
  <c r="P65" i="1"/>
  <c r="Q65" i="1"/>
  <c r="I67" i="1"/>
  <c r="L68" i="1"/>
  <c r="P68" i="1"/>
  <c r="Z68" i="1" s="1"/>
  <c r="V68" i="1"/>
  <c r="Q70" i="1"/>
  <c r="L71" i="1"/>
  <c r="P71" i="1"/>
  <c r="V71" i="1"/>
  <c r="I73" i="1"/>
  <c r="K73" i="1"/>
  <c r="P72" i="1"/>
  <c r="V72" i="1"/>
  <c r="M73" i="1"/>
  <c r="O73" i="1"/>
  <c r="P73" i="1"/>
  <c r="Q73" i="1"/>
  <c r="L74" i="1"/>
  <c r="P74" i="1"/>
  <c r="V74" i="1"/>
  <c r="M75" i="1"/>
  <c r="O75" i="1"/>
  <c r="Q75" i="1"/>
  <c r="Z75" i="1" s="1"/>
  <c r="C13" i="4" s="1"/>
  <c r="F13" i="4" s="1"/>
  <c r="I80" i="1"/>
  <c r="O81" i="1"/>
  <c r="G83" i="1"/>
  <c r="G141" i="1" s="1"/>
  <c r="H83" i="1"/>
  <c r="H141" i="1" s="1"/>
  <c r="K83" i="1"/>
  <c r="K141" i="1" s="1"/>
  <c r="L83" i="1"/>
  <c r="L141" i="1" s="1"/>
  <c r="O83" i="1"/>
  <c r="O141" i="1" s="1"/>
  <c r="P83" i="1"/>
  <c r="P141" i="1" s="1"/>
  <c r="S84" i="1"/>
  <c r="Z85" i="1"/>
  <c r="Y85" i="1" s="1"/>
  <c r="G87" i="1"/>
  <c r="G144" i="1" s="1"/>
  <c r="H87" i="1"/>
  <c r="H144" i="1" s="1"/>
  <c r="K87" i="1"/>
  <c r="K144" i="1" s="1"/>
  <c r="L87" i="1"/>
  <c r="L144" i="1" s="1"/>
  <c r="O87" i="1"/>
  <c r="P87" i="1"/>
  <c r="P144" i="1" s="1"/>
  <c r="Q95" i="1"/>
  <c r="L96" i="1"/>
  <c r="P96" i="1"/>
  <c r="L97" i="1"/>
  <c r="P97" i="1"/>
  <c r="L98" i="1"/>
  <c r="P98" i="1"/>
  <c r="L99" i="1"/>
  <c r="P99" i="1"/>
  <c r="E100" i="1"/>
  <c r="M100" i="1"/>
  <c r="O100" i="1"/>
  <c r="Q100" i="1"/>
  <c r="P100" i="1" s="1"/>
  <c r="P118" i="1" s="1"/>
  <c r="P139" i="1" s="1"/>
  <c r="I102" i="1"/>
  <c r="L103" i="1"/>
  <c r="P103" i="1"/>
  <c r="P104" i="1"/>
  <c r="L105" i="1"/>
  <c r="P105" i="1"/>
  <c r="S106" i="1"/>
  <c r="L106" i="1"/>
  <c r="P106" i="1"/>
  <c r="V106" i="1"/>
  <c r="L107" i="1"/>
  <c r="P107" i="1"/>
  <c r="V107" i="1"/>
  <c r="E108" i="1"/>
  <c r="M108" i="1"/>
  <c r="O108" i="1"/>
  <c r="P108" i="1"/>
  <c r="Q108" i="1"/>
  <c r="I110" i="1"/>
  <c r="Q110" i="1"/>
  <c r="L111" i="1"/>
  <c r="P111" i="1"/>
  <c r="V111" i="1"/>
  <c r="W111" i="1"/>
  <c r="P112" i="1"/>
  <c r="V112" i="1"/>
  <c r="E113" i="1"/>
  <c r="M113" i="1"/>
  <c r="O113" i="1"/>
  <c r="P113" i="1"/>
  <c r="Q113" i="1"/>
  <c r="I115" i="1"/>
  <c r="Q115" i="1"/>
  <c r="I116" i="1"/>
  <c r="M116" i="1"/>
  <c r="O116" i="1"/>
  <c r="P116" i="1"/>
  <c r="Q116" i="1"/>
  <c r="V116" i="1"/>
  <c r="W116" i="1"/>
  <c r="O118" i="1"/>
  <c r="O139" i="1" s="1"/>
  <c r="P122" i="1"/>
  <c r="V122" i="1"/>
  <c r="L123" i="1"/>
  <c r="P123" i="1"/>
  <c r="V123" i="1"/>
  <c r="L124" i="1"/>
  <c r="P124" i="1"/>
  <c r="V124" i="1"/>
  <c r="L125" i="1"/>
  <c r="P125" i="1"/>
  <c r="V125" i="1"/>
  <c r="L126" i="1"/>
  <c r="P126" i="1"/>
  <c r="V126" i="1"/>
  <c r="W126" i="1"/>
  <c r="S127" i="1"/>
  <c r="L127" i="1"/>
  <c r="P127" i="1"/>
  <c r="V127" i="1"/>
  <c r="W127" i="1"/>
  <c r="L128" i="1"/>
  <c r="P128" i="1"/>
  <c r="V128" i="1"/>
  <c r="W128" i="1"/>
  <c r="L129" i="1"/>
  <c r="P129" i="1"/>
  <c r="V129" i="1"/>
  <c r="W129" i="1"/>
  <c r="L130" i="1"/>
  <c r="P130" i="1"/>
  <c r="V130" i="1"/>
  <c r="W130" i="1"/>
  <c r="L131" i="1"/>
  <c r="P131" i="1"/>
  <c r="V131" i="1"/>
  <c r="L132" i="1"/>
  <c r="P132" i="1"/>
  <c r="V132" i="1"/>
  <c r="L133" i="1"/>
  <c r="P133" i="1"/>
  <c r="V133" i="1"/>
  <c r="L134" i="1"/>
  <c r="P134" i="1"/>
  <c r="V134" i="1"/>
  <c r="M135" i="1"/>
  <c r="O135" i="1"/>
  <c r="P135" i="1"/>
  <c r="Q135" i="1"/>
  <c r="I138" i="1"/>
  <c r="Q138" i="1"/>
  <c r="V139" i="1"/>
  <c r="W139" i="1"/>
  <c r="S142" i="1"/>
  <c r="V142" i="1"/>
  <c r="W142" i="1"/>
  <c r="O144" i="1"/>
  <c r="E145" i="1"/>
  <c r="M148" i="1"/>
  <c r="Q148" i="1"/>
  <c r="L149" i="1"/>
  <c r="P149" i="1"/>
  <c r="V149" i="1"/>
  <c r="P150" i="1"/>
  <c r="V150" i="1"/>
  <c r="L151" i="1"/>
  <c r="P151" i="1"/>
  <c r="W151" i="1"/>
  <c r="G155" i="1"/>
  <c r="G166" i="1" s="1"/>
  <c r="G173" i="1" s="1"/>
  <c r="H155" i="1"/>
  <c r="H166" i="1" s="1"/>
  <c r="H173" i="1" s="1"/>
  <c r="K155" i="1"/>
  <c r="K166" i="1" s="1"/>
  <c r="K173" i="1" s="1"/>
  <c r="L155" i="1"/>
  <c r="L166" i="1" s="1"/>
  <c r="L173" i="1" s="1"/>
  <c r="M155" i="1"/>
  <c r="M166" i="1" s="1"/>
  <c r="M173" i="1" s="1"/>
  <c r="O155" i="1"/>
  <c r="P155" i="1"/>
  <c r="P166" i="1" s="1"/>
  <c r="G156" i="1"/>
  <c r="H156" i="1"/>
  <c r="V156" i="1"/>
  <c r="G157" i="1"/>
  <c r="H157" i="1"/>
  <c r="W157" i="1"/>
  <c r="I160" i="1"/>
  <c r="M160" i="1"/>
  <c r="Q160" i="1"/>
  <c r="L161" i="1"/>
  <c r="P161" i="1"/>
  <c r="L162" i="1"/>
  <c r="P162" i="1"/>
  <c r="O166" i="1"/>
  <c r="O173" i="1" s="1"/>
  <c r="G167" i="1"/>
  <c r="H167" i="1"/>
  <c r="V167" i="1"/>
  <c r="L168" i="1"/>
  <c r="O168" i="1"/>
  <c r="P168" i="1"/>
  <c r="S169" i="1"/>
  <c r="V169" i="1"/>
  <c r="V174" i="1"/>
  <c r="G175" i="1"/>
  <c r="K175" i="1"/>
  <c r="L175" i="1"/>
  <c r="M175" i="1"/>
  <c r="O175" i="1"/>
  <c r="G177" i="1"/>
  <c r="K177" i="1"/>
  <c r="L177" i="1"/>
  <c r="O177" i="1"/>
  <c r="I181" i="1"/>
  <c r="M181" i="1"/>
  <c r="Q181" i="1"/>
  <c r="L182" i="1"/>
  <c r="P182" i="1"/>
  <c r="V182" i="1"/>
  <c r="L183" i="1"/>
  <c r="P183" i="1"/>
  <c r="W183" i="1"/>
  <c r="L184" i="1"/>
  <c r="P184" i="1"/>
  <c r="W184" i="1"/>
  <c r="I187" i="1"/>
  <c r="M187" i="1"/>
  <c r="L188" i="1"/>
  <c r="P188" i="1"/>
  <c r="V188" i="1"/>
  <c r="L189" i="1"/>
  <c r="P189" i="1"/>
  <c r="V189" i="1"/>
  <c r="L190" i="1"/>
  <c r="P190" i="1"/>
  <c r="V190" i="1"/>
  <c r="M191" i="1"/>
  <c r="O191" i="1"/>
  <c r="Q191" i="1"/>
  <c r="G195" i="1"/>
  <c r="H195" i="1"/>
  <c r="K195" i="1"/>
  <c r="L195" i="1"/>
  <c r="M195" i="1"/>
  <c r="O195" i="1"/>
  <c r="P195" i="1"/>
  <c r="G196" i="1"/>
  <c r="F18" i="8" s="1"/>
  <c r="F19" i="8" s="1"/>
  <c r="H196" i="1"/>
  <c r="K196" i="1"/>
  <c r="J18" i="8" s="1"/>
  <c r="J19" i="8" s="1"/>
  <c r="L196" i="1"/>
  <c r="K18" i="8" s="1"/>
  <c r="K19" i="8" s="1"/>
  <c r="M196" i="1"/>
  <c r="L18" i="8" s="1"/>
  <c r="L19" i="8" s="1"/>
  <c r="O196" i="1"/>
  <c r="N18" i="8" s="1"/>
  <c r="N19" i="8" s="1"/>
  <c r="P196" i="1"/>
  <c r="O18" i="8" s="1"/>
  <c r="O19" i="8" s="1"/>
  <c r="S197" i="1"/>
  <c r="Z197" i="1"/>
  <c r="Y197" i="1" s="1"/>
  <c r="S198" i="1"/>
  <c r="Z198" i="1"/>
  <c r="Y198" i="1" s="1"/>
  <c r="E200" i="1"/>
  <c r="G204" i="1"/>
  <c r="H204" i="1"/>
  <c r="K204" i="1"/>
  <c r="L204" i="1"/>
  <c r="M204" i="1"/>
  <c r="O204" i="1"/>
  <c r="P204" i="1"/>
  <c r="A205" i="1"/>
  <c r="Z205" i="1" s="1"/>
  <c r="Y205" i="1" s="1"/>
  <c r="S205" i="1"/>
  <c r="A206" i="1"/>
  <c r="Z206" i="1" s="1"/>
  <c r="Y206" i="1" s="1"/>
  <c r="S206" i="1"/>
  <c r="A207" i="1"/>
  <c r="Z207" i="1" s="1"/>
  <c r="Y207" i="1" s="1"/>
  <c r="S207" i="1"/>
  <c r="A208" i="1"/>
  <c r="Z208" i="1" s="1"/>
  <c r="Y208" i="1" s="1"/>
  <c r="S208" i="1"/>
  <c r="A209" i="1"/>
  <c r="Z209" i="1" s="1"/>
  <c r="Y209" i="1" s="1"/>
  <c r="S209" i="1"/>
  <c r="A210" i="1"/>
  <c r="Z210" i="1" s="1"/>
  <c r="Y210" i="1" s="1"/>
  <c r="S210" i="1"/>
  <c r="A211" i="1"/>
  <c r="Z211" i="1" s="1"/>
  <c r="Y211" i="1" s="1"/>
  <c r="S211" i="1"/>
  <c r="A212" i="1"/>
  <c r="Z212" i="1" s="1"/>
  <c r="C41" i="4" s="1"/>
  <c r="F41" i="4" s="1"/>
  <c r="S212" i="1"/>
  <c r="A213" i="1"/>
  <c r="Z213" i="1" s="1"/>
  <c r="Y213" i="1" s="1"/>
  <c r="S213" i="1"/>
  <c r="A214" i="1"/>
  <c r="Z214" i="1" s="1"/>
  <c r="Y214" i="1" s="1"/>
  <c r="S214" i="1"/>
  <c r="A215" i="1"/>
  <c r="Z215" i="1" s="1"/>
  <c r="Y215" i="1" s="1"/>
  <c r="S215" i="1"/>
  <c r="A216" i="1"/>
  <c r="Z216" i="1" s="1"/>
  <c r="Y216" i="1" s="1"/>
  <c r="S216" i="1"/>
  <c r="A217" i="1"/>
  <c r="Z217" i="1" s="1"/>
  <c r="Y217" i="1" s="1"/>
  <c r="S217" i="1"/>
  <c r="A218" i="1"/>
  <c r="Z218" i="1" s="1"/>
  <c r="Y218" i="1" s="1"/>
  <c r="S218" i="1"/>
  <c r="A219" i="1"/>
  <c r="Z219" i="1" s="1"/>
  <c r="Y219" i="1" s="1"/>
  <c r="S219" i="1"/>
  <c r="A220" i="1"/>
  <c r="Z220" i="1" s="1"/>
  <c r="C49" i="4" s="1"/>
  <c r="F49" i="4" s="1"/>
  <c r="S220" i="1"/>
  <c r="A221" i="1"/>
  <c r="Z221" i="1" s="1"/>
  <c r="Y221" i="1" s="1"/>
  <c r="S221" i="1"/>
  <c r="A222" i="1"/>
  <c r="Z222" i="1" s="1"/>
  <c r="Y222" i="1" s="1"/>
  <c r="S222" i="1"/>
  <c r="A223" i="1"/>
  <c r="Z223" i="1" s="1"/>
  <c r="Y223" i="1" s="1"/>
  <c r="S223" i="1"/>
  <c r="A224" i="1"/>
  <c r="Z224" i="1" s="1"/>
  <c r="Y224" i="1" s="1"/>
  <c r="S224" i="1"/>
  <c r="A225" i="1"/>
  <c r="Z225" i="1" s="1"/>
  <c r="Y225" i="1" s="1"/>
  <c r="S225" i="1"/>
  <c r="A226" i="1"/>
  <c r="Z226" i="1" s="1"/>
  <c r="Y226" i="1" s="1"/>
  <c r="S226" i="1"/>
  <c r="A227" i="1"/>
  <c r="Z227" i="1" s="1"/>
  <c r="C56" i="4" s="1"/>
  <c r="F56" i="4" s="1"/>
  <c r="S227" i="1"/>
  <c r="A228" i="1"/>
  <c r="Z228" i="1" s="1"/>
  <c r="C57" i="4" s="1"/>
  <c r="F57" i="4" s="1"/>
  <c r="S228" i="1"/>
  <c r="A229" i="1"/>
  <c r="Z229" i="1" s="1"/>
  <c r="Y229" i="1" s="1"/>
  <c r="S229" i="1"/>
  <c r="A230" i="1"/>
  <c r="Z230" i="1" s="1"/>
  <c r="C59" i="4" s="1"/>
  <c r="F59" i="4" s="1"/>
  <c r="S230" i="1"/>
  <c r="A231" i="1"/>
  <c r="Z231" i="1" s="1"/>
  <c r="Y231" i="1" s="1"/>
  <c r="S231" i="1"/>
  <c r="A232" i="1"/>
  <c r="Z232" i="1" s="1"/>
  <c r="Y232" i="1" s="1"/>
  <c r="S232" i="1"/>
  <c r="A233" i="1"/>
  <c r="Z233" i="1" s="1"/>
  <c r="Y233" i="1" s="1"/>
  <c r="S233" i="1"/>
  <c r="A234" i="1"/>
  <c r="Z234" i="1" s="1"/>
  <c r="Y234" i="1" s="1"/>
  <c r="S234" i="1"/>
  <c r="A235" i="1"/>
  <c r="Z235" i="1" s="1"/>
  <c r="Y235" i="1" s="1"/>
  <c r="S235" i="1"/>
  <c r="A236" i="1"/>
  <c r="Z236" i="1" s="1"/>
  <c r="C65" i="4" s="1"/>
  <c r="F65" i="4" s="1"/>
  <c r="S236" i="1"/>
  <c r="A237" i="1"/>
  <c r="Z237" i="1" s="1"/>
  <c r="Y237" i="1" s="1"/>
  <c r="S237" i="1"/>
  <c r="A238" i="1"/>
  <c r="Z238" i="1" s="1"/>
  <c r="Y238" i="1" s="1"/>
  <c r="S238" i="1"/>
  <c r="A239" i="1"/>
  <c r="Z239" i="1" s="1"/>
  <c r="Y239" i="1" s="1"/>
  <c r="S239" i="1"/>
  <c r="A240" i="1"/>
  <c r="Z240" i="1" s="1"/>
  <c r="C69" i="4" s="1"/>
  <c r="F69" i="4" s="1"/>
  <c r="S240" i="1"/>
  <c r="A241" i="1"/>
  <c r="Z241" i="1" s="1"/>
  <c r="Y241" i="1" s="1"/>
  <c r="S241" i="1"/>
  <c r="A242" i="1"/>
  <c r="Z242" i="1" s="1"/>
  <c r="Y242" i="1" s="1"/>
  <c r="S242" i="1"/>
  <c r="A243" i="1"/>
  <c r="Z243" i="1" s="1"/>
  <c r="Y243" i="1" s="1"/>
  <c r="S243" i="1"/>
  <c r="A244" i="1"/>
  <c r="Z244" i="1" s="1"/>
  <c r="C73" i="4" s="1"/>
  <c r="F73" i="4" s="1"/>
  <c r="S244" i="1"/>
  <c r="A245" i="1"/>
  <c r="Z245" i="1" s="1"/>
  <c r="Y245" i="1" s="1"/>
  <c r="S245" i="1"/>
  <c r="A246" i="1"/>
  <c r="Z246" i="1" s="1"/>
  <c r="Y246" i="1" s="1"/>
  <c r="S246" i="1"/>
  <c r="A247" i="1"/>
  <c r="Z247" i="1" s="1"/>
  <c r="Y247" i="1" s="1"/>
  <c r="S247" i="1"/>
  <c r="A248" i="1"/>
  <c r="Z248" i="1" s="1"/>
  <c r="Y248" i="1" s="1"/>
  <c r="S248" i="1"/>
  <c r="A249" i="1"/>
  <c r="Z249" i="1" s="1"/>
  <c r="Y249" i="1" s="1"/>
  <c r="S249" i="1"/>
  <c r="A250" i="1"/>
  <c r="Z250" i="1" s="1"/>
  <c r="Y250" i="1" s="1"/>
  <c r="S250" i="1"/>
  <c r="A251" i="1"/>
  <c r="Z251" i="1" s="1"/>
  <c r="Y251" i="1" s="1"/>
  <c r="S251" i="1"/>
  <c r="A252" i="1"/>
  <c r="Z252" i="1" s="1"/>
  <c r="C81" i="4" s="1"/>
  <c r="F81" i="4" s="1"/>
  <c r="S252" i="1"/>
  <c r="A253" i="1"/>
  <c r="Z253" i="1" s="1"/>
  <c r="Y253" i="1" s="1"/>
  <c r="S253" i="1"/>
  <c r="A254" i="1"/>
  <c r="Z254" i="1" s="1"/>
  <c r="Y254" i="1" s="1"/>
  <c r="S254" i="1"/>
  <c r="A255" i="1"/>
  <c r="Z255" i="1" s="1"/>
  <c r="Y255" i="1" s="1"/>
  <c r="S255" i="1"/>
  <c r="A256" i="1"/>
  <c r="Z256" i="1" s="1"/>
  <c r="Y256" i="1" s="1"/>
  <c r="S256" i="1"/>
  <c r="A257" i="1"/>
  <c r="Z257" i="1" s="1"/>
  <c r="Y257" i="1" s="1"/>
  <c r="S257" i="1"/>
  <c r="A258" i="1"/>
  <c r="Z258" i="1" s="1"/>
  <c r="Y258" i="1" s="1"/>
  <c r="S258" i="1"/>
  <c r="A259" i="1"/>
  <c r="Z259" i="1" s="1"/>
  <c r="Y259" i="1" s="1"/>
  <c r="S259" i="1"/>
  <c r="A260" i="1"/>
  <c r="Z260" i="1" s="1"/>
  <c r="C89" i="4" s="1"/>
  <c r="F89" i="4" s="1"/>
  <c r="S260" i="1"/>
  <c r="A261" i="1"/>
  <c r="Z261" i="1" s="1"/>
  <c r="Y261" i="1" s="1"/>
  <c r="S261" i="1"/>
  <c r="A262" i="1"/>
  <c r="Z262" i="1" s="1"/>
  <c r="Y262" i="1" s="1"/>
  <c r="S262" i="1"/>
  <c r="A263" i="1"/>
  <c r="Z263" i="1" s="1"/>
  <c r="Y263" i="1" s="1"/>
  <c r="S263" i="1"/>
  <c r="A264" i="1"/>
  <c r="Z264" i="1" s="1"/>
  <c r="Y264" i="1" s="1"/>
  <c r="S264" i="1"/>
  <c r="A265" i="1"/>
  <c r="Z265" i="1" s="1"/>
  <c r="Y265" i="1" s="1"/>
  <c r="S265" i="1"/>
  <c r="A266" i="1"/>
  <c r="Z266" i="1" s="1"/>
  <c r="Y266" i="1" s="1"/>
  <c r="S266" i="1"/>
  <c r="A267" i="1"/>
  <c r="Z267" i="1" s="1"/>
  <c r="Y267" i="1" s="1"/>
  <c r="S267" i="1"/>
  <c r="A268" i="1"/>
  <c r="Z268" i="1" s="1"/>
  <c r="C97" i="4" s="1"/>
  <c r="F97" i="4" s="1"/>
  <c r="S268" i="1"/>
  <c r="A269" i="1"/>
  <c r="Z269" i="1" s="1"/>
  <c r="Y269" i="1" s="1"/>
  <c r="S269" i="1"/>
  <c r="A270" i="1"/>
  <c r="Z270" i="1" s="1"/>
  <c r="Y270" i="1" s="1"/>
  <c r="S270" i="1"/>
  <c r="A271" i="1"/>
  <c r="Z271" i="1" s="1"/>
  <c r="Y271" i="1" s="1"/>
  <c r="S271" i="1"/>
  <c r="A272" i="1"/>
  <c r="Z272" i="1" s="1"/>
  <c r="Y272" i="1" s="1"/>
  <c r="S272" i="1"/>
  <c r="A273" i="1"/>
  <c r="Z273" i="1" s="1"/>
  <c r="Y273" i="1" s="1"/>
  <c r="S273" i="1"/>
  <c r="A274" i="1"/>
  <c r="Z274" i="1" s="1"/>
  <c r="Y274" i="1" s="1"/>
  <c r="S274" i="1"/>
  <c r="A275" i="1"/>
  <c r="Z275" i="1" s="1"/>
  <c r="Y275" i="1" s="1"/>
  <c r="S275" i="1"/>
  <c r="A276" i="1"/>
  <c r="Z276" i="1" s="1"/>
  <c r="Y276" i="1" s="1"/>
  <c r="S276" i="1"/>
  <c r="A277" i="1"/>
  <c r="Z277" i="1" s="1"/>
  <c r="Y277" i="1" s="1"/>
  <c r="S277" i="1"/>
  <c r="A278" i="1"/>
  <c r="Z278" i="1" s="1"/>
  <c r="Y278" i="1" s="1"/>
  <c r="S278" i="1"/>
  <c r="A279" i="1"/>
  <c r="Z279" i="1" s="1"/>
  <c r="Y279" i="1" s="1"/>
  <c r="S279" i="1"/>
  <c r="A280" i="1"/>
  <c r="Z280" i="1" s="1"/>
  <c r="Y280" i="1" s="1"/>
  <c r="S280" i="1"/>
  <c r="W280" i="1"/>
  <c r="U280" i="1" s="1"/>
  <c r="A281" i="1"/>
  <c r="Z281" i="1" s="1"/>
  <c r="C111" i="4" s="1"/>
  <c r="F111" i="4" s="1"/>
  <c r="S281" i="1"/>
  <c r="W281" i="1"/>
  <c r="U281" i="1" s="1"/>
  <c r="A282" i="1"/>
  <c r="Z282" i="1" s="1"/>
  <c r="Y282" i="1" s="1"/>
  <c r="S282" i="1"/>
  <c r="A283" i="1"/>
  <c r="Z283" i="1" s="1"/>
  <c r="C113" i="4" s="1"/>
  <c r="F113" i="4" s="1"/>
  <c r="S283" i="1"/>
  <c r="A284" i="1"/>
  <c r="Z284" i="1" s="1"/>
  <c r="Y284" i="1" s="1"/>
  <c r="S284" i="1"/>
  <c r="W284" i="1"/>
  <c r="U284" i="1" s="1"/>
  <c r="A285" i="1"/>
  <c r="Z285" i="1" s="1"/>
  <c r="Y285" i="1" s="1"/>
  <c r="S285" i="1"/>
  <c r="W285" i="1"/>
  <c r="U285" i="1" s="1"/>
  <c r="A286" i="1"/>
  <c r="Z286" i="1" s="1"/>
  <c r="Y286" i="1" s="1"/>
  <c r="S286" i="1"/>
  <c r="A287" i="1"/>
  <c r="Z287" i="1" s="1"/>
  <c r="Y287" i="1" s="1"/>
  <c r="S287" i="1"/>
  <c r="A288" i="1"/>
  <c r="Z288" i="1" s="1"/>
  <c r="C118" i="4" s="1"/>
  <c r="F118" i="4" s="1"/>
  <c r="S288" i="1"/>
  <c r="A289" i="1"/>
  <c r="Z289" i="1" s="1"/>
  <c r="Y289" i="1" s="1"/>
  <c r="S289" i="1"/>
  <c r="A290" i="1"/>
  <c r="Z290" i="1" s="1"/>
  <c r="Y290" i="1" s="1"/>
  <c r="S290" i="1"/>
  <c r="A291" i="1"/>
  <c r="Z291" i="1" s="1"/>
  <c r="Y291" i="1" s="1"/>
  <c r="S291" i="1"/>
  <c r="A292" i="1"/>
  <c r="Z292" i="1" s="1"/>
  <c r="C122" i="4" s="1"/>
  <c r="F122" i="4" s="1"/>
  <c r="S292" i="1"/>
  <c r="A293" i="1"/>
  <c r="Z293" i="1" s="1"/>
  <c r="Y293" i="1" s="1"/>
  <c r="S293" i="1"/>
  <c r="A294" i="1"/>
  <c r="Z294" i="1" s="1"/>
  <c r="Y294" i="1" s="1"/>
  <c r="S294" i="1"/>
  <c r="G298" i="1"/>
  <c r="H298" i="1"/>
  <c r="I298" i="1"/>
  <c r="G299" i="1"/>
  <c r="S299" i="1" s="1"/>
  <c r="V299" i="1"/>
  <c r="W299" i="1"/>
  <c r="G300" i="1"/>
  <c r="S300" i="1" s="1"/>
  <c r="V300" i="1"/>
  <c r="W300" i="1"/>
  <c r="U300" i="1" s="1"/>
  <c r="G301" i="1"/>
  <c r="S301" i="1"/>
  <c r="T301" i="1"/>
  <c r="V301" i="1"/>
  <c r="W301" i="1"/>
  <c r="G302" i="1"/>
  <c r="S302" i="1" s="1"/>
  <c r="V302" i="1"/>
  <c r="T302" i="1" s="1"/>
  <c r="W302" i="1"/>
  <c r="U302" i="1" s="1"/>
  <c r="H303" i="1"/>
  <c r="H312" i="1" s="1"/>
  <c r="I303" i="1"/>
  <c r="V304" i="1"/>
  <c r="W304" i="1"/>
  <c r="G307" i="1"/>
  <c r="H307" i="1"/>
  <c r="I307" i="1"/>
  <c r="G308" i="1"/>
  <c r="G310" i="1" s="1"/>
  <c r="Z311" i="1" s="1"/>
  <c r="S308" i="1"/>
  <c r="V308" i="1"/>
  <c r="W308" i="1"/>
  <c r="G309" i="1"/>
  <c r="S309" i="1"/>
  <c r="U309" i="1"/>
  <c r="V309" i="1"/>
  <c r="T309" i="1" s="1"/>
  <c r="W309" i="1"/>
  <c r="H310" i="1"/>
  <c r="I310" i="1"/>
  <c r="I312" i="1" s="1"/>
  <c r="H23" i="8" s="1"/>
  <c r="H24" i="8" s="1"/>
  <c r="Z315" i="1"/>
  <c r="E315" i="1" s="1"/>
  <c r="Z316" i="1"/>
  <c r="E316" i="1" s="1"/>
  <c r="G319" i="1"/>
  <c r="H319" i="1"/>
  <c r="I319" i="1"/>
  <c r="G320" i="1"/>
  <c r="H320" i="1"/>
  <c r="I320" i="1"/>
  <c r="G321" i="1"/>
  <c r="S321" i="1"/>
  <c r="V321" i="1"/>
  <c r="T321" i="1" s="1"/>
  <c r="W321" i="1"/>
  <c r="U321" i="1" s="1"/>
  <c r="G322" i="1"/>
  <c r="S322" i="1" s="1"/>
  <c r="T322" i="1"/>
  <c r="V322" i="1"/>
  <c r="W322" i="1"/>
  <c r="U322" i="1" s="1"/>
  <c r="G323" i="1"/>
  <c r="U323" i="1" s="1"/>
  <c r="S323" i="1"/>
  <c r="V323" i="1"/>
  <c r="W323" i="1"/>
  <c r="H324" i="1"/>
  <c r="I324" i="1"/>
  <c r="H27" i="8" s="1"/>
  <c r="H28" i="8" s="1"/>
  <c r="G327" i="1"/>
  <c r="H327" i="1"/>
  <c r="I327" i="1"/>
  <c r="G328" i="1"/>
  <c r="S328" i="1"/>
  <c r="V328" i="1"/>
  <c r="W328" i="1"/>
  <c r="G329" i="1"/>
  <c r="S329" i="1" s="1"/>
  <c r="V329" i="1"/>
  <c r="T329" i="1" s="1"/>
  <c r="W329" i="1"/>
  <c r="U329" i="1" s="1"/>
  <c r="Z329" i="1"/>
  <c r="Y329" i="1" s="1"/>
  <c r="G330" i="1"/>
  <c r="S330" i="1"/>
  <c r="V330" i="1"/>
  <c r="T330" i="1" s="1"/>
  <c r="W330" i="1"/>
  <c r="U330" i="1" s="1"/>
  <c r="Z330" i="1"/>
  <c r="Y330" i="1" s="1"/>
  <c r="G331" i="1"/>
  <c r="Z331" i="1" s="1"/>
  <c r="S331" i="1"/>
  <c r="T331" i="1"/>
  <c r="V331" i="1"/>
  <c r="W331" i="1"/>
  <c r="U331" i="1" s="1"/>
  <c r="G334" i="1"/>
  <c r="H334" i="1"/>
  <c r="I334" i="1"/>
  <c r="A335" i="1"/>
  <c r="E335" i="1"/>
  <c r="A336" i="1"/>
  <c r="A337" i="1"/>
  <c r="G337" i="1"/>
  <c r="Z337" i="1" s="1"/>
  <c r="V337" i="1"/>
  <c r="W337" i="1"/>
  <c r="H338" i="1"/>
  <c r="I338" i="1"/>
  <c r="D13" i="11"/>
  <c r="E19" i="11"/>
  <c r="E20" i="11"/>
  <c r="E21" i="11"/>
  <c r="E22" i="11"/>
  <c r="E23" i="11"/>
  <c r="E24" i="11"/>
  <c r="E25" i="11"/>
  <c r="H9" i="8"/>
  <c r="L9" i="8"/>
  <c r="P9" i="8"/>
  <c r="N10" i="8"/>
  <c r="N11" i="8"/>
  <c r="N14" i="8"/>
  <c r="O14" i="8"/>
  <c r="N15" i="8"/>
  <c r="O15" i="8"/>
  <c r="G18" i="8"/>
  <c r="G19" i="8" s="1"/>
  <c r="F22" i="8"/>
  <c r="G22" i="8"/>
  <c r="H22" i="8"/>
  <c r="G23" i="8"/>
  <c r="G24" i="8" s="1"/>
  <c r="F26" i="8"/>
  <c r="G26" i="8"/>
  <c r="H26" i="8"/>
  <c r="G27" i="8"/>
  <c r="G28" i="8" s="1"/>
  <c r="F30" i="8"/>
  <c r="G30" i="8"/>
  <c r="H30" i="8"/>
  <c r="G31" i="8"/>
  <c r="H31" i="8"/>
  <c r="H32" i="8" s="1"/>
  <c r="G32" i="8"/>
  <c r="C34" i="8"/>
  <c r="C5" i="5"/>
  <c r="C7" i="5"/>
  <c r="C9" i="5"/>
  <c r="C10" i="5"/>
  <c r="C12" i="5"/>
  <c r="C6" i="6"/>
  <c r="C7" i="6"/>
  <c r="C8" i="6"/>
  <c r="C9" i="6"/>
  <c r="C10" i="6"/>
  <c r="C11" i="6"/>
  <c r="C13" i="6"/>
  <c r="C14" i="6"/>
  <c r="C15" i="6"/>
  <c r="C16" i="6"/>
  <c r="C18" i="6"/>
  <c r="C19" i="6"/>
  <c r="C20" i="6"/>
  <c r="B6" i="7"/>
  <c r="V18" i="1" s="1"/>
  <c r="C6" i="7"/>
  <c r="W18" i="1" s="1"/>
  <c r="C7" i="7"/>
  <c r="W19" i="1" s="1"/>
  <c r="C8" i="7"/>
  <c r="W20" i="1" s="1"/>
  <c r="C9" i="7"/>
  <c r="W21" i="1" s="1"/>
  <c r="C10" i="7"/>
  <c r="W22" i="1" s="1"/>
  <c r="V23" i="1"/>
  <c r="C11" i="7"/>
  <c r="W23" i="1" s="1"/>
  <c r="C12" i="7"/>
  <c r="W24" i="1" s="1"/>
  <c r="C13" i="7"/>
  <c r="W25" i="1" s="1"/>
  <c r="C14" i="7"/>
  <c r="W26" i="1" s="1"/>
  <c r="C15" i="7"/>
  <c r="W27" i="1" s="1"/>
  <c r="B16" i="7"/>
  <c r="V28" i="1" s="1"/>
  <c r="C16" i="7"/>
  <c r="W28" i="1" s="1"/>
  <c r="C18" i="7"/>
  <c r="W32" i="1" s="1"/>
  <c r="C19" i="7"/>
  <c r="W33" i="1" s="1"/>
  <c r="C20" i="7"/>
  <c r="W34" i="1" s="1"/>
  <c r="C21" i="7"/>
  <c r="W35" i="1" s="1"/>
  <c r="C22" i="7"/>
  <c r="W40" i="1" s="1"/>
  <c r="D22" i="7"/>
  <c r="C24" i="7"/>
  <c r="W41" i="1" s="1"/>
  <c r="C26" i="7"/>
  <c r="W37" i="1" s="1"/>
  <c r="B28" i="7"/>
  <c r="V44" i="1" s="1"/>
  <c r="C28" i="7"/>
  <c r="W44" i="1" s="1"/>
  <c r="C30" i="7"/>
  <c r="W49" i="1" s="1"/>
  <c r="C31" i="7"/>
  <c r="W50" i="1" s="1"/>
  <c r="C32" i="7"/>
  <c r="W51" i="1" s="1"/>
  <c r="C33" i="7"/>
  <c r="W52" i="1" s="1"/>
  <c r="C42" i="7"/>
  <c r="W63" i="1" s="1"/>
  <c r="C44" i="7"/>
  <c r="W71" i="1" s="1"/>
  <c r="D44" i="7"/>
  <c r="C45" i="7"/>
  <c r="W72" i="1" s="1"/>
  <c r="C48" i="7"/>
  <c r="W68" i="1" s="1"/>
  <c r="C50" i="7"/>
  <c r="W74" i="1" s="1"/>
  <c r="B52" i="7"/>
  <c r="V84" i="1" s="1"/>
  <c r="C52" i="7"/>
  <c r="W84" i="1" s="1"/>
  <c r="B54" i="7"/>
  <c r="V96" i="1" s="1"/>
  <c r="C54" i="7"/>
  <c r="W96" i="1" s="1"/>
  <c r="B55" i="7"/>
  <c r="V97" i="1" s="1"/>
  <c r="C55" i="7"/>
  <c r="W97" i="1" s="1"/>
  <c r="B56" i="7"/>
  <c r="V98" i="1" s="1"/>
  <c r="C56" i="7"/>
  <c r="W98" i="1" s="1"/>
  <c r="B57" i="7"/>
  <c r="V99" i="1" s="1"/>
  <c r="C57" i="7"/>
  <c r="W99" i="1" s="1"/>
  <c r="B59" i="7"/>
  <c r="V103" i="1" s="1"/>
  <c r="C59" i="7"/>
  <c r="W103" i="1" s="1"/>
  <c r="B60" i="7"/>
  <c r="V104" i="1" s="1"/>
  <c r="C60" i="7"/>
  <c r="W104" i="1" s="1"/>
  <c r="B61" i="7"/>
  <c r="V105" i="1" s="1"/>
  <c r="C61" i="7"/>
  <c r="W105" i="1" s="1"/>
  <c r="C62" i="7"/>
  <c r="W149" i="1" s="1"/>
  <c r="C63" i="7"/>
  <c r="W150" i="1" s="1"/>
  <c r="C64" i="7"/>
  <c r="W106" i="1" s="1"/>
  <c r="C65" i="7"/>
  <c r="W107" i="1" s="1"/>
  <c r="C68" i="7"/>
  <c r="W112" i="1" s="1"/>
  <c r="C72" i="7"/>
  <c r="W122" i="1" s="1"/>
  <c r="C73" i="7"/>
  <c r="W123" i="1" s="1"/>
  <c r="C74" i="7"/>
  <c r="W134" i="1" s="1"/>
  <c r="C75" i="7"/>
  <c r="W124" i="1" s="1"/>
  <c r="C76" i="7"/>
  <c r="W125" i="1" s="1"/>
  <c r="C82" i="7"/>
  <c r="W131" i="1" s="1"/>
  <c r="C83" i="7"/>
  <c r="W132" i="1" s="1"/>
  <c r="C84" i="7"/>
  <c r="W133" i="1" s="1"/>
  <c r="B85" i="7"/>
  <c r="V151" i="1" s="1"/>
  <c r="C90" i="7"/>
  <c r="W156" i="1" s="1"/>
  <c r="B91" i="7"/>
  <c r="V157" i="1" s="1"/>
  <c r="B92" i="7"/>
  <c r="V161" i="1" s="1"/>
  <c r="C92" i="7"/>
  <c r="W161" i="1" s="1"/>
  <c r="B93" i="7"/>
  <c r="V162" i="1" s="1"/>
  <c r="C93" i="7"/>
  <c r="W162" i="1" s="1"/>
  <c r="C94" i="7"/>
  <c r="W188" i="1" s="1"/>
  <c r="C95" i="7"/>
  <c r="W189" i="1" s="1"/>
  <c r="C96" i="7"/>
  <c r="W190" i="1" s="1"/>
  <c r="C98" i="7"/>
  <c r="W167" i="1" s="1"/>
  <c r="C99" i="7"/>
  <c r="W169" i="1" s="1"/>
  <c r="C100" i="7"/>
  <c r="W182" i="1" s="1"/>
  <c r="B101" i="7"/>
  <c r="V183" i="1" s="1"/>
  <c r="B102" i="7"/>
  <c r="V184" i="1" s="1"/>
  <c r="C103" i="7"/>
  <c r="W174" i="1" s="1"/>
  <c r="B104" i="7"/>
  <c r="V176" i="1" s="1"/>
  <c r="C104" i="7"/>
  <c r="W176" i="1" s="1"/>
  <c r="B106" i="7"/>
  <c r="V265" i="1" s="1"/>
  <c r="T265" i="1" s="1"/>
  <c r="C106" i="7"/>
  <c r="W258" i="1" s="1"/>
  <c r="U258" i="1" s="1"/>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B124" i="7"/>
  <c r="C124" i="7"/>
  <c r="B125" i="7"/>
  <c r="C125" i="7"/>
  <c r="B126" i="7"/>
  <c r="C126" i="7"/>
  <c r="B127" i="7"/>
  <c r="C127" i="7"/>
  <c r="B128" i="7"/>
  <c r="C128" i="7"/>
  <c r="B129" i="7"/>
  <c r="C129" i="7"/>
  <c r="B130" i="7"/>
  <c r="C130" i="7"/>
  <c r="B131" i="7"/>
  <c r="C131" i="7"/>
  <c r="B132" i="7"/>
  <c r="C132" i="7"/>
  <c r="B133" i="7"/>
  <c r="C133" i="7"/>
  <c r="B134" i="7"/>
  <c r="C134" i="7"/>
  <c r="B135" i="7"/>
  <c r="C135" i="7"/>
  <c r="B136" i="7"/>
  <c r="C136" i="7"/>
  <c r="B137" i="7"/>
  <c r="C137" i="7"/>
  <c r="B138" i="7"/>
  <c r="C138" i="7"/>
  <c r="B139" i="7"/>
  <c r="C139" i="7"/>
  <c r="B140" i="7"/>
  <c r="C140" i="7"/>
  <c r="B141" i="7"/>
  <c r="C141" i="7"/>
  <c r="B142" i="7"/>
  <c r="C142" i="7"/>
  <c r="B143" i="7"/>
  <c r="C143" i="7"/>
  <c r="B144" i="7"/>
  <c r="C144" i="7"/>
  <c r="B145" i="7"/>
  <c r="C145" i="7"/>
  <c r="B146" i="7"/>
  <c r="C146"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0" i="7"/>
  <c r="C160" i="7"/>
  <c r="B161" i="7"/>
  <c r="C161" i="7"/>
  <c r="B162" i="7"/>
  <c r="C162" i="7"/>
  <c r="B163" i="7"/>
  <c r="C163" i="7"/>
  <c r="B164" i="7"/>
  <c r="C164" i="7"/>
  <c r="B165"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78" i="7"/>
  <c r="C178" i="7"/>
  <c r="B179" i="7"/>
  <c r="C179" i="7"/>
  <c r="B180" i="7"/>
  <c r="C180" i="7"/>
  <c r="B181" i="7"/>
  <c r="C181" i="7"/>
  <c r="B182" i="7"/>
  <c r="C182" i="7"/>
  <c r="B183" i="7"/>
  <c r="C183" i="7"/>
  <c r="B184" i="7"/>
  <c r="C184" i="7"/>
  <c r="B185" i="7"/>
  <c r="C185" i="7"/>
  <c r="B186" i="7"/>
  <c r="C186" i="7"/>
  <c r="B187" i="7"/>
  <c r="C187" i="7"/>
  <c r="B188" i="7"/>
  <c r="C188" i="7"/>
  <c r="B189" i="7"/>
  <c r="C189" i="7"/>
  <c r="B190" i="7"/>
  <c r="C190" i="7"/>
  <c r="B191" i="7"/>
  <c r="C191" i="7"/>
  <c r="B192" i="7"/>
  <c r="C192" i="7"/>
  <c r="B193" i="7"/>
  <c r="C193" i="7"/>
  <c r="B194" i="7"/>
  <c r="C194" i="7"/>
  <c r="B195" i="7"/>
  <c r="C195" i="7"/>
  <c r="C196" i="7"/>
  <c r="W11" i="1" s="1"/>
  <c r="B197" i="7"/>
  <c r="V198" i="1" s="1"/>
  <c r="T198" i="1" s="1"/>
  <c r="C197" i="7"/>
  <c r="W198" i="1" s="1"/>
  <c r="U198" i="1" s="1"/>
  <c r="B199" i="7"/>
  <c r="V197" i="1" s="1"/>
  <c r="T197" i="1" s="1"/>
  <c r="C199" i="7"/>
  <c r="W197" i="1" s="1"/>
  <c r="U197" i="1" s="1"/>
  <c r="C9" i="4"/>
  <c r="F9" i="4" s="1"/>
  <c r="C143" i="4"/>
  <c r="F143" i="4" s="1"/>
  <c r="A3" i="24"/>
  <c r="Y331" i="1" l="1"/>
  <c r="C142" i="4"/>
  <c r="F142" i="4" s="1"/>
  <c r="Q80" i="1"/>
  <c r="N9" i="8"/>
  <c r="N13" i="8" s="1"/>
  <c r="Q48" i="1"/>
  <c r="K9" i="8"/>
  <c r="K13" i="8" s="1"/>
  <c r="J9" i="8"/>
  <c r="F9" i="8"/>
  <c r="F13" i="8" s="1"/>
  <c r="M55" i="1"/>
  <c r="K168" i="1"/>
  <c r="K17" i="1"/>
  <c r="G168" i="1"/>
  <c r="G17" i="1"/>
  <c r="G67" i="1" s="1"/>
  <c r="H177" i="1"/>
  <c r="I148" i="1"/>
  <c r="Q67" i="1"/>
  <c r="I39" i="1"/>
  <c r="Q187" i="1"/>
  <c r="M177" i="1"/>
  <c r="H175" i="1"/>
  <c r="H168" i="1"/>
  <c r="Q121" i="1"/>
  <c r="E302" i="1"/>
  <c r="E36" i="1"/>
  <c r="E309" i="1"/>
  <c r="E102" i="3"/>
  <c r="E83" i="3"/>
  <c r="C83" i="3" s="1"/>
  <c r="E64" i="3"/>
  <c r="C64" i="3" s="1"/>
  <c r="E76" i="3"/>
  <c r="C76" i="3" s="1"/>
  <c r="E57" i="3"/>
  <c r="C57" i="3" s="1"/>
  <c r="E38" i="3"/>
  <c r="E90" i="3"/>
  <c r="E46" i="3"/>
  <c r="C46" i="3" s="1"/>
  <c r="E329" i="1"/>
  <c r="E94" i="3"/>
  <c r="E50" i="3"/>
  <c r="C50" i="3" s="1"/>
  <c r="E68" i="3"/>
  <c r="C68" i="3" s="1"/>
  <c r="T71" i="1"/>
  <c r="E113" i="3"/>
  <c r="C113" i="3" s="1"/>
  <c r="E106" i="3"/>
  <c r="E87" i="3"/>
  <c r="C87" i="3" s="1"/>
  <c r="E80" i="3"/>
  <c r="C80" i="3" s="1"/>
  <c r="E61" i="3"/>
  <c r="E42" i="3"/>
  <c r="C42" i="3" s="1"/>
  <c r="C62" i="4"/>
  <c r="F62" i="4" s="1"/>
  <c r="C42" i="4"/>
  <c r="F42" i="4" s="1"/>
  <c r="C37" i="4"/>
  <c r="F37" i="4" s="1"/>
  <c r="E111" i="3"/>
  <c r="C111" i="3" s="1"/>
  <c r="E100" i="3"/>
  <c r="C100" i="3" s="1"/>
  <c r="E96" i="3"/>
  <c r="C96" i="3" s="1"/>
  <c r="E92" i="3"/>
  <c r="C92" i="3" s="1"/>
  <c r="E88" i="3"/>
  <c r="C88" i="3" s="1"/>
  <c r="E85" i="3"/>
  <c r="C85" i="3" s="1"/>
  <c r="E81" i="3"/>
  <c r="C81" i="3" s="1"/>
  <c r="E59" i="3"/>
  <c r="C59" i="3" s="1"/>
  <c r="E55" i="3"/>
  <c r="C55" i="3" s="1"/>
  <c r="E44" i="3"/>
  <c r="E40" i="3"/>
  <c r="C40" i="3" s="1"/>
  <c r="E36" i="3"/>
  <c r="E107" i="3"/>
  <c r="E103" i="3"/>
  <c r="C103" i="3" s="1"/>
  <c r="E77" i="3"/>
  <c r="C77" i="3" s="1"/>
  <c r="E73" i="3"/>
  <c r="C73" i="3" s="1"/>
  <c r="E69" i="3"/>
  <c r="E65" i="3"/>
  <c r="C65" i="3" s="1"/>
  <c r="E62" i="3"/>
  <c r="C62" i="3" s="1"/>
  <c r="E51" i="3"/>
  <c r="C51" i="3" s="1"/>
  <c r="E47" i="3"/>
  <c r="C47" i="3" s="1"/>
  <c r="E109" i="3"/>
  <c r="C109" i="3" s="1"/>
  <c r="E105" i="3"/>
  <c r="C105" i="3" s="1"/>
  <c r="E79" i="3"/>
  <c r="E75" i="3"/>
  <c r="C75" i="3" s="1"/>
  <c r="E71" i="3"/>
  <c r="C71" i="3" s="1"/>
  <c r="E67" i="3"/>
  <c r="C67" i="3" s="1"/>
  <c r="E53" i="3"/>
  <c r="C53" i="3" s="1"/>
  <c r="E49" i="3"/>
  <c r="C49" i="3" s="1"/>
  <c r="E112" i="3"/>
  <c r="C112" i="3" s="1"/>
  <c r="E101" i="3"/>
  <c r="C101" i="3" s="1"/>
  <c r="E97" i="3"/>
  <c r="E93" i="3"/>
  <c r="C93" i="3" s="1"/>
  <c r="E89" i="3"/>
  <c r="C89" i="3" s="1"/>
  <c r="E86" i="3"/>
  <c r="C86" i="3" s="1"/>
  <c r="E82" i="3"/>
  <c r="C82" i="3" s="1"/>
  <c r="E63" i="3"/>
  <c r="C63" i="3" s="1"/>
  <c r="E60" i="3"/>
  <c r="C60" i="3" s="1"/>
  <c r="E56" i="3"/>
  <c r="C56" i="3" s="1"/>
  <c r="E45" i="3"/>
  <c r="E41" i="3"/>
  <c r="C41" i="3" s="1"/>
  <c r="E37" i="3"/>
  <c r="C37" i="3" s="1"/>
  <c r="E108" i="3"/>
  <c r="C108" i="3" s="1"/>
  <c r="E104" i="3"/>
  <c r="E78" i="3"/>
  <c r="C78" i="3" s="1"/>
  <c r="E74" i="3"/>
  <c r="C74" i="3" s="1"/>
  <c r="E70" i="3"/>
  <c r="C70" i="3" s="1"/>
  <c r="E66" i="3"/>
  <c r="E52" i="3"/>
  <c r="E48" i="3"/>
  <c r="C48" i="3" s="1"/>
  <c r="E30" i="3"/>
  <c r="C30" i="3" s="1"/>
  <c r="E114" i="3"/>
  <c r="C114" i="3" s="1"/>
  <c r="E110" i="3"/>
  <c r="C110" i="3" s="1"/>
  <c r="E99" i="3"/>
  <c r="C99" i="3" s="1"/>
  <c r="E95" i="3"/>
  <c r="C95" i="3" s="1"/>
  <c r="E91" i="3"/>
  <c r="C91" i="3" s="1"/>
  <c r="E84" i="3"/>
  <c r="E58" i="3"/>
  <c r="C58" i="3" s="1"/>
  <c r="E43" i="3"/>
  <c r="C43" i="3" s="1"/>
  <c r="E39" i="3"/>
  <c r="C39" i="3" s="1"/>
  <c r="P81" i="1"/>
  <c r="O10" i="8" s="1"/>
  <c r="O11" i="8" s="1"/>
  <c r="P29" i="1"/>
  <c r="C16" i="4"/>
  <c r="F16" i="4" s="1"/>
  <c r="C12" i="4"/>
  <c r="F12" i="4" s="1"/>
  <c r="L72" i="1"/>
  <c r="S97" i="1"/>
  <c r="G43" i="1"/>
  <c r="E31" i="3"/>
  <c r="C31" i="3" s="1"/>
  <c r="E35" i="3"/>
  <c r="C35" i="3" s="1"/>
  <c r="E33" i="3"/>
  <c r="C33" i="3" s="1"/>
  <c r="E28" i="3"/>
  <c r="C69" i="3"/>
  <c r="E32" i="3"/>
  <c r="E27" i="3"/>
  <c r="C27" i="3" s="1"/>
  <c r="M118" i="1"/>
  <c r="M139" i="1" s="1"/>
  <c r="L14" i="8" s="1"/>
  <c r="L15" i="8" s="1"/>
  <c r="C138" i="4"/>
  <c r="F138" i="4" s="1"/>
  <c r="C128" i="4"/>
  <c r="F128" i="4" s="1"/>
  <c r="C127" i="4"/>
  <c r="F127" i="4" s="1"/>
  <c r="C134" i="4"/>
  <c r="F134" i="4" s="1"/>
  <c r="E330" i="1"/>
  <c r="Y316" i="1"/>
  <c r="C137" i="4"/>
  <c r="F137" i="4" s="1"/>
  <c r="C133" i="4"/>
  <c r="F133" i="4" s="1"/>
  <c r="C70" i="4"/>
  <c r="F70" i="4" s="1"/>
  <c r="C48" i="4"/>
  <c r="F48" i="4" s="1"/>
  <c r="C40" i="4"/>
  <c r="F40" i="4" s="1"/>
  <c r="C36" i="4"/>
  <c r="F36" i="4" s="1"/>
  <c r="C54" i="4"/>
  <c r="F54" i="4" s="1"/>
  <c r="C52" i="4"/>
  <c r="F52" i="4" s="1"/>
  <c r="C50" i="4"/>
  <c r="F50" i="4" s="1"/>
  <c r="T103" i="1"/>
  <c r="U105" i="1"/>
  <c r="C96" i="4"/>
  <c r="F96" i="4" s="1"/>
  <c r="C100" i="4"/>
  <c r="F100" i="4" s="1"/>
  <c r="C86" i="4"/>
  <c r="F86" i="4" s="1"/>
  <c r="C53" i="4"/>
  <c r="F53" i="4" s="1"/>
  <c r="C77" i="4"/>
  <c r="F77" i="4" s="1"/>
  <c r="C64" i="4"/>
  <c r="F64" i="4" s="1"/>
  <c r="C46" i="4"/>
  <c r="F46" i="4" s="1"/>
  <c r="C102" i="4"/>
  <c r="F102" i="4" s="1"/>
  <c r="C58" i="4"/>
  <c r="F58" i="4" s="1"/>
  <c r="C71" i="4"/>
  <c r="F71" i="4" s="1"/>
  <c r="C99" i="4"/>
  <c r="F99" i="4" s="1"/>
  <c r="C75" i="4"/>
  <c r="F75" i="4" s="1"/>
  <c r="C87" i="4"/>
  <c r="F87" i="4" s="1"/>
  <c r="C45" i="4"/>
  <c r="F45" i="4" s="1"/>
  <c r="C80" i="4"/>
  <c r="F80" i="4" s="1"/>
  <c r="C55" i="4"/>
  <c r="F55" i="4" s="1"/>
  <c r="Y283" i="1"/>
  <c r="C93" i="4"/>
  <c r="F93" i="4" s="1"/>
  <c r="C43" i="4"/>
  <c r="F43" i="4" s="1"/>
  <c r="C114" i="4"/>
  <c r="F114" i="4" s="1"/>
  <c r="C39" i="4"/>
  <c r="F39" i="4" s="1"/>
  <c r="Y230" i="1"/>
  <c r="C110" i="4"/>
  <c r="F110" i="4" s="1"/>
  <c r="C85" i="4"/>
  <c r="F85" i="4" s="1"/>
  <c r="C51" i="4"/>
  <c r="F51" i="4" s="1"/>
  <c r="C61" i="4"/>
  <c r="F61" i="4" s="1"/>
  <c r="C78" i="4"/>
  <c r="F78" i="4" s="1"/>
  <c r="C112" i="4"/>
  <c r="F112" i="4" s="1"/>
  <c r="C68" i="4"/>
  <c r="F68" i="4" s="1"/>
  <c r="C115" i="4"/>
  <c r="F115" i="4" s="1"/>
  <c r="U103" i="1"/>
  <c r="U64" i="1"/>
  <c r="S33" i="1"/>
  <c r="U24" i="1"/>
  <c r="U96" i="1"/>
  <c r="U35" i="1"/>
  <c r="T23" i="1"/>
  <c r="T28" i="1"/>
  <c r="U50" i="1"/>
  <c r="U62" i="1"/>
  <c r="T157" i="1"/>
  <c r="U161" i="1"/>
  <c r="T129" i="1"/>
  <c r="S129" i="1"/>
  <c r="U58" i="1"/>
  <c r="U41" i="1"/>
  <c r="Z157" i="1"/>
  <c r="U127" i="1"/>
  <c r="Y292" i="1"/>
  <c r="C108" i="4"/>
  <c r="F108" i="4" s="1"/>
  <c r="C88" i="4"/>
  <c r="F88" i="4" s="1"/>
  <c r="C72" i="4"/>
  <c r="F72" i="4" s="1"/>
  <c r="C105" i="4"/>
  <c r="F105" i="4" s="1"/>
  <c r="C123" i="4"/>
  <c r="F123" i="4" s="1"/>
  <c r="C104" i="4"/>
  <c r="F104" i="4" s="1"/>
  <c r="Y240" i="1"/>
  <c r="C124" i="4"/>
  <c r="F124" i="4" s="1"/>
  <c r="E34" i="3"/>
  <c r="C34" i="3" s="1"/>
  <c r="C97" i="3"/>
  <c r="C61" i="3"/>
  <c r="C101" i="4"/>
  <c r="F101" i="4" s="1"/>
  <c r="C67" i="4"/>
  <c r="F67" i="4" s="1"/>
  <c r="Y227" i="1"/>
  <c r="C74" i="4"/>
  <c r="F74" i="4" s="1"/>
  <c r="C119" i="4"/>
  <c r="F119" i="4" s="1"/>
  <c r="C107" i="4"/>
  <c r="F107" i="4" s="1"/>
  <c r="C94" i="4"/>
  <c r="F94" i="4" s="1"/>
  <c r="C84" i="4"/>
  <c r="F84" i="4" s="1"/>
  <c r="C60" i="4"/>
  <c r="F60" i="4" s="1"/>
  <c r="C116" i="4"/>
  <c r="F116" i="4" s="1"/>
  <c r="C91" i="4"/>
  <c r="F91" i="4" s="1"/>
  <c r="C121" i="4"/>
  <c r="F121" i="4" s="1"/>
  <c r="C83" i="4"/>
  <c r="F83" i="4" s="1"/>
  <c r="C90" i="4"/>
  <c r="F90" i="4" s="1"/>
  <c r="C34" i="4"/>
  <c r="F34" i="4" s="1"/>
  <c r="T123" i="1"/>
  <c r="I121" i="1"/>
  <c r="Q102" i="1"/>
  <c r="I95" i="1"/>
  <c r="Q39" i="1"/>
  <c r="U34" i="1"/>
  <c r="U22" i="1"/>
  <c r="T188" i="1"/>
  <c r="Z76" i="1"/>
  <c r="Y76" i="1" s="1"/>
  <c r="T56" i="1"/>
  <c r="S131" i="1"/>
  <c r="I70" i="1"/>
  <c r="Q55" i="1"/>
  <c r="Q31" i="1"/>
  <c r="S19" i="1"/>
  <c r="S107" i="1"/>
  <c r="S188" i="1"/>
  <c r="M121" i="1"/>
  <c r="S21" i="1"/>
  <c r="O31" i="1"/>
  <c r="O115" i="1"/>
  <c r="O160" i="1"/>
  <c r="O80" i="1"/>
  <c r="O138" i="1"/>
  <c r="O181" i="1"/>
  <c r="O95" i="1"/>
  <c r="O110" i="1"/>
  <c r="O121" i="1"/>
  <c r="O70" i="1"/>
  <c r="O148" i="1"/>
  <c r="O187" i="1"/>
  <c r="U182" i="1"/>
  <c r="U162" i="1"/>
  <c r="G113" i="1"/>
  <c r="S103" i="1"/>
  <c r="S32" i="1"/>
  <c r="P17" i="1"/>
  <c r="P67" i="1" s="1"/>
  <c r="U169" i="1"/>
  <c r="U23" i="1"/>
  <c r="U19" i="1"/>
  <c r="S150" i="1"/>
  <c r="U128" i="1"/>
  <c r="S56" i="1"/>
  <c r="S27" i="1"/>
  <c r="U156" i="1"/>
  <c r="T128" i="1"/>
  <c r="S72" i="1"/>
  <c r="I43" i="1"/>
  <c r="T26" i="1"/>
  <c r="S20" i="1"/>
  <c r="S128" i="1"/>
  <c r="S51" i="1"/>
  <c r="T169" i="1"/>
  <c r="T156" i="1"/>
  <c r="U107" i="1"/>
  <c r="U98" i="1"/>
  <c r="I53" i="1"/>
  <c r="T33" i="1"/>
  <c r="G29" i="1"/>
  <c r="T62" i="1"/>
  <c r="S26" i="1"/>
  <c r="S99" i="1"/>
  <c r="L73" i="1"/>
  <c r="T64" i="1"/>
  <c r="S60" i="1"/>
  <c r="S52" i="1"/>
  <c r="G42" i="1"/>
  <c r="Z23" i="1"/>
  <c r="U20" i="1"/>
  <c r="U125" i="1"/>
  <c r="S123" i="1"/>
  <c r="G108" i="1"/>
  <c r="T21" i="1"/>
  <c r="T125" i="1"/>
  <c r="I135" i="1"/>
  <c r="S68" i="1"/>
  <c r="G53" i="1"/>
  <c r="T18" i="1"/>
  <c r="K191" i="1"/>
  <c r="L191" i="1" s="1"/>
  <c r="U131" i="1"/>
  <c r="U111" i="1"/>
  <c r="T107" i="1"/>
  <c r="S64" i="1"/>
  <c r="S41" i="1"/>
  <c r="U33" i="1"/>
  <c r="U26" i="1"/>
  <c r="T150" i="1"/>
  <c r="S28" i="1"/>
  <c r="T132" i="1"/>
  <c r="S125" i="1"/>
  <c r="U123" i="1"/>
  <c r="T106" i="1"/>
  <c r="T68" i="1"/>
  <c r="S62" i="1"/>
  <c r="G65" i="1"/>
  <c r="U51" i="1"/>
  <c r="T19" i="1"/>
  <c r="I29" i="1"/>
  <c r="S133" i="1"/>
  <c r="U133" i="1"/>
  <c r="L53" i="1"/>
  <c r="G80" i="1"/>
  <c r="G138" i="1"/>
  <c r="G148" i="1"/>
  <c r="G39" i="1"/>
  <c r="G160" i="1"/>
  <c r="G181" i="1"/>
  <c r="G48" i="1"/>
  <c r="H102" i="1"/>
  <c r="G55" i="1"/>
  <c r="G115" i="1"/>
  <c r="G121" i="1"/>
  <c r="T134" i="1"/>
  <c r="T111" i="1"/>
  <c r="P102" i="1"/>
  <c r="K100" i="1"/>
  <c r="L100" i="1" s="1"/>
  <c r="I65" i="1"/>
  <c r="S63" i="1"/>
  <c r="L56" i="1"/>
  <c r="U52" i="1"/>
  <c r="T41" i="1"/>
  <c r="O39" i="1"/>
  <c r="L28" i="1"/>
  <c r="S18" i="1"/>
  <c r="T133" i="1"/>
  <c r="K116" i="1"/>
  <c r="S111" i="1"/>
  <c r="I100" i="1"/>
  <c r="T60" i="1"/>
  <c r="H17" i="1"/>
  <c r="T105" i="1"/>
  <c r="U68" i="1"/>
  <c r="G17" i="8"/>
  <c r="H13" i="8"/>
  <c r="U184" i="1"/>
  <c r="I191" i="1"/>
  <c r="U188" i="1"/>
  <c r="T104" i="1"/>
  <c r="S151" i="1"/>
  <c r="U124" i="1"/>
  <c r="I108" i="1"/>
  <c r="S61" i="1"/>
  <c r="T52" i="1"/>
  <c r="T51" i="1"/>
  <c r="S40" i="1"/>
  <c r="S37" i="1"/>
  <c r="U32" i="1"/>
  <c r="U21" i="1"/>
  <c r="H18" i="1"/>
  <c r="O17" i="8"/>
  <c r="L17" i="8"/>
  <c r="J13" i="8"/>
  <c r="U183" i="1"/>
  <c r="J17" i="8"/>
  <c r="P13" i="8"/>
  <c r="T58" i="1"/>
  <c r="T50" i="1"/>
  <c r="T49" i="1"/>
  <c r="T35" i="1"/>
  <c r="T34" i="1"/>
  <c r="T24" i="1"/>
  <c r="T22" i="1"/>
  <c r="S161" i="1"/>
  <c r="S105" i="1"/>
  <c r="S104" i="1"/>
  <c r="G100" i="1"/>
  <c r="T72" i="1"/>
  <c r="S59" i="1"/>
  <c r="S58" i="1"/>
  <c r="S50" i="1"/>
  <c r="S49" i="1"/>
  <c r="I42" i="1"/>
  <c r="S35" i="1"/>
  <c r="S34" i="1"/>
  <c r="T32" i="1"/>
  <c r="S24" i="1"/>
  <c r="S23" i="1"/>
  <c r="S22" i="1"/>
  <c r="T20" i="1"/>
  <c r="K43" i="1"/>
  <c r="S157" i="1"/>
  <c r="L150" i="1"/>
  <c r="T149" i="1"/>
  <c r="T131" i="1"/>
  <c r="S57" i="1"/>
  <c r="K53" i="1"/>
  <c r="S25" i="1"/>
  <c r="C76" i="4"/>
  <c r="F76" i="4" s="1"/>
  <c r="C66" i="4"/>
  <c r="F66" i="4" s="1"/>
  <c r="C47" i="4"/>
  <c r="F47" i="4" s="1"/>
  <c r="C38" i="4"/>
  <c r="F38" i="4" s="1"/>
  <c r="C120" i="4"/>
  <c r="F120" i="4" s="1"/>
  <c r="C92" i="4"/>
  <c r="F92" i="4" s="1"/>
  <c r="C109" i="4"/>
  <c r="F109" i="4" s="1"/>
  <c r="C82" i="4"/>
  <c r="F82" i="4" s="1"/>
  <c r="C63" i="4"/>
  <c r="F63" i="4" s="1"/>
  <c r="C95" i="4"/>
  <c r="F95" i="4" s="1"/>
  <c r="C117" i="4"/>
  <c r="F117" i="4" s="1"/>
  <c r="C44" i="4"/>
  <c r="F44" i="4" s="1"/>
  <c r="C35" i="4"/>
  <c r="F35" i="4" s="1"/>
  <c r="C98" i="4"/>
  <c r="F98" i="4" s="1"/>
  <c r="C79" i="4"/>
  <c r="F79" i="4" s="1"/>
  <c r="Y281" i="1"/>
  <c r="C106" i="4"/>
  <c r="F106" i="4" s="1"/>
  <c r="Y288" i="1"/>
  <c r="Y268" i="1"/>
  <c r="Y260" i="1"/>
  <c r="Y252" i="1"/>
  <c r="Y244" i="1"/>
  <c r="Y236" i="1"/>
  <c r="Y228" i="1"/>
  <c r="Y220" i="1"/>
  <c r="Y212" i="1"/>
  <c r="G338" i="1"/>
  <c r="F31" i="8"/>
  <c r="F32" i="8" s="1"/>
  <c r="Z338" i="1"/>
  <c r="Y338" i="1" s="1"/>
  <c r="S196" i="1"/>
  <c r="C104" i="3"/>
  <c r="C94" i="3"/>
  <c r="C66" i="3"/>
  <c r="C28" i="3"/>
  <c r="C84" i="3"/>
  <c r="C36" i="3"/>
  <c r="C32" i="3"/>
  <c r="C107" i="3"/>
  <c r="C90" i="3"/>
  <c r="C106" i="3"/>
  <c r="C79" i="3"/>
  <c r="C52" i="3"/>
  <c r="C38" i="3"/>
  <c r="C45" i="3"/>
  <c r="C102" i="3"/>
  <c r="C98" i="3"/>
  <c r="C44" i="3"/>
  <c r="C25" i="3"/>
  <c r="E26" i="3"/>
  <c r="C26" i="3" s="1"/>
  <c r="E29" i="3"/>
  <c r="C29" i="3" s="1"/>
  <c r="Y311" i="1"/>
  <c r="C132" i="4"/>
  <c r="F132" i="4" s="1"/>
  <c r="E311" i="1"/>
  <c r="Y337" i="1"/>
  <c r="C140" i="4"/>
  <c r="F140" i="4" s="1"/>
  <c r="V282" i="1"/>
  <c r="T282" i="1" s="1"/>
  <c r="V269" i="1"/>
  <c r="T269" i="1" s="1"/>
  <c r="V268" i="1"/>
  <c r="T268" i="1" s="1"/>
  <c r="Z328" i="1"/>
  <c r="T328" i="1"/>
  <c r="G303" i="1"/>
  <c r="V283" i="1"/>
  <c r="T283" i="1" s="1"/>
  <c r="E283" i="1" s="1"/>
  <c r="V281" i="1"/>
  <c r="T281" i="1" s="1"/>
  <c r="E281" i="1" s="1"/>
  <c r="V280" i="1"/>
  <c r="T280" i="1" s="1"/>
  <c r="E280" i="1" s="1"/>
  <c r="V264" i="1"/>
  <c r="T264" i="1" s="1"/>
  <c r="E264" i="1" s="1"/>
  <c r="W234" i="1"/>
  <c r="U234" i="1" s="1"/>
  <c r="N17" i="8"/>
  <c r="O9" i="8"/>
  <c r="O13" i="8" s="1"/>
  <c r="U337" i="1"/>
  <c r="T337" i="1"/>
  <c r="E331" i="1"/>
  <c r="U308" i="1"/>
  <c r="V285" i="1"/>
  <c r="T285" i="1" s="1"/>
  <c r="E285" i="1" s="1"/>
  <c r="W205" i="1"/>
  <c r="U205" i="1" s="1"/>
  <c r="W213" i="1"/>
  <c r="U213" i="1" s="1"/>
  <c r="W221" i="1"/>
  <c r="U221" i="1" s="1"/>
  <c r="W229" i="1"/>
  <c r="U229" i="1" s="1"/>
  <c r="W237" i="1"/>
  <c r="U237" i="1" s="1"/>
  <c r="W245" i="1"/>
  <c r="U245" i="1" s="1"/>
  <c r="W253" i="1"/>
  <c r="U253" i="1" s="1"/>
  <c r="W261" i="1"/>
  <c r="U261" i="1" s="1"/>
  <c r="W269" i="1"/>
  <c r="U269" i="1" s="1"/>
  <c r="W206" i="1"/>
  <c r="U206" i="1" s="1"/>
  <c r="W214" i="1"/>
  <c r="U214" i="1" s="1"/>
  <c r="W222" i="1"/>
  <c r="U222" i="1" s="1"/>
  <c r="W230" i="1"/>
  <c r="U230" i="1" s="1"/>
  <c r="W238" i="1"/>
  <c r="U238" i="1" s="1"/>
  <c r="W246" i="1"/>
  <c r="U246" i="1" s="1"/>
  <c r="E246" i="1" s="1"/>
  <c r="W254" i="1"/>
  <c r="U254" i="1" s="1"/>
  <c r="W262" i="1"/>
  <c r="U262" i="1" s="1"/>
  <c r="W270" i="1"/>
  <c r="U270" i="1" s="1"/>
  <c r="W211" i="1"/>
  <c r="U211" i="1" s="1"/>
  <c r="W219" i="1"/>
  <c r="U219" i="1" s="1"/>
  <c r="W227" i="1"/>
  <c r="U227" i="1" s="1"/>
  <c r="W235" i="1"/>
  <c r="U235" i="1" s="1"/>
  <c r="W243" i="1"/>
  <c r="U243" i="1" s="1"/>
  <c r="W251" i="1"/>
  <c r="U251" i="1" s="1"/>
  <c r="W259" i="1"/>
  <c r="U259" i="1" s="1"/>
  <c r="W267" i="1"/>
  <c r="U267" i="1" s="1"/>
  <c r="W212" i="1"/>
  <c r="U212" i="1" s="1"/>
  <c r="W224" i="1"/>
  <c r="U224" i="1" s="1"/>
  <c r="W225" i="1"/>
  <c r="U225" i="1" s="1"/>
  <c r="W226" i="1"/>
  <c r="U226" i="1" s="1"/>
  <c r="W239" i="1"/>
  <c r="U239" i="1" s="1"/>
  <c r="W216" i="1"/>
  <c r="U216" i="1" s="1"/>
  <c r="W217" i="1"/>
  <c r="U217" i="1" s="1"/>
  <c r="W218" i="1"/>
  <c r="U218" i="1" s="1"/>
  <c r="W231" i="1"/>
  <c r="U231" i="1" s="1"/>
  <c r="W208" i="1"/>
  <c r="U208" i="1" s="1"/>
  <c r="W209" i="1"/>
  <c r="U209" i="1" s="1"/>
  <c r="W210" i="1"/>
  <c r="U210" i="1" s="1"/>
  <c r="W223" i="1"/>
  <c r="U223" i="1" s="1"/>
  <c r="W252" i="1"/>
  <c r="U252" i="1" s="1"/>
  <c r="W264" i="1"/>
  <c r="U264" i="1" s="1"/>
  <c r="W265" i="1"/>
  <c r="U265" i="1" s="1"/>
  <c r="E265" i="1" s="1"/>
  <c r="W266" i="1"/>
  <c r="U266" i="1" s="1"/>
  <c r="W275" i="1"/>
  <c r="U275" i="1" s="1"/>
  <c r="W283" i="1"/>
  <c r="U283" i="1" s="1"/>
  <c r="W291" i="1"/>
  <c r="U291" i="1" s="1"/>
  <c r="W215" i="1"/>
  <c r="U215" i="1" s="1"/>
  <c r="W256" i="1"/>
  <c r="U256" i="1" s="1"/>
  <c r="W257" i="1"/>
  <c r="U257" i="1" s="1"/>
  <c r="W207" i="1"/>
  <c r="U207" i="1" s="1"/>
  <c r="W244" i="1"/>
  <c r="U244" i="1" s="1"/>
  <c r="W248" i="1"/>
  <c r="U248" i="1" s="1"/>
  <c r="E248" i="1" s="1"/>
  <c r="W249" i="1"/>
  <c r="U249" i="1" s="1"/>
  <c r="W250" i="1"/>
  <c r="U250" i="1" s="1"/>
  <c r="W236" i="1"/>
  <c r="U236" i="1" s="1"/>
  <c r="W255" i="1"/>
  <c r="U255" i="1" s="1"/>
  <c r="W278" i="1"/>
  <c r="U278" i="1" s="1"/>
  <c r="W286" i="1"/>
  <c r="U286" i="1" s="1"/>
  <c r="W294" i="1"/>
  <c r="U294" i="1" s="1"/>
  <c r="W228" i="1"/>
  <c r="U228" i="1" s="1"/>
  <c r="W240" i="1"/>
  <c r="U240" i="1" s="1"/>
  <c r="W241" i="1"/>
  <c r="U241" i="1" s="1"/>
  <c r="W242" i="1"/>
  <c r="U242" i="1" s="1"/>
  <c r="W247" i="1"/>
  <c r="U247" i="1" s="1"/>
  <c r="W220" i="1"/>
  <c r="U220" i="1" s="1"/>
  <c r="W232" i="1"/>
  <c r="U232" i="1" s="1"/>
  <c r="K17" i="8"/>
  <c r="L13" i="8"/>
  <c r="S337" i="1"/>
  <c r="Z310" i="1"/>
  <c r="T308" i="1"/>
  <c r="T300" i="1"/>
  <c r="E300" i="1" s="1"/>
  <c r="W290" i="1"/>
  <c r="U290" i="1" s="1"/>
  <c r="W287" i="1"/>
  <c r="U287" i="1" s="1"/>
  <c r="V286" i="1"/>
  <c r="T286" i="1" s="1"/>
  <c r="E286" i="1" s="1"/>
  <c r="W274" i="1"/>
  <c r="U274" i="1" s="1"/>
  <c r="W271" i="1"/>
  <c r="U271" i="1" s="1"/>
  <c r="V206" i="1"/>
  <c r="T206" i="1" s="1"/>
  <c r="E206" i="1" s="1"/>
  <c r="V214" i="1"/>
  <c r="T214" i="1" s="1"/>
  <c r="V222" i="1"/>
  <c r="T222" i="1" s="1"/>
  <c r="V230" i="1"/>
  <c r="T230" i="1" s="1"/>
  <c r="V238" i="1"/>
  <c r="T238" i="1" s="1"/>
  <c r="V246" i="1"/>
  <c r="T246" i="1" s="1"/>
  <c r="V254" i="1"/>
  <c r="T254" i="1" s="1"/>
  <c r="V262" i="1"/>
  <c r="T262" i="1" s="1"/>
  <c r="V270" i="1"/>
  <c r="T270" i="1" s="1"/>
  <c r="V207" i="1"/>
  <c r="T207" i="1" s="1"/>
  <c r="V215" i="1"/>
  <c r="T215" i="1" s="1"/>
  <c r="V223" i="1"/>
  <c r="T223" i="1" s="1"/>
  <c r="V231" i="1"/>
  <c r="T231" i="1" s="1"/>
  <c r="E231" i="1" s="1"/>
  <c r="V239" i="1"/>
  <c r="T239" i="1" s="1"/>
  <c r="V247" i="1"/>
  <c r="T247" i="1" s="1"/>
  <c r="V255" i="1"/>
  <c r="T255" i="1" s="1"/>
  <c r="V263" i="1"/>
  <c r="T263" i="1" s="1"/>
  <c r="V271" i="1"/>
  <c r="T271" i="1" s="1"/>
  <c r="V212" i="1"/>
  <c r="T212" i="1" s="1"/>
  <c r="V220" i="1"/>
  <c r="T220" i="1" s="1"/>
  <c r="V228" i="1"/>
  <c r="T228" i="1" s="1"/>
  <c r="V236" i="1"/>
  <c r="T236" i="1" s="1"/>
  <c r="V244" i="1"/>
  <c r="T244" i="1" s="1"/>
  <c r="E244" i="1" s="1"/>
  <c r="V252" i="1"/>
  <c r="T252" i="1" s="1"/>
  <c r="V260" i="1"/>
  <c r="T260" i="1" s="1"/>
  <c r="E260" i="1" s="1"/>
  <c r="V205" i="1"/>
  <c r="T205" i="1" s="1"/>
  <c r="V211" i="1"/>
  <c r="T211" i="1" s="1"/>
  <c r="V216" i="1"/>
  <c r="T216" i="1" s="1"/>
  <c r="V217" i="1"/>
  <c r="T217" i="1" s="1"/>
  <c r="V218" i="1"/>
  <c r="T218" i="1" s="1"/>
  <c r="V208" i="1"/>
  <c r="T208" i="1" s="1"/>
  <c r="E208" i="1" s="1"/>
  <c r="V209" i="1"/>
  <c r="T209" i="1" s="1"/>
  <c r="E209" i="1" s="1"/>
  <c r="V210" i="1"/>
  <c r="T210" i="1" s="1"/>
  <c r="V253" i="1"/>
  <c r="T253" i="1" s="1"/>
  <c r="V245" i="1"/>
  <c r="T245" i="1" s="1"/>
  <c r="V251" i="1"/>
  <c r="T251" i="1" s="1"/>
  <c r="V256" i="1"/>
  <c r="T256" i="1" s="1"/>
  <c r="V257" i="1"/>
  <c r="T257" i="1" s="1"/>
  <c r="V258" i="1"/>
  <c r="T258" i="1" s="1"/>
  <c r="E258" i="1" s="1"/>
  <c r="V276" i="1"/>
  <c r="T276" i="1" s="1"/>
  <c r="E276" i="1" s="1"/>
  <c r="V284" i="1"/>
  <c r="T284" i="1" s="1"/>
  <c r="E284" i="1" s="1"/>
  <c r="V292" i="1"/>
  <c r="T292" i="1" s="1"/>
  <c r="V248" i="1"/>
  <c r="T248" i="1" s="1"/>
  <c r="V249" i="1"/>
  <c r="T249" i="1" s="1"/>
  <c r="V250" i="1"/>
  <c r="T250" i="1" s="1"/>
  <c r="V237" i="1"/>
  <c r="T237" i="1" s="1"/>
  <c r="V243" i="1"/>
  <c r="T243" i="1" s="1"/>
  <c r="V229" i="1"/>
  <c r="T229" i="1" s="1"/>
  <c r="E229" i="1" s="1"/>
  <c r="V235" i="1"/>
  <c r="T235" i="1" s="1"/>
  <c r="V240" i="1"/>
  <c r="T240" i="1" s="1"/>
  <c r="E240" i="1" s="1"/>
  <c r="V241" i="1"/>
  <c r="T241" i="1" s="1"/>
  <c r="V242" i="1"/>
  <c r="T242" i="1" s="1"/>
  <c r="V279" i="1"/>
  <c r="T279" i="1" s="1"/>
  <c r="V287" i="1"/>
  <c r="T287" i="1" s="1"/>
  <c r="E287" i="1" s="1"/>
  <c r="V221" i="1"/>
  <c r="T221" i="1" s="1"/>
  <c r="E221" i="1" s="1"/>
  <c r="V227" i="1"/>
  <c r="T227" i="1" s="1"/>
  <c r="E227" i="1" s="1"/>
  <c r="V232" i="1"/>
  <c r="T232" i="1" s="1"/>
  <c r="E232" i="1" s="1"/>
  <c r="V233" i="1"/>
  <c r="T233" i="1" s="1"/>
  <c r="V234" i="1"/>
  <c r="T234" i="1" s="1"/>
  <c r="V213" i="1"/>
  <c r="T213" i="1" s="1"/>
  <c r="E213" i="1" s="1"/>
  <c r="V219" i="1"/>
  <c r="T219" i="1" s="1"/>
  <c r="V224" i="1"/>
  <c r="T224" i="1" s="1"/>
  <c r="V225" i="1"/>
  <c r="T225" i="1" s="1"/>
  <c r="E225" i="1" s="1"/>
  <c r="V226" i="1"/>
  <c r="T226" i="1" s="1"/>
  <c r="E226" i="1" s="1"/>
  <c r="E308" i="1"/>
  <c r="V290" i="1"/>
  <c r="T290" i="1" s="1"/>
  <c r="E290" i="1" s="1"/>
  <c r="W289" i="1"/>
  <c r="U289" i="1" s="1"/>
  <c r="W288" i="1"/>
  <c r="U288" i="1" s="1"/>
  <c r="V274" i="1"/>
  <c r="T274" i="1" s="1"/>
  <c r="W273" i="1"/>
  <c r="U273" i="1" s="1"/>
  <c r="W272" i="1"/>
  <c r="U272" i="1" s="1"/>
  <c r="V266" i="1"/>
  <c r="T266" i="1" s="1"/>
  <c r="E266" i="1" s="1"/>
  <c r="V259" i="1"/>
  <c r="T259" i="1" s="1"/>
  <c r="E259" i="1" s="1"/>
  <c r="E198" i="1"/>
  <c r="G324" i="1"/>
  <c r="T323" i="1"/>
  <c r="Y315" i="1"/>
  <c r="U301" i="1"/>
  <c r="E301" i="1" s="1"/>
  <c r="W293" i="1"/>
  <c r="U293" i="1" s="1"/>
  <c r="W292" i="1"/>
  <c r="U292" i="1" s="1"/>
  <c r="V291" i="1"/>
  <c r="T291" i="1" s="1"/>
  <c r="V289" i="1"/>
  <c r="T289" i="1" s="1"/>
  <c r="E289" i="1" s="1"/>
  <c r="V288" i="1"/>
  <c r="T288" i="1" s="1"/>
  <c r="W277" i="1"/>
  <c r="U277" i="1" s="1"/>
  <c r="W276" i="1"/>
  <c r="U276" i="1" s="1"/>
  <c r="V275" i="1"/>
  <c r="T275" i="1" s="1"/>
  <c r="E275" i="1" s="1"/>
  <c r="V273" i="1"/>
  <c r="T273" i="1" s="1"/>
  <c r="V272" i="1"/>
  <c r="T272" i="1" s="1"/>
  <c r="W263" i="1"/>
  <c r="U263" i="1" s="1"/>
  <c r="W260" i="1"/>
  <c r="U260" i="1" s="1"/>
  <c r="F17" i="8"/>
  <c r="G9" i="8"/>
  <c r="G13" i="8" s="1"/>
  <c r="U299" i="1"/>
  <c r="V293" i="1"/>
  <c r="T293" i="1" s="1"/>
  <c r="V277" i="1"/>
  <c r="T277" i="1" s="1"/>
  <c r="W233" i="1"/>
  <c r="U233" i="1" s="1"/>
  <c r="U328" i="1"/>
  <c r="T299" i="1"/>
  <c r="V294" i="1"/>
  <c r="T294" i="1" s="1"/>
  <c r="E288" i="1"/>
  <c r="W282" i="1"/>
  <c r="U282" i="1" s="1"/>
  <c r="W279" i="1"/>
  <c r="U279" i="1" s="1"/>
  <c r="V278" i="1"/>
  <c r="T278" i="1" s="1"/>
  <c r="W268" i="1"/>
  <c r="U268" i="1" s="1"/>
  <c r="V267" i="1"/>
  <c r="T267" i="1" s="1"/>
  <c r="E267" i="1" s="1"/>
  <c r="V261" i="1"/>
  <c r="T261" i="1" s="1"/>
  <c r="E197" i="1"/>
  <c r="U189" i="1"/>
  <c r="S189" i="1"/>
  <c r="U190" i="1"/>
  <c r="E211" i="1"/>
  <c r="P191" i="1"/>
  <c r="T190" i="1"/>
  <c r="T182" i="1"/>
  <c r="S190" i="1"/>
  <c r="S176" i="1"/>
  <c r="Z176" i="1"/>
  <c r="G178" i="1"/>
  <c r="T176" i="1"/>
  <c r="U176" i="1"/>
  <c r="T189" i="1"/>
  <c r="G191" i="1"/>
  <c r="S184" i="1"/>
  <c r="T184" i="1"/>
  <c r="S183" i="1"/>
  <c r="T183" i="1"/>
  <c r="Z167" i="1"/>
  <c r="S167" i="1"/>
  <c r="T167" i="1"/>
  <c r="U167" i="1"/>
  <c r="L122" i="1"/>
  <c r="L135" i="1" s="1"/>
  <c r="K135" i="1"/>
  <c r="E75" i="1"/>
  <c r="Y75" i="1"/>
  <c r="U149" i="1"/>
  <c r="U126" i="1"/>
  <c r="S126" i="1"/>
  <c r="T126" i="1"/>
  <c r="T96" i="1"/>
  <c r="U157" i="1"/>
  <c r="U151" i="1"/>
  <c r="S149" i="1"/>
  <c r="S124" i="1"/>
  <c r="T124" i="1"/>
  <c r="S182" i="1"/>
  <c r="T162" i="1"/>
  <c r="S162" i="1"/>
  <c r="T151" i="1"/>
  <c r="U134" i="1"/>
  <c r="S134" i="1"/>
  <c r="U132" i="1"/>
  <c r="S132" i="1"/>
  <c r="U129" i="1"/>
  <c r="S122" i="1"/>
  <c r="T122" i="1"/>
  <c r="U130" i="1"/>
  <c r="S130" i="1"/>
  <c r="T130" i="1"/>
  <c r="T98" i="1"/>
  <c r="U11" i="1"/>
  <c r="T112" i="1"/>
  <c r="K113" i="1"/>
  <c r="L112" i="1"/>
  <c r="L113" i="1" s="1"/>
  <c r="T99" i="1"/>
  <c r="T161" i="1"/>
  <c r="G135" i="1"/>
  <c r="S112" i="1"/>
  <c r="S156" i="1"/>
  <c r="Z156" i="1"/>
  <c r="U74" i="1"/>
  <c r="Q118" i="1"/>
  <c r="Q139" i="1" s="1"/>
  <c r="P14" i="8" s="1"/>
  <c r="P15" i="8" s="1"/>
  <c r="M102" i="1"/>
  <c r="S98" i="1"/>
  <c r="S96" i="1"/>
  <c r="E85" i="1"/>
  <c r="T74" i="1"/>
  <c r="S71" i="1"/>
  <c r="M67" i="1"/>
  <c r="M48" i="1"/>
  <c r="L43" i="1"/>
  <c r="M31" i="1"/>
  <c r="T11" i="1"/>
  <c r="K108" i="1"/>
  <c r="L104" i="1"/>
  <c r="L108" i="1" s="1"/>
  <c r="U99" i="1"/>
  <c r="U97" i="1"/>
  <c r="M81" i="1"/>
  <c r="L10" i="8" s="1"/>
  <c r="L11" i="8" s="1"/>
  <c r="S74" i="1"/>
  <c r="U72" i="1"/>
  <c r="M70" i="1"/>
  <c r="L63" i="1"/>
  <c r="L61" i="1"/>
  <c r="L59" i="1"/>
  <c r="L57" i="1"/>
  <c r="H116" i="1"/>
  <c r="L40" i="1"/>
  <c r="L42" i="1" s="1"/>
  <c r="L27" i="1"/>
  <c r="L25" i="1"/>
  <c r="L18" i="1"/>
  <c r="S11" i="1"/>
  <c r="M115" i="1"/>
  <c r="T97" i="1"/>
  <c r="M95" i="1"/>
  <c r="M80" i="1"/>
  <c r="Z74" i="1"/>
  <c r="U71" i="1"/>
  <c r="K65" i="1"/>
  <c r="T44" i="1"/>
  <c r="K42" i="1"/>
  <c r="T37" i="1"/>
  <c r="K29" i="1"/>
  <c r="L17" i="1"/>
  <c r="Z11" i="1"/>
  <c r="S44" i="1"/>
  <c r="O55" i="1"/>
  <c r="M138" i="1"/>
  <c r="T127" i="1"/>
  <c r="G116" i="1"/>
  <c r="M110" i="1"/>
  <c r="Q81" i="1"/>
  <c r="T63" i="1"/>
  <c r="T61" i="1"/>
  <c r="T59" i="1"/>
  <c r="T57" i="1"/>
  <c r="T40" i="1"/>
  <c r="T27" i="1"/>
  <c r="T25" i="1"/>
  <c r="I113" i="1"/>
  <c r="O102" i="1"/>
  <c r="G73" i="1"/>
  <c r="O67" i="1"/>
  <c r="O48" i="1"/>
  <c r="P95" i="1" l="1"/>
  <c r="P115" i="1"/>
  <c r="G187" i="1"/>
  <c r="G110" i="1"/>
  <c r="G95" i="1"/>
  <c r="G102" i="1"/>
  <c r="G70" i="1"/>
  <c r="G31" i="1"/>
  <c r="Y77" i="1"/>
  <c r="E77" i="1"/>
  <c r="E274" i="1"/>
  <c r="E237" i="1"/>
  <c r="E228" i="1"/>
  <c r="E328" i="1"/>
  <c r="E293" i="1"/>
  <c r="E219" i="1"/>
  <c r="E256" i="1"/>
  <c r="E294" i="1"/>
  <c r="E249" i="1"/>
  <c r="E251" i="1"/>
  <c r="E230" i="1"/>
  <c r="E323" i="1"/>
  <c r="E261" i="1"/>
  <c r="E269" i="1"/>
  <c r="E299" i="1"/>
  <c r="E169" i="1"/>
  <c r="I118" i="1"/>
  <c r="I139" i="1" s="1"/>
  <c r="H191" i="1"/>
  <c r="Z105" i="1"/>
  <c r="Z162" i="1"/>
  <c r="C28" i="4" s="1"/>
  <c r="F28" i="4" s="1"/>
  <c r="U150" i="1"/>
  <c r="E150" i="1" s="1"/>
  <c r="U25" i="1"/>
  <c r="E25" i="1" s="1"/>
  <c r="E324" i="1"/>
  <c r="H100" i="1"/>
  <c r="E68" i="1"/>
  <c r="U27" i="1"/>
  <c r="E27" i="1" s="1"/>
  <c r="U56" i="1"/>
  <c r="E56" i="1" s="1"/>
  <c r="Z103" i="1"/>
  <c r="Y103" i="1" s="1"/>
  <c r="U61" i="1"/>
  <c r="E61" i="1" s="1"/>
  <c r="U28" i="1"/>
  <c r="E28" i="1" s="1"/>
  <c r="E24" i="1"/>
  <c r="E127" i="1"/>
  <c r="H43" i="1"/>
  <c r="E72" i="1"/>
  <c r="E34" i="1"/>
  <c r="U63" i="1"/>
  <c r="E63" i="1" s="1"/>
  <c r="H42" i="1"/>
  <c r="E33" i="1"/>
  <c r="U59" i="1"/>
  <c r="E59" i="1" s="1"/>
  <c r="H113" i="1"/>
  <c r="G45" i="1"/>
  <c r="G75" i="1"/>
  <c r="E129" i="1"/>
  <c r="E133" i="1"/>
  <c r="E188" i="1"/>
  <c r="E161" i="1"/>
  <c r="E62" i="1"/>
  <c r="E20" i="1"/>
  <c r="E21" i="1"/>
  <c r="E41" i="1"/>
  <c r="E111" i="1"/>
  <c r="Y157" i="1"/>
  <c r="C24" i="4"/>
  <c r="F24" i="4" s="1"/>
  <c r="E26" i="1"/>
  <c r="E278" i="1"/>
  <c r="E214" i="1"/>
  <c r="E212" i="1"/>
  <c r="E262" i="1"/>
  <c r="E243" i="1"/>
  <c r="E235" i="1"/>
  <c r="E257" i="1"/>
  <c r="E224" i="1"/>
  <c r="E279" i="1"/>
  <c r="E217" i="1"/>
  <c r="E220" i="1"/>
  <c r="E268" i="1"/>
  <c r="E223" i="1"/>
  <c r="E238" i="1"/>
  <c r="E242" i="1"/>
  <c r="E291" i="1"/>
  <c r="E234" i="1"/>
  <c r="E241" i="1"/>
  <c r="E245" i="1"/>
  <c r="E222" i="1"/>
  <c r="E250" i="1"/>
  <c r="E277" i="1"/>
  <c r="E272" i="1"/>
  <c r="E292" i="1"/>
  <c r="E253" i="1"/>
  <c r="E271" i="1"/>
  <c r="E210" i="1"/>
  <c r="E252" i="1"/>
  <c r="E216" i="1"/>
  <c r="H108" i="1"/>
  <c r="E123" i="1"/>
  <c r="E64" i="1"/>
  <c r="H65" i="1"/>
  <c r="E23" i="1"/>
  <c r="E107" i="1"/>
  <c r="E19" i="1"/>
  <c r="E32" i="1"/>
  <c r="E76" i="1"/>
  <c r="C11" i="4"/>
  <c r="F11" i="4" s="1"/>
  <c r="H53" i="1"/>
  <c r="E35" i="1"/>
  <c r="P70" i="1"/>
  <c r="P110" i="1"/>
  <c r="U60" i="1"/>
  <c r="E60" i="1" s="1"/>
  <c r="U44" i="1"/>
  <c r="E44" i="1" s="1"/>
  <c r="P48" i="1"/>
  <c r="P80" i="1"/>
  <c r="U49" i="1"/>
  <c r="E49" i="1" s="1"/>
  <c r="E50" i="1"/>
  <c r="E125" i="1"/>
  <c r="E99" i="1"/>
  <c r="P138" i="1"/>
  <c r="P148" i="1"/>
  <c r="I75" i="1"/>
  <c r="E128" i="1"/>
  <c r="P160" i="1"/>
  <c r="P121" i="1"/>
  <c r="P55" i="1"/>
  <c r="P31" i="1"/>
  <c r="P187" i="1"/>
  <c r="P39" i="1"/>
  <c r="P181" i="1"/>
  <c r="E190" i="1"/>
  <c r="U106" i="1"/>
  <c r="E106" i="1" s="1"/>
  <c r="I45" i="1"/>
  <c r="E52" i="1"/>
  <c r="E51" i="1"/>
  <c r="E131" i="1"/>
  <c r="E98" i="1"/>
  <c r="E22" i="1"/>
  <c r="H29" i="1"/>
  <c r="E58" i="1"/>
  <c r="K75" i="1"/>
  <c r="U104" i="1"/>
  <c r="Y23" i="1"/>
  <c r="C10" i="4"/>
  <c r="F10" i="4" s="1"/>
  <c r="L118" i="1"/>
  <c r="L139" i="1" s="1"/>
  <c r="K14" i="8" s="1"/>
  <c r="K15" i="8" s="1"/>
  <c r="L29" i="1"/>
  <c r="E157" i="1"/>
  <c r="Z104" i="1"/>
  <c r="Y104" i="1" s="1"/>
  <c r="E134" i="1"/>
  <c r="K45" i="1"/>
  <c r="L45" i="1" s="1"/>
  <c r="K118" i="1"/>
  <c r="K139" i="1" s="1"/>
  <c r="J14" i="8" s="1"/>
  <c r="J15" i="8" s="1"/>
  <c r="H135" i="1"/>
  <c r="Y68" i="1"/>
  <c r="C103" i="4"/>
  <c r="F103" i="4" s="1"/>
  <c r="E97" i="1"/>
  <c r="E151" i="1"/>
  <c r="E124" i="1"/>
  <c r="H48" i="1"/>
  <c r="H70" i="1"/>
  <c r="H80" i="1"/>
  <c r="H138" i="1"/>
  <c r="H148" i="1"/>
  <c r="H110" i="1"/>
  <c r="H39" i="1"/>
  <c r="H95" i="1"/>
  <c r="H115" i="1"/>
  <c r="H121" i="1"/>
  <c r="H67" i="1"/>
  <c r="H160" i="1"/>
  <c r="H181" i="1"/>
  <c r="H187" i="1"/>
  <c r="H55" i="1"/>
  <c r="H31" i="1"/>
  <c r="E205" i="1"/>
  <c r="E337" i="1"/>
  <c r="E338" i="1"/>
  <c r="C141" i="4"/>
  <c r="F141" i="4" s="1"/>
  <c r="U37" i="1"/>
  <c r="E37" i="1" s="1"/>
  <c r="E12" i="1"/>
  <c r="Y12" i="1"/>
  <c r="C32" i="4"/>
  <c r="F32" i="4" s="1"/>
  <c r="E96" i="1"/>
  <c r="E183" i="1"/>
  <c r="E320" i="1"/>
  <c r="U18" i="1"/>
  <c r="E18" i="1" s="1"/>
  <c r="E215" i="1"/>
  <c r="Z116" i="1"/>
  <c r="S116" i="1"/>
  <c r="K187" i="1"/>
  <c r="K80" i="1"/>
  <c r="K95" i="1"/>
  <c r="K39" i="1"/>
  <c r="K70" i="1"/>
  <c r="K31" i="1"/>
  <c r="K48" i="1"/>
  <c r="K67" i="1"/>
  <c r="K102" i="1"/>
  <c r="K55" i="1"/>
  <c r="K110" i="1"/>
  <c r="K138" i="1"/>
  <c r="K115" i="1"/>
  <c r="K160" i="1"/>
  <c r="K181" i="1"/>
  <c r="K148" i="1"/>
  <c r="K121" i="1"/>
  <c r="L65" i="1"/>
  <c r="L75" i="1" s="1"/>
  <c r="E130" i="1"/>
  <c r="G118" i="1"/>
  <c r="G139" i="1" s="1"/>
  <c r="H174" i="1"/>
  <c r="Z324" i="1"/>
  <c r="F27" i="8"/>
  <c r="F28" i="8" s="1"/>
  <c r="E233" i="1"/>
  <c r="E207" i="1"/>
  <c r="U40" i="1"/>
  <c r="E40" i="1" s="1"/>
  <c r="Z303" i="1"/>
  <c r="Z304" i="1"/>
  <c r="G312" i="1"/>
  <c r="F23" i="8" s="1"/>
  <c r="F24" i="8" s="1"/>
  <c r="E11" i="1"/>
  <c r="E132" i="1"/>
  <c r="E182" i="1"/>
  <c r="Y176" i="1"/>
  <c r="C26" i="4"/>
  <c r="F26" i="4" s="1"/>
  <c r="E263" i="1"/>
  <c r="E270" i="1"/>
  <c r="E321" i="1"/>
  <c r="E282" i="1"/>
  <c r="H73" i="1"/>
  <c r="E184" i="1"/>
  <c r="E176" i="1"/>
  <c r="U112" i="1"/>
  <c r="E112" i="1" s="1"/>
  <c r="E255" i="1"/>
  <c r="Y328" i="1"/>
  <c r="C139" i="4"/>
  <c r="F139" i="4" s="1"/>
  <c r="P10" i="8"/>
  <c r="P11" i="8" s="1"/>
  <c r="Y11" i="1"/>
  <c r="C30" i="4"/>
  <c r="F30" i="4" s="1"/>
  <c r="Y156" i="1"/>
  <c r="C23" i="4"/>
  <c r="F23" i="4" s="1"/>
  <c r="E254" i="1"/>
  <c r="Y167" i="1"/>
  <c r="C25" i="4"/>
  <c r="F25" i="4" s="1"/>
  <c r="E74" i="1"/>
  <c r="Y74" i="1"/>
  <c r="C31" i="4"/>
  <c r="F31" i="4" s="1"/>
  <c r="E247" i="1"/>
  <c r="Y310" i="1"/>
  <c r="E310" i="1"/>
  <c r="C131" i="4"/>
  <c r="F131" i="4" s="1"/>
  <c r="U57" i="1"/>
  <c r="E57" i="1" s="1"/>
  <c r="L55" i="1"/>
  <c r="L110" i="1"/>
  <c r="L138" i="1"/>
  <c r="L39" i="1"/>
  <c r="L121" i="1"/>
  <c r="L70" i="1"/>
  <c r="L31" i="1"/>
  <c r="L48" i="1"/>
  <c r="L67" i="1"/>
  <c r="L102" i="1"/>
  <c r="L160" i="1"/>
  <c r="L187" i="1"/>
  <c r="L115" i="1"/>
  <c r="L95" i="1"/>
  <c r="L80" i="1"/>
  <c r="L181" i="1"/>
  <c r="L148" i="1"/>
  <c r="E71" i="1"/>
  <c r="E156" i="1"/>
  <c r="U122" i="1"/>
  <c r="E122" i="1" s="1"/>
  <c r="E149" i="1"/>
  <c r="E126" i="1"/>
  <c r="E167" i="1"/>
  <c r="E189" i="1"/>
  <c r="E273" i="1"/>
  <c r="E218" i="1"/>
  <c r="E236" i="1"/>
  <c r="E239" i="1"/>
  <c r="E322" i="1"/>
  <c r="Y105" i="1" l="1"/>
  <c r="E105" i="1"/>
  <c r="E162" i="1"/>
  <c r="H14" i="8"/>
  <c r="H15" i="8" s="1"/>
  <c r="Z139" i="1"/>
  <c r="E139" i="1" s="1"/>
  <c r="C20" i="4"/>
  <c r="F20" i="4" s="1"/>
  <c r="Y162" i="1"/>
  <c r="H45" i="1"/>
  <c r="E103" i="1"/>
  <c r="C21" i="4"/>
  <c r="F21" i="4" s="1"/>
  <c r="G81" i="1"/>
  <c r="F10" i="8" s="1"/>
  <c r="F11" i="8" s="1"/>
  <c r="H118" i="1"/>
  <c r="H139" i="1" s="1"/>
  <c r="G14" i="8" s="1"/>
  <c r="G15" i="8" s="1"/>
  <c r="H75" i="1"/>
  <c r="C19" i="4"/>
  <c r="F19" i="4" s="1"/>
  <c r="I81" i="1"/>
  <c r="E104" i="1"/>
  <c r="K81" i="1"/>
  <c r="J10" i="8" s="1"/>
  <c r="J11" i="8" s="1"/>
  <c r="Y303" i="1"/>
  <c r="E303" i="1"/>
  <c r="C129" i="4"/>
  <c r="F129" i="4" s="1"/>
  <c r="G145" i="1"/>
  <c r="H142" i="1" s="1"/>
  <c r="F14" i="8"/>
  <c r="F15" i="8" s="1"/>
  <c r="E304" i="1"/>
  <c r="Y304" i="1"/>
  <c r="C130" i="4"/>
  <c r="F130" i="4" s="1"/>
  <c r="H178" i="1"/>
  <c r="Y116" i="1"/>
  <c r="C29" i="4"/>
  <c r="F29" i="4" s="1"/>
  <c r="Y324" i="1"/>
  <c r="C136" i="4"/>
  <c r="F136" i="4" s="1"/>
  <c r="L81" i="1"/>
  <c r="E116" i="1"/>
  <c r="Y139" i="1" l="1"/>
  <c r="C22" i="4"/>
  <c r="F22" i="4" s="1"/>
  <c r="G88" i="1"/>
  <c r="H84" i="1" s="1"/>
  <c r="H81" i="1"/>
  <c r="H10" i="8"/>
  <c r="H11" i="8" s="1"/>
  <c r="Z81" i="1"/>
  <c r="K174" i="1"/>
  <c r="H145" i="1"/>
  <c r="K142" i="1" s="1"/>
  <c r="K10" i="8"/>
  <c r="K11" i="8" s="1"/>
  <c r="H88" i="1" l="1"/>
  <c r="K84" i="1" s="1"/>
  <c r="G10" i="8"/>
  <c r="G11" i="8" s="1"/>
  <c r="E81" i="1"/>
  <c r="C14" i="4"/>
  <c r="F14" i="4" s="1"/>
  <c r="Y81" i="1"/>
  <c r="K145" i="1"/>
  <c r="L142" i="1" s="1"/>
  <c r="L145" i="1" s="1"/>
  <c r="O142" i="1" s="1"/>
  <c r="O145" i="1" s="1"/>
  <c r="P142" i="1" s="1"/>
  <c r="P145" i="1" s="1"/>
  <c r="K178" i="1"/>
  <c r="U142" i="1" l="1"/>
  <c r="L174" i="1"/>
  <c r="K88" i="1"/>
  <c r="L84" i="1" s="1"/>
  <c r="T142" i="1"/>
  <c r="L88" i="1" l="1"/>
  <c r="A7" i="11" s="1"/>
  <c r="D7" i="11" s="1"/>
  <c r="E142" i="1"/>
  <c r="L178" i="1"/>
  <c r="A5" i="11" l="1"/>
  <c r="A7" i="31"/>
  <c r="D7" i="31" s="1"/>
  <c r="O84" i="1"/>
  <c r="O88" i="1" s="1"/>
  <c r="P84" i="1" s="1"/>
  <c r="P88" i="1" s="1"/>
  <c r="A13" i="11"/>
  <c r="B26" i="11"/>
  <c r="F26" i="11" s="1"/>
  <c r="A5" i="31"/>
  <c r="M174" i="1"/>
  <c r="C33" i="4" l="1"/>
  <c r="F33" i="4" s="1"/>
  <c r="A26" i="11" s="1"/>
  <c r="D9" i="31"/>
  <c r="G335" i="1"/>
  <c r="Z196" i="1"/>
  <c r="G336" i="1"/>
  <c r="Z88" i="1"/>
  <c r="Z89" i="1"/>
  <c r="T84" i="1"/>
  <c r="U84" i="1"/>
  <c r="M178" i="1"/>
  <c r="O174" i="1" l="1"/>
  <c r="E89" i="1"/>
  <c r="Y89" i="1"/>
  <c r="C18" i="4"/>
  <c r="F18" i="4" s="1"/>
  <c r="E84" i="1"/>
  <c r="E88" i="1"/>
  <c r="Y88" i="1"/>
  <c r="C17" i="4"/>
  <c r="F17" i="4" s="1"/>
  <c r="H335" i="1"/>
  <c r="H336" i="1" s="1"/>
  <c r="I335" i="1" s="1"/>
  <c r="I336" i="1" s="1"/>
  <c r="Z336" i="1" s="1"/>
  <c r="Y196" i="1"/>
  <c r="C126" i="4"/>
  <c r="F126" i="4" s="1"/>
  <c r="E196" i="1"/>
  <c r="C135" i="4" l="1"/>
  <c r="F135" i="4" s="1"/>
  <c r="E336" i="1"/>
  <c r="Y336" i="1"/>
  <c r="O178" i="1"/>
  <c r="Z178" i="1" s="1"/>
  <c r="T174" i="1"/>
  <c r="S174" i="1"/>
  <c r="U174" i="1"/>
  <c r="E174" i="1" l="1"/>
  <c r="U178" i="1"/>
  <c r="S178" i="1"/>
  <c r="Y178" i="1" l="1"/>
  <c r="C27" i="4"/>
  <c r="F27" i="4" s="1"/>
  <c r="B5" i="4" s="1"/>
  <c r="E178" i="1"/>
  <c r="B14" i="5" l="1"/>
  <c r="C14" i="5" s="1"/>
  <c r="B22" i="6"/>
  <c r="C22" i="6" s="1"/>
  <c r="C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GRIMLEY, Andrew</author>
    <author>DUNCAN, Andrew</author>
    <author>JOHNSON, Natalie</author>
  </authors>
  <commentList>
    <comment ref="D11" authorId="0" shapeId="0" xr:uid="{57BB26A2-5DF8-4A45-A864-AC4F3B396688}">
      <text>
        <r>
          <rPr>
            <sz val="12"/>
            <color indexed="81"/>
            <rFont val="Arial"/>
            <family val="2"/>
          </rPr>
          <t>Input the actual/estimated total number of pre and post 16 students in your trust as at the October census date in the year of input (this shouldn't be rounded to the nearest '000), but should be exact figures. If you've had any re-brokerage of academies after the October census date, you will need to adjust your pupil numbers accordingly.</t>
        </r>
      </text>
    </comment>
    <comment ref="D18" authorId="1" shapeId="0" xr:uid="{8089F4EE-B227-4B75-A1E8-23E830E7F819}">
      <text>
        <r>
          <rPr>
            <sz val="12"/>
            <color indexed="81"/>
            <rFont val="Arial"/>
            <family val="2"/>
          </rPr>
          <t>You should enter the total amount for the year you are claiming.</t>
        </r>
      </text>
    </comment>
    <comment ref="D19" authorId="0" shapeId="0" xr:uid="{B54CE8F4-B358-4CA1-A73C-AC301193EB94}">
      <text>
        <r>
          <rPr>
            <sz val="12"/>
            <color indexed="81"/>
            <rFont val="Arial"/>
            <family val="2"/>
          </rPr>
          <t xml:space="preserve">This is the gross GAG figure as shown on the trust's GAG funding statement and the post 16 allocation statement. Exclude any deductions for the RPA Scheme (insurance scheme), loan repayments or the Academy post 16-19 bursary funding.
</t>
        </r>
        <r>
          <rPr>
            <sz val="9"/>
            <color indexed="81"/>
            <rFont val="Tahoma"/>
            <family val="2"/>
          </rPr>
          <t xml:space="preserve">
</t>
        </r>
      </text>
    </comment>
    <comment ref="D20" authorId="0" shapeId="0" xr:uid="{4224B32A-A605-4409-8F17-9788915E5247}">
      <text>
        <r>
          <rPr>
            <sz val="12"/>
            <color indexed="81"/>
            <rFont val="Arial"/>
            <family val="2"/>
          </rPr>
          <t xml:space="preserve">Only include the Academy post 16-19 bursary fund.
</t>
        </r>
      </text>
    </comment>
    <comment ref="D21" authorId="0" shapeId="0" xr:uid="{3B84BF44-02EF-4A0D-8ED1-04432B727B23}">
      <text>
        <r>
          <rPr>
            <sz val="12"/>
            <color indexed="81"/>
            <rFont val="Arial"/>
            <family val="2"/>
          </rPr>
          <t>Include both elements of the post opening grant (start up grant and post opening grant) included in the GAG funding statement.</t>
        </r>
        <r>
          <rPr>
            <sz val="9"/>
            <color indexed="81"/>
            <rFont val="Tahoma"/>
            <family val="2"/>
          </rPr>
          <t xml:space="preserve">
</t>
        </r>
      </text>
    </comment>
    <comment ref="D22" authorId="0" shapeId="0" xr:uid="{F131008A-9A3D-4903-BEAC-C29D912EBB68}">
      <text>
        <r>
          <rPr>
            <sz val="12"/>
            <color theme="1"/>
            <rFont val="Arial"/>
            <family val="2"/>
          </rPr>
          <t xml:space="preserve">Do not include any looked-after children pupil premium allocations as this is funding provided by local authorities and should be included within line 200.
</t>
        </r>
      </text>
    </comment>
    <comment ref="D23" authorId="1" shapeId="0" xr:uid="{2825A96A-F419-4031-828D-6539FF70463D}">
      <text>
        <r>
          <rPr>
            <sz val="12"/>
            <color indexed="81"/>
            <rFont val="Arial"/>
            <family val="2"/>
          </rPr>
          <t>Include any additional funding you have received due to the PNA. Applies to academies who receive their funding based on estimates of pupil numbers. It is necessary so that academies funded in this way receive grant income which more accurately reflects the actual pupil numbers present during the year.</t>
        </r>
      </text>
    </comment>
    <comment ref="D24" authorId="0" shapeId="0" xr:uid="{6C07F599-3B98-4B37-8F11-6FC4A884CFFC}">
      <text>
        <r>
          <rPr>
            <sz val="12"/>
            <color theme="1"/>
            <rFont val="Arial"/>
            <family val="2"/>
          </rPr>
          <t xml:space="preserve">Include any remaining non-GAG grants receivable. This includes: Inclusive mainstream fund for special educational needs and disabilities (SEND) (2026 to 2027), and any other grants from the DfE not included in lines 101-138.
</t>
        </r>
      </text>
    </comment>
    <comment ref="D25" authorId="1" shapeId="0" xr:uid="{CE40AFD6-9128-4CA5-A6DF-97F039EFB3B3}">
      <text>
        <r>
          <rPr>
            <sz val="12"/>
            <color theme="1"/>
            <rFont val="Arial"/>
            <family val="2"/>
          </rPr>
          <t>Include any additional funding you receive from universal infant free school meals (UIFSM). This provides funding for all government funded schools to offer free school meals to pupils in reception, year 1 and year 2. For the 2026-2027 year onwards, you should include any funding received from the ‘Free school meals (FSM) expansion’ grant for all children in households receiving Universal Credit.</t>
        </r>
      </text>
    </comment>
    <comment ref="D26" authorId="0" shapeId="0" xr:uid="{B58938C5-B0A3-43D1-8A57-A19C2AA7E7E7}">
      <text>
        <r>
          <rPr>
            <sz val="12"/>
            <color theme="1"/>
            <rFont val="Arial"/>
            <family val="2"/>
          </rPr>
          <t>This should only contain any insurance top-up grant received from the DfE. It should not include the value of insurance claims.</t>
        </r>
        <r>
          <rPr>
            <sz val="11"/>
            <color theme="1"/>
            <rFont val="Calibri"/>
            <family val="2"/>
            <scheme val="minor"/>
          </rPr>
          <t xml:space="preserve">
</t>
        </r>
      </text>
    </comment>
    <comment ref="D27" authorId="1" shapeId="0" xr:uid="{61B29886-FFF1-4826-937C-812D6F1461CF}">
      <text>
        <r>
          <rPr>
            <sz val="12"/>
            <color indexed="81"/>
            <rFont val="Arial"/>
            <family val="2"/>
          </rPr>
          <t>Include any additional funding from the Sponsor Capacity Grant, as per the grant determination. The grant has now been withdrawn. This line will be removed for the BFR 2027.</t>
        </r>
      </text>
    </comment>
    <comment ref="D28" authorId="0" shapeId="0" xr:uid="{18E0ECA2-9673-4896-A7B8-5B0758F71BA8}">
      <text>
        <r>
          <rPr>
            <sz val="12"/>
            <color theme="1"/>
            <rFont val="Arial"/>
            <family val="2"/>
          </rPr>
          <t xml:space="preserve">This should only be used for grants from the DfE family, including Teaching Regulation Agency (TRA), Standards and Testing Agency (STA), Office of the Children’s Commissioner, Student Loans Company (SLC), Office for Students (OfS), for both the Engineering Construction Industry Training Board (ECITB) and Construction Industry Training Board (CITB) - these two grant bodies should only be included in this line if the grant was received before 1 April 2026. If it was received afterwards record this in line 205 instead. </t>
        </r>
      </text>
    </comment>
    <comment ref="D32" authorId="0" shapeId="0" xr:uid="{BAB146A3-3943-4872-B18F-A3380AABEAF7}">
      <text>
        <r>
          <rPr>
            <sz val="12"/>
            <color theme="1"/>
            <rFont val="Arial"/>
            <family val="2"/>
          </rPr>
          <t xml:space="preserve">Include all revenue income received or receivable from local authorities, but exclude revenue surplus transfers from predecessor local authority maintained schools on conversion.
</t>
        </r>
      </text>
    </comment>
    <comment ref="D33" authorId="0" shapeId="0" xr:uid="{1965CDD5-1AA6-4B50-B85A-3B1BE42E5C6E}">
      <text>
        <r>
          <rPr>
            <sz val="12"/>
            <color theme="1"/>
            <rFont val="Arial"/>
            <family val="2"/>
          </rPr>
          <t xml:space="preserve">
Include all revenue grants receivable from other government sources (exclude DfE, other bodies within the DfE family and local authority) that are not included in the lines above. Line 205 should include, but is not limited to, grants receivable from any government funding (excluding DfE and local authority) intended to promote access and opportunity for minority ethnic pupils in support of English as an additional language or as part of a wider focus on raising attainment. For both the Engineering Construction Industry Training Board (ECITB) and Construction Industry Training Board (CITB) - these two grant bodies should only be included in this line if the grant was received after 1 April 2026. If it was received before this date record this in line 150 instead.</t>
        </r>
      </text>
    </comment>
    <comment ref="D34" authorId="0" shapeId="0" xr:uid="{CA22E373-F39A-4E96-A4E2-131B75D4E2BD}">
      <text>
        <r>
          <rPr>
            <sz val="12"/>
            <color indexed="81"/>
            <rFont val="Arial"/>
            <family val="2"/>
          </rPr>
          <t>Include all revenue grants received from non-government sources.</t>
        </r>
      </text>
    </comment>
    <comment ref="D35" authorId="1" shapeId="0" xr:uid="{A1E56107-B9A8-4E01-9A91-580B0A34E229}">
      <text>
        <r>
          <rPr>
            <sz val="12"/>
            <color theme="1"/>
            <rFont val="Arial"/>
            <family val="2"/>
          </rPr>
          <t>Include all revenue received from trading activities such as hall hire, catering, rental income, breakfast and after school clubs (excluding DfE funded), parental contributions, staff secondments outside of the trust and insurance claims.</t>
        </r>
      </text>
    </comment>
    <comment ref="D36" authorId="1" shapeId="0" xr:uid="{58D85698-D766-410E-BF4D-39CF921644B9}">
      <text>
        <r>
          <rPr>
            <sz val="12"/>
            <color theme="1"/>
            <rFont val="Arial"/>
            <family val="2"/>
          </rPr>
          <t>Include any investment income received by the trust. Include interest income from bank accounts, short-term and long-term deposits, dividend income on current or fixed investments held and other investment income, for example rent on investment properties. Include income received from endowments where this is expendable. Amount entered should have a positive value. In the BFR online form, the figures for 2024/25 have been pre-populated from the prior years' accounts return from field INV010: investment income.</t>
        </r>
      </text>
    </comment>
    <comment ref="D37" authorId="1" shapeId="0" xr:uid="{9D434D83-7BA7-4F28-BAA6-4C2037A6D99B}">
      <text>
        <r>
          <rPr>
            <sz val="12"/>
            <color indexed="81"/>
            <rFont val="Arial"/>
            <family val="2"/>
          </rPr>
          <t>Include any other revenue income not covered by the above categories e.g RAAC, donations, business sponsorship. (Exclude any investment income, this should now be included in line 213 - investment income).</t>
        </r>
      </text>
    </comment>
    <comment ref="D40" authorId="0" shapeId="0" xr:uid="{4321F2DE-7922-4C8E-BBD9-5A29E0444826}">
      <text>
        <r>
          <rPr>
            <sz val="12"/>
            <color theme="1"/>
            <rFont val="Arial"/>
            <family val="2"/>
          </rPr>
          <t>Include all revenue surplus received following the transfer of an existing academy, excluding pensions and fixed assets. Where there is a transfer of a surplus into the trust, enter this figure as a positive figure, increasing your income. Where there is a transfer of a surplus out of the trust, enter this as a negative figure, decreasing your income. Closed trusts: If your trust is transferring out all surplus revenue balances held, you can show the amount in this line. When completing the revenue totals section of the form, confirm the balance in line 410 - Balance b/fwd from previous period as zero from the point of transfer. </t>
        </r>
      </text>
    </comment>
    <comment ref="D41" authorId="0" shapeId="0" xr:uid="{0026CEE1-4F62-4F93-AAF5-7E1D8BD7725A}">
      <text>
        <r>
          <rPr>
            <sz val="12"/>
            <color indexed="81"/>
            <rFont val="Arial"/>
            <family val="2"/>
          </rPr>
          <t>Include revenue surplus received or receivable on conversion from local authorities. For example, surpluses received from local authorities on conversion excluding pensions and fixed assets. Enter this as a positive figure.</t>
        </r>
        <r>
          <rPr>
            <sz val="9"/>
            <color indexed="81"/>
            <rFont val="Tahoma"/>
            <family val="2"/>
          </rPr>
          <t xml:space="preserve">
</t>
        </r>
      </text>
    </comment>
    <comment ref="D44" authorId="0" shapeId="0" xr:uid="{84A4A0F5-C18E-47AF-87A3-D18F9B9483CC}">
      <text>
        <r>
          <rPr>
            <sz val="12"/>
            <color theme="1"/>
            <rFont val="Arial"/>
            <family val="2"/>
          </rPr>
          <t xml:space="preserve">Net transfer between revenue and capital. This should be the planned transfer from revenue reserves or income to the capital budget to spend on capital items. This should normally be a negative figure. However, occasionally a capital grant is spent as per the grant conditions, but the expense has been classified as revenue (for example, maintenance and general repairs). In this case you may need to make a transfer from capital to revenue, creating a positive transfer to revenue from capital (i.e. negative balancing line 585).
</t>
        </r>
      </text>
    </comment>
    <comment ref="D49" authorId="1" shapeId="0" xr:uid="{7FB10ADA-5463-429E-861A-221D9681BA5E}">
      <text>
        <r>
          <rPr>
            <sz val="12"/>
            <color indexed="81"/>
            <rFont val="Arial"/>
            <family val="2"/>
          </rPr>
          <t>Include the full costs of employment for all staff employed directly/indirectly by the trust including gross pay, bonuses, overtime, allowances, maternity and sick pay, redundancy costs for staff and bought in supply costs. Exclude third-party IT support - these should be included in line 342 - ICT costs: IT support, which is listed further below in the revenue expenditure section.</t>
        </r>
      </text>
    </comment>
    <comment ref="D50" authorId="0" shapeId="0" xr:uid="{66954972-0CBB-4494-B636-E1101D06A1CA}">
      <text>
        <r>
          <rPr>
            <sz val="12"/>
            <color theme="1"/>
            <rFont val="Arial"/>
            <family val="2"/>
          </rPr>
          <t>Include the employer’s national insurance and any costs of the apprenticeship levy.</t>
        </r>
      </text>
    </comment>
    <comment ref="D51" authorId="0" shapeId="0" xr:uid="{BD7055DF-FA47-45B4-8817-4DD2F85A7492}">
      <text>
        <r>
          <rPr>
            <sz val="12"/>
            <color theme="1"/>
            <rFont val="Arial"/>
            <family val="2"/>
          </rPr>
          <t xml:space="preserve">Include the superannuation contributions relating to teaching staff, i.e. staff members in the teachers' pension scheme including those on the leadership pay scale. It should include actual pension contribution.
</t>
        </r>
      </text>
    </comment>
    <comment ref="D52" authorId="0" shapeId="0" xr:uid="{833424CC-2DBF-48C9-9871-4A3B9D94B1CA}">
      <text>
        <r>
          <rPr>
            <sz val="12"/>
            <color theme="1"/>
            <rFont val="Arial"/>
            <family val="2"/>
          </rPr>
          <t xml:space="preserve">Include actual pension contributions and any payments to address the deficit on the LGPS fund, but not include any change in the value of the deficit calculated under FRS102.
</t>
        </r>
      </text>
    </comment>
    <comment ref="D56" authorId="0" shapeId="0" xr:uid="{95465D56-1E43-4350-924A-BE132BCA5B46}">
      <text>
        <r>
          <rPr>
            <sz val="12"/>
            <color theme="1"/>
            <rFont val="Arial"/>
            <family val="2"/>
          </rPr>
          <t xml:space="preserve">In here, you can include main and backup broadband lines, wireless networks, network switches, network cables, telephony, ISDN, ASDL or other dedicated phone lines, leasing costs associated with connectivity and telephony, safety and security features, such as cyber security and filtering and monitoring, if bundled with connectivity services. Please exclude, connectivity expenditure where costs are capitalised such as installation costs or where phones are not leased. Mobile phones, including hardware and contracts.
</t>
        </r>
      </text>
    </comment>
    <comment ref="D57" authorId="0" shapeId="0" xr:uid="{DAA91783-17D3-4226-9769-7023A790C80B}">
      <text>
        <r>
          <rPr>
            <sz val="12"/>
            <color theme="1"/>
            <rFont val="Arial"/>
            <family val="2"/>
          </rPr>
          <t>In here, you can include purchased or leased onsite physical servers present in the school or Trust where they are not capitalised, onsite servers that support cloud-based storage across a Trust. Please exclude any cloud based storage where the school or trust does not have a physical onsite server, energy costs associated with onsite servers, expenditure on onsite servers where costs are capitalised, repair and maintenance costs.</t>
        </r>
        <r>
          <rPr>
            <sz val="11"/>
            <color theme="1"/>
            <rFont val="Calibri"/>
            <family val="2"/>
            <scheme val="minor"/>
          </rPr>
          <t xml:space="preserve">
</t>
        </r>
      </text>
    </comment>
    <comment ref="D58" authorId="0" shapeId="0" xr:uid="{811C1EEC-55B3-40E3-93B5-7E257706313D}">
      <text>
        <r>
          <rPr>
            <sz val="12"/>
            <color theme="1"/>
            <rFont val="Arial"/>
            <family val="2"/>
          </rPr>
          <t>In here, please include curriculum software to support teaching and learning such as apps and lesson planning tools, subscriptions and licenses associated with educational software and websites, digital learning platforms, e-books. Please exclude resources that are used specifically for administration purposes such as management information systems, safeguarding systems, data storage, laptop, desktops and tablets, including associated licenses, other hardware such as audio-visual screens, printers and keyboards.</t>
        </r>
      </text>
    </comment>
    <comment ref="D59" authorId="0" shapeId="0" xr:uid="{D8C45F31-D6D3-46D6-A683-E2C7A9FC8A6D}">
      <text>
        <r>
          <rPr>
            <sz val="12"/>
            <color theme="1"/>
            <rFont val="Arial"/>
            <family val="2"/>
          </rPr>
          <t>In here, please include administration and management software such as management information systems (MIS), safeguarding, finance, cashless catering, building management and payment portals, operating systems and device licences, unless bundled into the cost of laptops, desktops and tablets. IT hosting, including cloud and data storage, cybersecurity, filtering and monitoring if not part of any connectivity services. Please exclude connectivity such as broadband and telephony, IT learning resources, hardware, inhouse or third party IT support.</t>
        </r>
      </text>
    </comment>
    <comment ref="D60" authorId="0" shapeId="0" xr:uid="{3EAC676D-1B33-4798-B967-4367488F9205}">
      <text>
        <r>
          <rPr>
            <sz val="12"/>
            <color theme="1"/>
            <rFont val="Arial"/>
            <family val="2"/>
          </rPr>
          <t>In here, please include laptops, desktops and tablets purchased or leased by the school that are used for teaching, learning and administration. Peripherals such as keyboards, mouses and display screens if bundled into the cost of the devices, operating systems and licences if bundled into the cost of devices, and device management tools. Please exclude bring your own device (BYOD) schemes where pupils and or staff are required to bring their own devices such as laptops or tablets. Exclude peripherals that are not bundled into the cost of the devices, any other hardware, expenditure where device costs are capitalised, and IT support unless bundled into the purchase or hire of the devices.</t>
        </r>
      </text>
    </comment>
    <comment ref="D61" authorId="0" shapeId="0" xr:uid="{0D4A42AE-20B8-4CDE-B8ED-3E6F04FC170C}">
      <text>
        <r>
          <rPr>
            <sz val="12"/>
            <color theme="1"/>
            <rFont val="Arial"/>
            <family val="2"/>
          </rPr>
          <t>In here, please include hardware such as printers and consumables, audio-visual display screens, projectors and CCTV, peripherals such as keyboards and mouses where they are not bundled into laptop, desktop and tablet costs. Include purchase or hire of any hardware where not capitalised. Please exclude laptops, desktops and tablets, onsite servers, software unless bundled as part of the cost of the hardware, expenditure where costs are capitalised.</t>
        </r>
      </text>
    </comment>
    <comment ref="D62" authorId="0" shapeId="0" xr:uid="{28C87641-A3A8-4BDC-BFBE-B54EC67082B6}">
      <text>
        <r>
          <rPr>
            <sz val="12"/>
            <color theme="1"/>
            <rFont val="Arial"/>
            <family val="2"/>
          </rPr>
          <t>In here, please include third-party IT support contracts, maintenance and repair of technology, IT related consultancy when not bundled into any other services and cyber insurance. Also include the estimated costs of IT support if these are bundled into other services. Please exclude inhouse IT support such as a network or IT manager. This will be included in staff costs.</t>
        </r>
      </text>
    </comment>
    <comment ref="D63" authorId="1" shapeId="0" xr:uid="{FAEAD236-8013-4A06-91DE-96F435DFE620}">
      <text>
        <r>
          <rPr>
            <sz val="12"/>
            <color theme="1"/>
            <rFont val="Arial"/>
            <family val="2"/>
          </rPr>
          <t xml:space="preserve">Include any indirect staffing costs such as training and development, staff travel, childcare vouchers, staff related insurance and DBS checks. Exclude IT related training, see line 342 - ICT costs: IT support. </t>
        </r>
      </text>
    </comment>
    <comment ref="D64" authorId="1" shapeId="0" xr:uid="{9083D1B0-654F-449E-ACA8-0042E74D8EA9}">
      <text>
        <r>
          <rPr>
            <sz val="12"/>
            <color theme="1"/>
            <rFont val="Arial"/>
            <family val="2"/>
          </rPr>
          <t>Include any other revenue expenditure not covered by the above categories e.g. costs of all educational and non-educational supplies and services (including HR/Payroll services from the Local Authority), RPA contributions, building repairs and maintenance costs, (including any service level agreements that relate to the upkeep and maintenance of the school estate) legal and governance costs, land and buildings valuations, bank charges and interest. Don't include revenue deficits on conversion/transfer or ICT costs, any non cash costs such as unwinding of the discount, impairment, depreciation. ICT costs should be included within lines 336 - 342 above. If your trust has any RAAC related expenditure that hasn’t been capitalised, please include this in here.</t>
        </r>
      </text>
    </comment>
    <comment ref="D68" authorId="1" shapeId="0" xr:uid="{97B6EE8F-494B-485D-8521-DCE6F8F64750}">
      <text>
        <r>
          <rPr>
            <sz val="12"/>
            <color theme="1"/>
            <rFont val="Arial"/>
            <family val="2"/>
          </rPr>
          <t>For disclosure only: Include any expenditure that relates to building repair &amp; maintenance / building improvements that have not been capitalised. This could include: general maintenance, and repairs to the building. Only include costs in here that have not been capitalised and have not been added to the trusts balance sheet as a fixed asset. You do not need to alter line 378, as this line (379) is a disclosure only and any repair and maintenance costs within 378 will not be double counted. 
If your trust is entirely church owned or has some church academies, you should only include spend on building repairs and maintenance or building improvements that your trust has paid for. You should not include it in line 378 or 379 if your diocese has paid for this work.</t>
        </r>
      </text>
    </comment>
    <comment ref="D71" authorId="0" shapeId="0" xr:uid="{6866569B-9530-439D-8D2D-64A6D9B1CF5F}">
      <text>
        <r>
          <rPr>
            <sz val="12"/>
            <color theme="1"/>
            <rFont val="Arial"/>
            <family val="2"/>
          </rPr>
          <t xml:space="preserve">Include all revenue deficit payable following the transfer of an existing academy, excluding pensions and fixed assets. Where there is a transfer of a deficit into the trust, enter this figure as a positive figure, increasing your expenditure. Where there is a transfer of a deficit out of the trust, enter this as a negative figure, decreasing your expenditure. Closed trusts: If your trust is transferring out all deficit revenue balances held, you can show the amount in this line. When completing the revenue totals section of the form, confirm the balance in line 410 - Balance b/fwd from previous period as zero from the point of transfer. </t>
        </r>
      </text>
    </comment>
    <comment ref="D72" authorId="0" shapeId="0" xr:uid="{236F6576-C278-4F02-ADEC-D571EC552915}">
      <text>
        <r>
          <rPr>
            <sz val="12"/>
            <color theme="1"/>
            <rFont val="Arial"/>
            <family val="2"/>
          </rPr>
          <t>Include revenue deficit payable on conversion from local authorities, e.g. deficits received from local authorities on conversion excluding pensions and fixed assets. Enter this as a positive figure.</t>
        </r>
      </text>
    </comment>
    <comment ref="D74" authorId="1" shapeId="0" xr:uid="{91B79490-224D-4509-A169-2DCAC1A42533}">
      <text>
        <r>
          <rPr>
            <sz val="12"/>
            <color theme="1"/>
            <rFont val="Arial"/>
            <family val="2"/>
          </rPr>
          <t>Only include any non cash costs that flow into revenue reserves. If non cash costs  feed the pensions reserve  or the capital fund then please exclude.  An example is where depreciation flows into the capital fund- in this case this should not be included here. Instead it should be disclosed in the other items section below. If you include impairment  charges in revenue reserves then please provide an explanation following the validation query. Please include other non cash items such as provisions ( but not pension liabilities) or unwinding of the discount.</t>
        </r>
      </text>
    </comment>
    <comment ref="D84" authorId="1" shapeId="0" xr:uid="{61647A33-8451-477B-8954-BAB13F50FEA3}">
      <text>
        <r>
          <rPr>
            <sz val="12"/>
            <color indexed="81"/>
            <rFont val="Arial"/>
            <family val="2"/>
          </rPr>
          <t xml:space="preserve">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sum of the ‘Restricted Fund’ and ‘Unrestricted Fund’ in the Analysis of Net Assets Between Funds table and does not include capital funds or pension scheme liabilities.
Closed trusts: If your trust is transferring out all revenue balances held, the balance in line 410 - Balance b/fwd from previous period should be zero from the point of transfer. 
You can view the re-brokerage guidance for more information.
</t>
        </r>
      </text>
    </comment>
    <comment ref="D88" authorId="0" shapeId="0" xr:uid="{5289DCF5-4B50-418E-9629-017EFF57D964}">
      <text>
        <r>
          <rPr>
            <sz val="12"/>
            <color theme="1"/>
            <rFont val="Arial"/>
            <family val="2"/>
          </rPr>
          <t xml:space="preserve">This is an automatic sum of lines 400 and 410. Provide an explanation where there are any deficits. </t>
        </r>
      </text>
    </comment>
    <comment ref="D96" authorId="0" shapeId="0" xr:uid="{09C6828C-A7CA-41CB-B8F0-5F40F820CF16}">
      <text>
        <r>
          <rPr>
            <sz val="12"/>
            <color theme="1"/>
            <rFont val="Arial"/>
            <family val="2"/>
          </rPr>
          <t>Input total amount of  capital funding grant receivable from DfE.</t>
        </r>
      </text>
    </comment>
    <comment ref="D97" authorId="0" shapeId="0" xr:uid="{3D311425-AE98-411B-BBC5-F1396E1584B8}">
      <text>
        <r>
          <rPr>
            <sz val="12"/>
            <color theme="1"/>
            <rFont val="Arial"/>
            <family val="2"/>
          </rPr>
          <t>Include the value of any asset that has been transferred, or due to be transferred from the DfE to the trust where the DfE has procured the capital works centrally under the School Rebuilding Programme (SRP), previously called the 'Priority Schools Building Programme (PSBP)', or Free Schools Programme. This should equal row 605.</t>
        </r>
      </text>
    </comment>
    <comment ref="D98" authorId="0" shapeId="0" xr:uid="{C7B590D3-D9F2-4232-9ADA-7D2FD0F53293}">
      <text>
        <r>
          <rPr>
            <sz val="12"/>
            <color theme="1"/>
            <rFont val="Arial"/>
            <family val="2"/>
          </rPr>
          <t>Include the amount of any capital grants received from the DfE that is not included in lines 510 or 520, for example CIF/SCA funding. If you have received any RAAC funding that relates to capital, please include this here.</t>
        </r>
        <r>
          <rPr>
            <sz val="11"/>
            <color theme="1"/>
            <rFont val="Calibri"/>
            <family val="2"/>
            <scheme val="minor"/>
          </rPr>
          <t xml:space="preserve">
</t>
        </r>
      </text>
    </comment>
    <comment ref="D99" authorId="0" shapeId="0" xr:uid="{DFA87F19-D56E-421E-ACA0-160AED998EC3}">
      <text>
        <r>
          <rPr>
            <sz val="12"/>
            <color theme="1"/>
            <rFont val="Arial"/>
            <family val="2"/>
          </rPr>
          <t>Enter the value of any capital grants from DfE family bodies, such as the Teaching Regulation Agency (TRA), Standards Testing Agency (STA), Office of Children’s Commissioner (OCC), Student Loans company (SLC), and Office for Students (OfS).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r>
        <r>
          <rPr>
            <sz val="11"/>
            <color theme="1"/>
            <rFont val="Calibri"/>
            <family val="2"/>
            <scheme val="minor"/>
          </rPr>
          <t xml:space="preserve">
</t>
        </r>
      </text>
    </comment>
    <comment ref="D103" authorId="1" shapeId="0" xr:uid="{DC376218-C50C-4AE0-9CE7-6378028AB14F}">
      <text>
        <r>
          <rPr>
            <sz val="12"/>
            <color theme="1"/>
            <rFont val="Arial"/>
            <family val="2"/>
          </rPr>
          <t>Include any local authority capital funding receivable. This should be cash payments only. Include unspent grants (cash) including any capital balances on conversion. This is the cash reserves balances on conversion only.</t>
        </r>
      </text>
    </comment>
    <comment ref="D104" authorId="1" shapeId="0" xr:uid="{1DCDB95F-34D9-493A-A33F-E4D7CA0D6990}">
      <text>
        <r>
          <rPr>
            <sz val="12"/>
            <color theme="1"/>
            <rFont val="Arial"/>
            <family val="2"/>
          </rPr>
          <t>Include voluntary, private capital, donations for use as capital or endowment funds or any other non-government capital income. Specify what each is in the comments section.</t>
        </r>
      </text>
    </comment>
    <comment ref="D105" authorId="1" shapeId="0" xr:uid="{ECF8942C-6478-4EE2-9F13-1019B8F7D582}">
      <text>
        <r>
          <rPr>
            <sz val="12"/>
            <color theme="1"/>
            <rFont val="Arial"/>
            <family val="2"/>
          </rPr>
          <t>Include any other government capital grants received that are not included in the above lines. Specify which government body the grants are from in the comments column. Record grants received from the Engineering Construction Industry Training Board (ECITB), and the Construction Industry Training Board (CITB) prior to 1 April 2026 in line 540. If you receive any grant from these bodies from 1 April 2026 onwards, you must now record this is line 571.</t>
        </r>
      </text>
    </comment>
    <comment ref="D106" authorId="1" shapeId="0" xr:uid="{DB5EF9CF-4773-40EA-BCE5-650DFB1E4640}">
      <text>
        <r>
          <rPr>
            <sz val="12"/>
            <color theme="1"/>
            <rFont val="Arial"/>
            <family val="2"/>
          </rPr>
          <t>Include where there have been any releases from  endowments reserves to fund capital expenditure.</t>
        </r>
      </text>
    </comment>
    <comment ref="D107" authorId="1" shapeId="0" xr:uid="{D91E3718-0A37-4087-A56F-D5F97F5FBC54}">
      <text>
        <r>
          <rPr>
            <sz val="12"/>
            <color theme="1"/>
            <rFont val="Arial"/>
            <family val="2"/>
          </rPr>
          <t>Include any donated assets from local authorities. This will equal line 606 (local authority donated assets expense).</t>
        </r>
      </text>
    </comment>
    <comment ref="D111" authorId="0" shapeId="0" xr:uid="{F7D24E8C-EBAD-4DCC-96BA-4407DADD2F1F}">
      <text>
        <r>
          <rPr>
            <sz val="12"/>
            <color theme="1"/>
            <rFont val="Arial"/>
            <family val="2"/>
          </rPr>
          <t>Disposal proceeds only. Include the value of any capital proceeds that are available to re-invest.</t>
        </r>
      </text>
    </comment>
    <comment ref="D112" authorId="0" shapeId="0" xr:uid="{17622225-39B5-4603-A59C-0C185FAD67F0}">
      <text>
        <r>
          <rPr>
            <sz val="12"/>
            <color theme="1"/>
            <rFont val="Arial"/>
            <family val="2"/>
          </rPr>
          <t>Disposal proceeds only. Include the value of any capital proceeds that are available to re-invest.</t>
        </r>
      </text>
    </comment>
    <comment ref="D116" authorId="0" shapeId="0" xr:uid="{EC25AF19-4632-4755-A93B-5053D932462D}">
      <text>
        <r>
          <rPr>
            <sz val="12"/>
            <color theme="1"/>
            <rFont val="Arial"/>
            <family val="2"/>
          </rPr>
          <t xml:space="preserve">This should balance to line 255 - normally there are revenue transfers to capital and this line should be a positive figure. Transfers from capital funding to revenue reserves are normally disallowed. However on occasion for the reasons described in line 255, a reverse transfer may be necessary, where funds will flow from capital to revenue and the balance in this line would become negative. As this is unusual, an explanation is required.
</t>
        </r>
      </text>
    </comment>
    <comment ref="D122" authorId="0" shapeId="0" xr:uid="{03EBBA37-86F2-4B1A-8783-9234890FCA8E}">
      <text>
        <r>
          <rPr>
            <sz val="12"/>
            <color theme="1"/>
            <rFont val="Arial"/>
            <family val="2"/>
          </rPr>
          <t>Include any expenditure of grant received from the DfE for freehold and leasehold land and buildings additions. In here, also include any RAAC related expenditure that has been capitalised. If your trust has had any major maintenance work completed that has been capitalised, please include this in here. Any unspent grant income would be carried forward into the next financial year, usually in the capital funds balance.</t>
        </r>
      </text>
    </comment>
    <comment ref="D123" authorId="0" shapeId="0" xr:uid="{FB765DC3-BC4D-4CEB-913A-A5449DC2330C}">
      <text>
        <r>
          <rPr>
            <sz val="12"/>
            <color theme="1"/>
            <rFont val="Arial"/>
            <family val="2"/>
          </rPr>
          <t>This should equal row 520. Include donations from the DfE for the School Rebuilding Programme (SRP), Priority Schools Building Programme (PSBP), and the Free Schools Programme.</t>
        </r>
      </text>
    </comment>
    <comment ref="D124" authorId="0" shapeId="0" xr:uid="{A2E1F0CF-1601-45A5-A74A-9671BB1C844F}">
      <text>
        <r>
          <rPr>
            <sz val="12"/>
            <color theme="1"/>
            <rFont val="Arial"/>
            <family val="2"/>
          </rPr>
          <t>Include any expenditure that is funded by other capital grants (not the DfE family) include lottery funding, Sport England, Local Authorities, The Football Association.</t>
        </r>
      </text>
    </comment>
    <comment ref="D125" authorId="0" shapeId="0" xr:uid="{CC4791CB-60E9-4B93-9722-34F8D5025C1A}">
      <text>
        <r>
          <rPr>
            <sz val="12"/>
            <color theme="1"/>
            <rFont val="Arial"/>
            <family val="2"/>
          </rPr>
          <t>Funded by reserves – including other revenue sources as well as endowment releases.</t>
        </r>
      </text>
    </comment>
    <comment ref="D126" authorId="0" shapeId="0" xr:uid="{6CEDD666-76B2-4ACA-BDC0-CE3842127C96}">
      <text>
        <r>
          <rPr>
            <sz val="12"/>
            <color theme="1"/>
            <rFont val="Arial"/>
            <family val="2"/>
          </rPr>
          <t>Include broadband, wireless networks, network switches, network cables where they are capitalised, telephony, ISDN, ASDL or other dedicated phone lines where they are not leased, and installation costs. Exclude leasing and maintenance costs (shown in the revenue section), IT support, repair and maintenance costs.</t>
        </r>
      </text>
    </comment>
    <comment ref="D127" authorId="0" shapeId="0" xr:uid="{EFA166E1-981E-49A8-8715-60E337386108}">
      <text>
        <r>
          <rPr>
            <sz val="12"/>
            <color theme="1"/>
            <rFont val="Arial"/>
            <family val="2"/>
          </rPr>
          <t>Include physical onsite servers where costs are capitalised. Exclude leasing and maintenance costs (see revenue section) cloud storage costs, IT support, repair and maintenance costs.</t>
        </r>
      </text>
    </comment>
    <comment ref="D128" authorId="0" shapeId="0" xr:uid="{FE7A97DE-7574-4393-A122-2183EC26914C}">
      <text>
        <r>
          <rPr>
            <sz val="12"/>
            <color theme="1"/>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Also include, cloud data and storage, cybersecurity and filtering and monitoring if not part of any connectivity services. Exclude connectivity such as broadband and telephony, (see line 621), IT learning resources, hardware, IT support, repair and maintenance costs. Where a resource is used for curriculum and non-curriculum (administration) purposes, and where costs are material, costs or estimates of the split should be coded separately at the time of purchase.</t>
        </r>
      </text>
    </comment>
    <comment ref="D129" authorId="0" shapeId="0" xr:uid="{7B761B3B-E13B-4E7E-8B7C-84C904842864}">
      <text>
        <r>
          <rPr>
            <sz val="12"/>
            <color theme="1"/>
            <rFont val="Arial"/>
            <family val="2"/>
          </rPr>
          <t>Include laptops, desktops and tablets purchased by the school that are used for teaching, learning and administration, operating systems and licences if bundled into the cost of device, and device management tools. Exclude, bring your own device (BYOD) schemes where pupils and or staff are required to bring their own devices such as laptops or tablets. Also exclude any other hardware (see line 625), IT support, and repair and maintenance costs. Where a resource is used for curriculum and non-curriculum (i.e. administration) purposes, and where costs are material, costs or estimates of the split should be coded separately at the time of purchase.</t>
        </r>
      </text>
    </comment>
    <comment ref="D130" authorId="0" shapeId="0" xr:uid="{0CD88916-5810-4F71-BF3A-850B6BFEA482}">
      <text>
        <r>
          <rPr>
            <sz val="12"/>
            <color theme="1"/>
            <rFont val="Arial"/>
            <family val="2"/>
          </rPr>
          <t>Include, hardware such as printers and consumables, audio-visual display screens, projectors and CCTV, peripherals such as keyboards and mouses where they are not bundled into laptop, desktop and tablet costs (see line 624). Exclude laptops, desktops and tablets (see line 624), onsite servers (see line 622), and IT support, repair and maintenance costs.</t>
        </r>
      </text>
    </comment>
    <comment ref="D131" authorId="0" shapeId="0" xr:uid="{8DC2397A-6C0A-476C-B8D8-469DEB6EF361}">
      <text>
        <r>
          <rPr>
            <sz val="12"/>
            <color theme="1"/>
            <rFont val="Arial"/>
            <family val="2"/>
          </rPr>
          <t>Include any expenditure of DfE grant received in a previous period. The unspent grant income should be carried forward from a prior year. In here, also include any RAAC related expenditure that has been capitalised in this line. If your trust has had any major maintenance work completed that has been capitalised, include this in here.</t>
        </r>
      </text>
    </comment>
    <comment ref="D132" authorId="1" shapeId="0" xr:uid="{87161211-CBA4-4BAD-A2E3-819993088097}">
      <text>
        <r>
          <rPr>
            <sz val="12"/>
            <color indexed="81"/>
            <rFont val="Arial"/>
            <family val="2"/>
          </rPr>
          <t>Include any expenditure that is funded by other capital grants (not the DfE family) include lottery funding, Sport England, Local Authorities, The Football Association. If your trust has had any major maintenance work completed that has been capitalised, include this in here.</t>
        </r>
      </text>
    </comment>
    <comment ref="D133" authorId="1" shapeId="0" xr:uid="{85C79CE0-A47E-4C4C-A34E-2B4257F2A124}">
      <text>
        <r>
          <rPr>
            <sz val="12"/>
            <color theme="1"/>
            <rFont val="Arial"/>
            <family val="2"/>
          </rPr>
          <t>Include any expenditure that is funded by reserves – including other revenue sources as well as endowment releases</t>
        </r>
        <r>
          <rPr>
            <sz val="14"/>
            <color theme="1"/>
            <rFont val="Arial"/>
            <family val="2"/>
          </rPr>
          <t>.</t>
        </r>
      </text>
    </comment>
    <comment ref="D134" authorId="0" shapeId="0" xr:uid="{992EB7F0-DAB2-4767-AC15-4089DECE7B73}">
      <text>
        <r>
          <rPr>
            <sz val="12"/>
            <color theme="1"/>
            <rFont val="Arial"/>
            <family val="2"/>
          </rPr>
          <t>This should be equal to row 575 recognising the asset expense following receipt of the donated asset (as income).</t>
        </r>
      </text>
    </comment>
    <comment ref="D142" authorId="1" shapeId="0" xr:uid="{B317A50D-0525-42C1-BDE9-BBA3EA5876DD}">
      <text>
        <r>
          <rPr>
            <sz val="12"/>
            <color theme="1"/>
            <rFont val="Arial"/>
            <family val="2"/>
          </rPr>
          <t xml:space="preserve">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'Restricted fixed asset fund' excluding 'Fixed assets' both tangible and intangible and ‘Pension scheme liabilities’ in the Analysis of Net Assets Between Funds table.
</t>
        </r>
      </text>
    </comment>
    <comment ref="D149" authorId="0" shapeId="0" xr:uid="{11E8BF42-4788-4771-81FC-CCC74B3B7E0B}">
      <text>
        <r>
          <rPr>
            <sz val="12"/>
            <color theme="1"/>
            <rFont val="Arial"/>
            <family val="2"/>
          </rPr>
          <t>When you have a school convert to become an academy from an LA, your trust will need to reflect the value of the associated land and buildings as both an expense and as a grant to reflect the fund accounting for this donation. Your trust's BFR must include the value of capital income (same amount as the one entered in line 575 - Local authority donated assets). This is the value of the newly converted school’s land and buildings (capital assets at net book value) from the local authorities upon conversion. This value should then be reflected in line your BFR line 572. You should also include the value of capital expenditure (same amount as the one entered in line 606 - Local authority donated assets expense)
The entries in 575 and 606 must offset each other as it is to reflect the donation in a neutral way to your trust’s capital position. 
The entry used in 575 should also be added to the disclosure note in line 572. This wider disclosure note is to help trusts check that they have included all necessary conversions, joiners, and leavers from their trust.</t>
        </r>
      </text>
    </comment>
    <comment ref="D150" authorId="0" shapeId="0" xr:uid="{FA59997B-9E6B-44D5-BBEC-5F9DF5261F23}">
      <text>
        <r>
          <rPr>
            <sz val="12"/>
            <color theme="1"/>
            <rFont val="Arial"/>
            <family val="2"/>
          </rPr>
          <t xml:space="preserve">
When an academy leaves or joins your trust, use lines 573 for academies joining, and 639 for academies leaving. 
For any academies joining your trust you must enter the value of capital reserves balances transferred to your trust as a positive number in line 573 – (see lines 212 and 350 in the revenue section of the form to record any revenue reserve balance transfers).</t>
        </r>
      </text>
    </comment>
    <comment ref="D151" authorId="0" shapeId="0" xr:uid="{EF981833-69CF-472C-87D4-1FB7171DFE35}">
      <text>
        <r>
          <rPr>
            <sz val="12"/>
            <color theme="1"/>
            <rFont val="Arial"/>
            <family val="2"/>
          </rPr>
          <t xml:space="preserve">When an academy leaves or joins your trust, use lines 573 for academies joining, and 639 for academies leaving. 
For any academies leaving your trust you must enter the value of capital reserves balances transferred from trust as a negative number in line 639 – (see lines 212 and 350 in the revenue section of the form to record any revenue reserve balance transfers)
</t>
        </r>
      </text>
    </comment>
    <comment ref="D156" authorId="0" shapeId="0" xr:uid="{5A1A1CD2-A99B-49AE-84FA-FDB0E143D448}">
      <text>
        <r>
          <rPr>
            <sz val="12"/>
            <color theme="1"/>
            <rFont val="Arial"/>
            <family val="2"/>
          </rPr>
          <t xml:space="preserve">Include the balances held in all academy trust bank accounts plus any miscellaneous cash holdings, for example petty cash balances. This will also include cash equivalents, being short-term highly liquid investments with a short maturity, for example short-term money market deposits.  August balances should be as per your audited financial statements. </t>
        </r>
      </text>
    </comment>
    <comment ref="D157" authorId="0" shapeId="0" xr:uid="{20D6A23F-7429-4CCC-BBFC-E74DF7B4D111}">
      <text>
        <r>
          <rPr>
            <sz val="12"/>
            <color theme="1"/>
            <rFont val="Arial"/>
            <family val="2"/>
          </rPr>
          <t>Include any bank or other overdrafts still in use at period end date.</t>
        </r>
      </text>
    </comment>
    <comment ref="D161" authorId="0" shapeId="0" xr:uid="{2B6460D3-65FC-4633-9926-A2D211FF8D54}">
      <text>
        <r>
          <rPr>
            <sz val="12"/>
            <color theme="1"/>
            <rFont val="Arial"/>
            <family val="2"/>
          </rPr>
          <t>Deduct the carrying amount of the asset and related selling expenses from the proceeds of the disposal. Losses are entered as positive and gains as negative.</t>
        </r>
      </text>
    </comment>
    <comment ref="D162" authorId="0" shapeId="0" xr:uid="{85C557BE-CD5D-4A1B-802F-96A6BEECE667}">
      <text>
        <r>
          <rPr>
            <sz val="12"/>
            <color theme="1"/>
            <rFont val="Arial"/>
            <family val="2"/>
          </rPr>
          <t>Impairment charge would be the reduction in carrying value of an asset.</t>
        </r>
      </text>
    </comment>
    <comment ref="D167" authorId="0" shapeId="0" xr:uid="{E008455C-BAD0-496F-8D2B-EF7732105769}">
      <text>
        <r>
          <rPr>
            <sz val="12"/>
            <color theme="1"/>
            <rFont val="Arial"/>
            <family val="2"/>
          </rPr>
          <t>Include the total value of your investments as at the specified dates. Increases to the total value could be as a result of the purchase of new fixed income or equity investments.</t>
        </r>
      </text>
    </comment>
    <comment ref="D169" authorId="0" shapeId="0" xr:uid="{B26F5611-F2DC-4D79-B60D-CE652D6B9D8E}">
      <text>
        <r>
          <rPr>
            <sz val="12"/>
            <color theme="1"/>
            <rFont val="Arial"/>
            <family val="2"/>
          </rPr>
          <t>Include cash or cash equivalents received as a result of investment liquidations. This is a disclosure only line and will not result in double-counting in line 700.</t>
        </r>
      </text>
    </comment>
    <comment ref="D174" authorId="0" shapeId="0" xr:uid="{FDC73CD7-6C66-4D14-B789-3FAB30975673}">
      <text>
        <r>
          <rPr>
            <sz val="12"/>
            <color theme="1"/>
            <rFont val="Arial"/>
            <family val="2"/>
          </rPr>
          <t>Please include any closing loans outstanding from the previous financial year. Please specify in the comments section to whom the loans relate, the amounts specific to each, whether transferred on conversion, reason for loan and loan duration. This includes Salix loans.</t>
        </r>
      </text>
    </comment>
    <comment ref="D176" authorId="0" shapeId="0" xr:uid="{4C9D2367-3E03-47DE-A3D3-CA7FF861099D}">
      <text>
        <r>
          <rPr>
            <sz val="12"/>
            <color theme="1"/>
            <rFont val="Arial"/>
            <family val="2"/>
          </rPr>
          <t>Please include the value of any increase or decrease in outstanding loans. Please specify in the comments section to whom the loans relate, the amounts specific to each, whether transferred on conversion, reason for loan and loan duration. This includes Salix loans.</t>
        </r>
      </text>
    </comment>
    <comment ref="D182" authorId="0" shapeId="0" xr:uid="{661B7AA5-EC38-4376-86BB-D8E76C196359}">
      <text>
        <r>
          <rPr>
            <sz val="12"/>
            <color theme="1"/>
            <rFont val="Arial"/>
            <family val="2"/>
          </rPr>
          <t>Include any new provisions that have been created or increased in the year as a positive figure.</t>
        </r>
      </text>
    </comment>
    <comment ref="D183" authorId="0" shapeId="0" xr:uid="{30FCB615-B8F7-4106-8183-55366017A5AC}">
      <text>
        <r>
          <rPr>
            <sz val="12"/>
            <color theme="1"/>
            <rFont val="Arial"/>
            <family val="2"/>
          </rPr>
          <t>Include any reductions to the value of the provisions in the year. This must be a negative value.</t>
        </r>
      </text>
    </comment>
    <comment ref="D184" authorId="0" shapeId="0" xr:uid="{E131582C-D038-482D-9A0E-2D419682F182}">
      <text>
        <r>
          <rPr>
            <sz val="12"/>
            <color theme="1"/>
            <rFont val="Arial"/>
            <family val="2"/>
          </rPr>
          <t>Include any payments made out against the provisions in the year. This must be a negative value. This is not a cost but is a cash payment.</t>
        </r>
      </text>
    </comment>
    <comment ref="D188" authorId="0" shapeId="0" xr:uid="{69B92C44-74B1-438C-AB27-C59C1AA58A37}">
      <text>
        <r>
          <rPr>
            <sz val="12"/>
            <color theme="1"/>
            <rFont val="Arial"/>
            <family val="2"/>
          </rPr>
          <t>Include depreciation charges for DfE buildings only. If the building has been donated from the DfE, please include in this line. Exclude depreciation relating to other owned assets, other donated assets or other non DfE buildings during the year.</t>
        </r>
      </text>
    </comment>
    <comment ref="D189" authorId="0" shapeId="0" xr:uid="{7DCBCDCC-5169-4593-826D-C7B6CFDCE3A3}">
      <text>
        <r>
          <rPr>
            <sz val="12"/>
            <color theme="1"/>
            <rFont val="Arial"/>
            <family val="2"/>
          </rPr>
          <t>Include depreciation charges for non DfE donated assets.</t>
        </r>
      </text>
    </comment>
    <comment ref="D190" authorId="0" shapeId="0" xr:uid="{FC94BBDD-3EF6-4374-857B-70D36EB2B0F5}">
      <text>
        <r>
          <rPr>
            <sz val="12"/>
            <color indexed="81"/>
            <rFont val="Arial"/>
            <family val="2"/>
          </rPr>
          <t>Include depreciation charges for other owned assets, excluding DfE buildings or non DfE donated assets.</t>
        </r>
      </text>
    </comment>
    <comment ref="D196" authorId="0" shapeId="0" xr:uid="{C23448BC-3BA3-4024-9AE2-208ADF11957D}">
      <text>
        <r>
          <rPr>
            <sz val="12"/>
            <color theme="1"/>
            <rFont val="Arial"/>
            <family val="2"/>
          </rPr>
          <t>For line 1001 to populate, enter your figures into line 1000, 1002, or lines 800 depending on whether your reserves are held centrally or at academy level. For trusts that pool reserves, enter your figures into line 1000 - centrally held revenue reserves, and line 1002 - Adjustments to revenue reserve balances (if applicable). For trusts that do not pool reserves, and hold balances at academy level and centrally, enter your figures into lines 1000 - Centrally held revenue reserves, line 1002 - Adjustments to revenue reserves (if applicable) and the individual academy revenue reserve balances into lines 800. The calculated total in line 1001 should equal line 430, however it may not match due to any changes in the structure of your trust.</t>
        </r>
      </text>
    </comment>
    <comment ref="D197" authorId="0" shapeId="0" xr:uid="{532009A4-8345-41F5-A915-2147B31007A1}">
      <text>
        <r>
          <rPr>
            <sz val="12"/>
            <color theme="1"/>
            <rFont val="Arial"/>
            <family val="2"/>
          </rPr>
          <t>Use this line if you need to adjust the reserve balances, for example, if you have new academies that aren't included on the form and you have included financial data for them.</t>
        </r>
      </text>
    </comment>
    <comment ref="D198" authorId="0" shapeId="0" xr:uid="{A05A6138-7B5F-4B76-AF18-A3A023607E07}">
      <text>
        <r>
          <rPr>
            <sz val="12"/>
            <color theme="1"/>
            <rFont val="Arial"/>
            <family val="2"/>
          </rPr>
          <t>Pooled Funding: When reserves are fully pooled, this will be the trust's total reserves. This applies to all SATs and should equal line 430.
Non-Pooled Funding: MATs only. If your reserves are not fully pooled, and you hold reserves centrally and at academy level, adjust the centrally held reserves in line 1000 to show the value of reserves held centrally, and then the reserve balances for each academy within the 800 lines.
If you only hold reserve balances centrally, and not at academy level, this should equal line 430. Once lines 1000 or 800 are populated, then line 1001 will populate automatically.</t>
        </r>
      </text>
    </comment>
    <comment ref="D200" authorId="1" shapeId="0" xr:uid="{8F2DB7E0-848A-4698-9F34-39574409A456}">
      <text>
        <r>
          <rPr>
            <sz val="12"/>
            <color indexed="81"/>
            <rFont val="Arial"/>
            <family val="2"/>
          </rPr>
          <t>If the trust's reserves are fully pooled and being held centrally, select 'Yes'. You don't need to enter the balance for each academy separately. Skip to line 1990.
If you don't fully pool your reserves, and balances are held at each academy, select 'No' and the list of your academies will appear for you to enter the relevant figures.
Any figures entered into the below '800' lines will automatically pull into line 1001 - Total trust reserves.</t>
        </r>
      </text>
    </comment>
    <comment ref="D299" authorId="1" shapeId="0" xr:uid="{67A8483A-9A9F-4796-8FD6-837C26B5EB4D}">
      <text>
        <r>
          <rPr>
            <sz val="12"/>
            <color indexed="81"/>
            <rFont val="Arial"/>
            <family val="2"/>
          </rPr>
          <t>Maps to line 199. This includes all DfE income.</t>
        </r>
      </text>
    </comment>
    <comment ref="D300" authorId="1" shapeId="0" xr:uid="{0C6EB73E-CCAC-4DB7-8171-834537D78B96}">
      <text>
        <r>
          <rPr>
            <sz val="12"/>
            <color indexed="81"/>
            <rFont val="Arial"/>
            <family val="2"/>
          </rPr>
          <t>Maps to line 250. All other income revenue streams (non DfE).</t>
        </r>
      </text>
    </comment>
    <comment ref="D301" authorId="2" shapeId="0" xr:uid="{DB755534-292F-4500-A60F-AE40A42491DE}">
      <text>
        <r>
          <rPr>
            <sz val="12"/>
            <color indexed="81"/>
            <rFont val="Arial"/>
            <family val="2"/>
          </rPr>
          <t>Maps to lines 212, 215, 350 and 351. Surplus / deficit movements on conversion or transfer.</t>
        </r>
      </text>
    </comment>
    <comment ref="D302" authorId="1" shapeId="0" xr:uid="{19A4E26B-12A6-4949-9ED8-A2FA7E3D0623}">
      <text>
        <r>
          <rPr>
            <sz val="12"/>
            <color indexed="81"/>
            <rFont val="Arial"/>
            <family val="2"/>
          </rPr>
          <t>Maps to line 255. Transfers from current year revenue into capital reserves. This usually reduces income but on occasion there is a transfer from capital to revenue.</t>
        </r>
      </text>
    </comment>
    <comment ref="D308" authorId="1" shapeId="0" xr:uid="{F0C548C7-BABA-492A-8B43-9715ABA08070}">
      <text>
        <r>
          <rPr>
            <sz val="12"/>
            <color indexed="81"/>
            <rFont val="Arial"/>
            <family val="2"/>
          </rPr>
          <t>Maps to line 310, 311, 320 and 325. Includes all appropriate staff costs.</t>
        </r>
      </text>
    </comment>
    <comment ref="D309" authorId="1" shapeId="0" xr:uid="{7C9C3B48-D675-4AE5-866D-FF3F0606B993}">
      <text>
        <r>
          <rPr>
            <sz val="12"/>
            <color indexed="81"/>
            <rFont val="Arial"/>
            <family val="2"/>
          </rPr>
          <t>Maps to line 349 and 395. Includes all non-staff costs, including ICT costs but exclude non-cash depreciation, pension provision movements.</t>
        </r>
      </text>
    </comment>
    <comment ref="D315" authorId="1" shapeId="0" xr:uid="{03D9899F-D37F-4B7A-BE50-23020AFE9753}">
      <text>
        <r>
          <rPr>
            <sz val="12"/>
            <color indexed="81"/>
            <rFont val="Arial"/>
            <family val="2"/>
          </rPr>
          <t xml:space="preserve">Please enter the percentage (%) rate used to forecast assumed pay awards for teaching staff. This figure should be between 0% and 100%. Please enter these figures as actual figures (For example for 1% enter '1' or for no increase enter '0').
You can enter the figures in here up to 3 decimal places. </t>
        </r>
      </text>
    </comment>
    <comment ref="D316" authorId="1" shapeId="0" xr:uid="{2392DD4F-162F-4972-B78C-4AE4DEF026BA}">
      <text>
        <r>
          <rPr>
            <sz val="12"/>
            <color indexed="81"/>
            <rFont val="Arial"/>
            <family val="2"/>
          </rPr>
          <t xml:space="preserve">Please enter the percentage (%) rate used to forecast assumed pay awards for support staff. This figure should be between 0% and 100%. Please enter these figures as actual figures (For example for 1% enter '1' or for no increase enter '0').
You can enter the figures in here up to 3 decimal places. </t>
        </r>
      </text>
    </comment>
    <comment ref="D320" authorId="1" shapeId="0" xr:uid="{5C3746C1-5E3E-4F32-8869-6B263B1ADBDD}">
      <text>
        <r>
          <rPr>
            <sz val="12"/>
            <color indexed="81"/>
            <rFont val="Arial"/>
            <family val="2"/>
          </rPr>
          <t>Maps to line 585. Contra of 255 above. This is current year revenue transferred to capital or on occasion is a reverse transfer.</t>
        </r>
      </text>
    </comment>
    <comment ref="D321" authorId="1" shapeId="0" xr:uid="{FFD6B6CE-2563-4616-A57B-3C81739CD2BF}">
      <text>
        <r>
          <rPr>
            <sz val="12"/>
            <color indexed="81"/>
            <rFont val="Arial"/>
            <family val="2"/>
          </rPr>
          <t>Maps to line 550 and 580. This should be all grant funding. Do not include donated assets, DfE Assets Under Construction transfers or conversions only include genuine income.</t>
        </r>
      </text>
    </comment>
    <comment ref="D322" authorId="1" shapeId="0" xr:uid="{68994AAA-CD2E-4594-A678-1C89EC3D2F5B}">
      <text>
        <r>
          <rPr>
            <sz val="12"/>
            <color indexed="81"/>
            <rFont val="Arial"/>
            <family val="2"/>
          </rPr>
          <t>Maps to line 650. Do not include donated assets, DfE Assets Under Construction transfers or conversions. Only include actual trust spend.</t>
        </r>
      </text>
    </comment>
    <comment ref="D323" authorId="1" shapeId="0" xr:uid="{C1C2D245-05AD-4358-922D-C4A6956F1D7D}">
      <text>
        <r>
          <rPr>
            <sz val="12"/>
            <color indexed="81"/>
            <rFont val="Arial"/>
            <family val="2"/>
          </rPr>
          <t>Maps to line 584. Receipts on disposals.</t>
        </r>
      </text>
    </comment>
    <comment ref="D328" authorId="1" shapeId="0" xr:uid="{02F70E7A-8624-44AB-BEC8-B07C05135FC9}">
      <text>
        <r>
          <rPr>
            <sz val="12"/>
            <color indexed="81"/>
            <rFont val="Arial"/>
            <family val="2"/>
          </rPr>
          <t>Maps to line 720. All depreciation categories combined. Provide a brief explanation of the different strands of depreciation - buildings, donated assets and other.</t>
        </r>
      </text>
    </comment>
    <comment ref="D329" authorId="1" shapeId="0" xr:uid="{BC0422FA-E3B8-4465-BA34-30599D245B38}">
      <text>
        <r>
          <rPr>
            <sz val="12"/>
            <color indexed="81"/>
            <rFont val="Arial"/>
            <family val="2"/>
          </rPr>
          <t>Maps to lines 736, 737, 712, 710. Only if known and planned - do not include pension. Include Provision movements, impairments and gains/losses on disposal. Include a brief summary of the costs included.</t>
        </r>
      </text>
    </comment>
    <comment ref="D330" authorId="1" shapeId="0" xr:uid="{54433B2A-9F2B-41E2-B5B6-7AD3E78D397D}">
      <text>
        <r>
          <rPr>
            <sz val="12"/>
            <color indexed="81"/>
            <rFont val="Arial"/>
            <family val="2"/>
          </rPr>
          <t>Maps to line 700-701. Include bank balances and overdrafts combined.</t>
        </r>
      </text>
    </comment>
    <comment ref="D335" authorId="1" shapeId="0" xr:uid="{89F93309-B4B0-4F1B-BDA0-F352176AEECB}">
      <text>
        <r>
          <rPr>
            <sz val="12"/>
            <color indexed="81"/>
            <rFont val="Arial"/>
            <family val="2"/>
          </rPr>
          <t>Maps to line 410. Opening revenue reserve balances.</t>
        </r>
      </text>
    </comment>
    <comment ref="D336" authorId="1" shapeId="0" xr:uid="{3EC78062-0EA3-492C-B46C-22B078507E6B}">
      <text>
        <r>
          <rPr>
            <sz val="12"/>
            <color indexed="81"/>
            <rFont val="Arial"/>
            <family val="2"/>
          </rPr>
          <t>Maps to line 430. Closing revenue balances, explain the circumstances where you have forecast any closing deficits.</t>
        </r>
      </text>
    </comment>
    <comment ref="D337" authorId="1" shapeId="0" xr:uid="{6BA074C6-DECA-4137-86D8-5D5EFBFA83DC}">
      <text>
        <r>
          <rPr>
            <sz val="12"/>
            <color indexed="81"/>
            <rFont val="Arial"/>
            <family val="2"/>
          </rPr>
          <t>Maps to 1001, which is the total of lines 800-899 and 1000. Only a single line entry is required for the entire trust. Please provide further details where you have forecast a deficit in any one year.</t>
        </r>
      </text>
    </comment>
  </commentList>
</comments>
</file>

<file path=xl/sharedStrings.xml><?xml version="1.0" encoding="utf-8"?>
<sst xmlns="http://schemas.openxmlformats.org/spreadsheetml/2006/main" count="4214" uniqueCount="1788">
  <si>
    <t>Navigate to 'Index page'</t>
  </si>
  <si>
    <t xml:space="preserve">Version control </t>
  </si>
  <si>
    <t>Version</t>
  </si>
  <si>
    <t>Date</t>
  </si>
  <si>
    <t>Tab</t>
  </si>
  <si>
    <t>Section</t>
  </si>
  <si>
    <t>Change / Update</t>
  </si>
  <si>
    <t>Instructions</t>
  </si>
  <si>
    <t xml:space="preserve">    • approver declaration tab</t>
  </si>
  <si>
    <t>Most numbers (especially income and expenditure) are positive figures. A few numbers are negative, but this will be clear when inputting the figures either on the workbook or the online form.</t>
  </si>
  <si>
    <t>Protected sheets</t>
  </si>
  <si>
    <t xml:space="preserve">
GOV.UK website</t>
  </si>
  <si>
    <t>Academies budget forecast return - GOV.UK</t>
  </si>
  <si>
    <t xml:space="preserve">Key to colours </t>
  </si>
  <si>
    <t>Field type</t>
  </si>
  <si>
    <t>Colour</t>
  </si>
  <si>
    <t>n/a</t>
  </si>
  <si>
    <t>Validations</t>
  </si>
  <si>
    <t>Guidance links</t>
  </si>
  <si>
    <t>If you have a query about completing your BFR return please contact the DfE using the Customer Help Portal.</t>
  </si>
  <si>
    <t>List of guidances</t>
  </si>
  <si>
    <t>Guidance name</t>
  </si>
  <si>
    <t>Link</t>
  </si>
  <si>
    <t>Academies budget forecast: guidance for completing the online form</t>
  </si>
  <si>
    <t>Academies budget forecast: guidance for completing the online form - GOV.UK</t>
  </si>
  <si>
    <t>Re-brokerage of academies</t>
  </si>
  <si>
    <t>https://www.gov.uk/government/publications/academies-budget-forecast-return-guide-to-using-the-online-form/re-brokerage-of-academies</t>
  </si>
  <si>
    <t>Academies chart of accounts and automating the accounts return</t>
  </si>
  <si>
    <t>https://www.gov.uk/government/publications/academies-chart-of-accounts</t>
  </si>
  <si>
    <t xml:space="preserve">
Other useful tools</t>
  </si>
  <si>
    <t>Name</t>
  </si>
  <si>
    <t>Customer help portal</t>
  </si>
  <si>
    <t>https://customerhelpportal.education.gov.uk/access-the-enquiry-portal/</t>
  </si>
  <si>
    <t>Index</t>
  </si>
  <si>
    <t>Overview</t>
  </si>
  <si>
    <t>Organisation user</t>
  </si>
  <si>
    <t>Prior Year BFR download report</t>
  </si>
  <si>
    <t>Prepare BFR</t>
  </si>
  <si>
    <t>BFR 2026 (Includes: revenue, capital, reserves and three year forecast)</t>
  </si>
  <si>
    <t>Declarations</t>
  </si>
  <si>
    <t>Summary declaration</t>
  </si>
  <si>
    <t>Preparer declaration</t>
  </si>
  <si>
    <t>Approver declaration</t>
  </si>
  <si>
    <t>Min Max table (for information ONLY - no action required)</t>
  </si>
  <si>
    <t>Validations table</t>
  </si>
  <si>
    <t>Chart of Accounts (CoA)</t>
  </si>
  <si>
    <t>CoA 2025/26 BFR mapping table</t>
  </si>
  <si>
    <t xml:space="preserve">This worksheet spans cells A1 through to C115
</t>
  </si>
  <si>
    <t>In case of query, follow link below:</t>
  </si>
  <si>
    <t>Customer Help Portal</t>
  </si>
  <si>
    <t>Trust details</t>
  </si>
  <si>
    <t>Question</t>
  </si>
  <si>
    <t>Validation checks</t>
  </si>
  <si>
    <t>Trust name</t>
  </si>
  <si>
    <t>Trust type (MAT/SAT)</t>
  </si>
  <si>
    <t>Trust UPIN</t>
  </si>
  <si>
    <t>Company House Number</t>
  </si>
  <si>
    <t>Trust contact details</t>
  </si>
  <si>
    <t xml:space="preserve">What are the contact details for this trust as we may need to contact you?
</t>
  </si>
  <si>
    <t>Full name</t>
  </si>
  <si>
    <t>UK telephone number</t>
  </si>
  <si>
    <t>Email Address</t>
  </si>
  <si>
    <t>Role in trust</t>
  </si>
  <si>
    <t>Other details</t>
  </si>
  <si>
    <t>Number of academies in trust to academies in return variation</t>
  </si>
  <si>
    <t>Explanation for this variation</t>
  </si>
  <si>
    <t>Which academies do you want to include in this return?</t>
  </si>
  <si>
    <t>Numbering</t>
  </si>
  <si>
    <t>Y/N</t>
  </si>
  <si>
    <t xml:space="preserve">No of academies per entry </t>
  </si>
  <si>
    <t>Error message</t>
  </si>
  <si>
    <t>Blank if no error</t>
  </si>
  <si>
    <t>Count</t>
  </si>
  <si>
    <t>*Error* - Please Enter Details for Academy</t>
  </si>
  <si>
    <t xml:space="preserve"> </t>
  </si>
  <si>
    <t>List of Finance Questions</t>
  </si>
  <si>
    <t>FQ1</t>
  </si>
  <si>
    <t>Have you had any provisions during this period, excluding pension liability?</t>
  </si>
  <si>
    <t>FQ2</t>
  </si>
  <si>
    <t>Have you had any loans during the period?</t>
  </si>
  <si>
    <t>FQ3</t>
  </si>
  <si>
    <t>Have you had any investments during the period?</t>
  </si>
  <si>
    <t>FQ4</t>
  </si>
  <si>
    <t>Have you had any overdrafts during the period?</t>
  </si>
  <si>
    <t>FQ5</t>
  </si>
  <si>
    <t>FQ6</t>
  </si>
  <si>
    <t xml:space="preserve"> • General Annual Grant (GAG) is not pooled </t>
  </si>
  <si>
    <t xml:space="preserve"> • All (100%) of the General Annual Grant (GAG) is pooled and held in a central fund</t>
  </si>
  <si>
    <t xml:space="preserve"> • Some of the General Annual Grant (GAG) is pooled and held in a central fund (partially pooled)</t>
  </si>
  <si>
    <t>Queries</t>
  </si>
  <si>
    <t>If you have a query about completing your BFR return contact the DfE using the Customer Help Portal.</t>
  </si>
  <si>
    <t>Pupil numbers</t>
  </si>
  <si>
    <t>Line no.</t>
  </si>
  <si>
    <t>CoA mapping</t>
  </si>
  <si>
    <r>
      <t xml:space="preserve">Help text
</t>
    </r>
    <r>
      <rPr>
        <sz val="12"/>
        <color theme="1"/>
        <rFont val="Arial"/>
        <family val="2"/>
      </rPr>
      <t>(see column R for text format)</t>
    </r>
  </si>
  <si>
    <t>Query / Validation</t>
  </si>
  <si>
    <t>Help text guidance</t>
  </si>
  <si>
    <t>Invalid character check</t>
  </si>
  <si>
    <t>Minimum value test detail</t>
  </si>
  <si>
    <t>Maximum value test detail</t>
  </si>
  <si>
    <t>Minimum value £'000</t>
  </si>
  <si>
    <t>Maximum value £'000</t>
  </si>
  <si>
    <t>Query / Validation No</t>
  </si>
  <si>
    <t>Query / Validation table ref</t>
  </si>
  <si>
    <t>Query / Validation details</t>
  </si>
  <si>
    <t>Pupil numbers 
(actual and estimated - do not round this figure)</t>
  </si>
  <si>
    <t>Input the actual/estimated total number of pre and post 16 students in your trust as at the October census date in the year of input (this shouldn't be rounded to the nearest '000), but should be exact figures. If you've had any re-brokerage of academies after the October census date, you will need to adjust your pupil numbers accordingly.</t>
  </si>
  <si>
    <t>QU22</t>
  </si>
  <si>
    <t>Query / Validation line only</t>
  </si>
  <si>
    <t>QU99</t>
  </si>
  <si>
    <t xml:space="preserve">REVENUE </t>
  </si>
  <si>
    <t>1    REVENUE INCOME</t>
  </si>
  <si>
    <t>DfE income</t>
  </si>
  <si>
    <r>
      <rPr>
        <b/>
        <sz val="12"/>
        <color rgb="FF000000"/>
        <rFont val="Arial"/>
        <family val="2"/>
      </rPr>
      <t xml:space="preserve">Category
</t>
    </r>
    <r>
      <rPr>
        <sz val="12"/>
        <color rgb="FF000000"/>
        <rFont val="Arial"/>
        <family val="2"/>
      </rPr>
      <t>For help, refer to the guidance tab
For helptext, refer to column R</t>
    </r>
  </si>
  <si>
    <t>Help Text Guidance</t>
  </si>
  <si>
    <t>Rates reclaim</t>
  </si>
  <si>
    <t>See CoA mapping for this line</t>
  </si>
  <si>
    <t>You should enter the total amount for the year you are claiming.</t>
  </si>
  <si>
    <t>General Annual Grant (GAG) (excluding Student Service Grant)</t>
  </si>
  <si>
    <t>QU1</t>
  </si>
  <si>
    <t>Student Services Grant (Academy Post 16 Bursary Funding)</t>
  </si>
  <si>
    <t>Start Up Grants</t>
  </si>
  <si>
    <t>Include both elements of the post opening grant (start up grant and post opening grant) included in the GAG funding statement.</t>
  </si>
  <si>
    <t>Pupil Premium &amp; Service Premium</t>
  </si>
  <si>
    <t>Do not include any looked-after children pupil premium allocations as this is funding provided by local authorities and should be included within line 200.</t>
  </si>
  <si>
    <t>Pupil Number Adjustment</t>
  </si>
  <si>
    <t>Include any additional funding you have received due to the PNA. Applies to academies who receive their funding based on estimates of pupil numbers. It is necessary so that academies funded in this way receive grant income which more accurately reflects the actual pupil numbers present during the year.</t>
  </si>
  <si>
    <t>QU2</t>
  </si>
  <si>
    <t>Other DfE revenue grants</t>
  </si>
  <si>
    <t>Insurance</t>
  </si>
  <si>
    <t>This should only contain any insurance top-up grant received from the DfE. It should not include the value of insurance claims.</t>
  </si>
  <si>
    <t>Sponsor Capacity Grant</t>
  </si>
  <si>
    <t>Other DfE family revenue Grants</t>
  </si>
  <si>
    <t>Total DfE revenue Income</t>
  </si>
  <si>
    <t>Other Revenue</t>
  </si>
  <si>
    <t>Local authority revenue income</t>
  </si>
  <si>
    <t>Include all revenue income received or receivable from local authorities, but exclude revenue surplus transfers from predecessor local authority maintained schools on conversion.</t>
  </si>
  <si>
    <t>Other government grants</t>
  </si>
  <si>
    <t>Non government grants</t>
  </si>
  <si>
    <t>Include all revenue grants received from non-government sources.</t>
  </si>
  <si>
    <t>Income from trading activities</t>
  </si>
  <si>
    <t>Investment income</t>
  </si>
  <si>
    <t>Other income</t>
  </si>
  <si>
    <t>Include any other revenue income not covered by the above categories e.g RAAC, donations, business sponsorship. (Exclude any investment income, this should now be included in line 213 - investment income).</t>
  </si>
  <si>
    <t>Surplus transfers on conversion</t>
  </si>
  <si>
    <t>Revenue surplus transfer of an existing academy in / (out) of the trust</t>
  </si>
  <si>
    <t>Include all revenue surplus received following the transfer of an existing academy, excluding pensions and fixed assets. Where there is a transfer of a surplus into the trust, enter this figure as a positive figure, increasing your income. Where there is a transfer of a surplus out of the trust, enter this as a negative figure, decreasing your income. Closed trusts: If your trust is transferring out all surplus revenue balances held, you can show the amount in this line. When completing the revenue totals section of the form, confirm the balance in line 410 - Balance b/fwd from previous period as zero from the point of transfer. </t>
  </si>
  <si>
    <t>Revenue surplus transfer to academy on conversion</t>
  </si>
  <si>
    <t>Include revenue surplus received or receivable on conversion from local authorities. For example, surpluses received from local authorities on conversion excluding pensions and fixed assets. Enter this as a positive figure.</t>
  </si>
  <si>
    <t>Subtotal transfers surplus</t>
  </si>
  <si>
    <t>Total Other revenue Income</t>
  </si>
  <si>
    <t>Fixed assets donated on conversion or pension donated on conversion should be excluded from other income.</t>
  </si>
  <si>
    <t>Transfers between Revenue and Capital (line 585)</t>
  </si>
  <si>
    <t>Total Revenue Income</t>
  </si>
  <si>
    <t>2   REVENUE EXPENDITURE</t>
  </si>
  <si>
    <t>Staff costs (excluding pension movements)</t>
  </si>
  <si>
    <t>Wages and Salaries</t>
  </si>
  <si>
    <t>Include the full costs of employment for all staff employed directly/indirectly by the trust including gross pay, bonuses, overtime, allowances, maternity and sick pay, redundancy costs for staff and bought in supply costs. Exclude third-party IT support - these should be included in line 342 - ICT costs: IT support, which is listed further below in the revenue expenditure section.</t>
  </si>
  <si>
    <t>Social Security Costs</t>
  </si>
  <si>
    <t>Include the employer’s national insurance and any costs of the apprenticeship levy.</t>
  </si>
  <si>
    <t>Pension Cost: Teaching staff</t>
  </si>
  <si>
    <t>Include the superannuation contributions relating to teaching staff, i.e. staff members in the teachers' pension scheme including those on the leadership pay scale. It should include actual pension contribution.</t>
  </si>
  <si>
    <t>Pension Cost: Non-teaching staff</t>
  </si>
  <si>
    <t>Include actual pension contributions and any payments to address the deficit on the LGPS fund, but not include any change in the value of the deficit calculated under FRS102.</t>
  </si>
  <si>
    <t>Total staff costs</t>
  </si>
  <si>
    <t>Non-staff costs</t>
  </si>
  <si>
    <t>ICT costs - connectivity</t>
  </si>
  <si>
    <r>
      <t>In here, you can </t>
    </r>
    <r>
      <rPr>
        <sz val="12"/>
        <color rgb="FF0B0C0C"/>
        <rFont val="Arial"/>
        <family val="2"/>
      </rPr>
      <t>include main and backup broadband lines, wireless networks, network switches, network cables, telephony, ISDN, ASDL or other dedicated phone lines, leasing costs associated with connectivity and telephony, safety and security features, such as cyber security and filtering and monitoring, if bundled with connectivity services. Please exclude, connectivity expenditure where costs are capitalised such as installation costs or where phones are not leased. Mobile phones, including hardware and contracts.</t>
    </r>
  </si>
  <si>
    <t>ICT costs - Onsite servers</t>
  </si>
  <si>
    <r>
      <t>In here, you can </t>
    </r>
    <r>
      <rPr>
        <sz val="12"/>
        <color rgb="FF0B0C0C"/>
        <rFont val="Arial"/>
        <family val="2"/>
      </rPr>
      <t>include purchased or leased onsite physical servers present in the school or Trust where they are not capitalised, onsite servers that support cloud-based storage across a Trust. Please exclude any cloud based storage where the school or trust does not have a physical onsite server, energy costs associated with onsite servers, expenditure on onsite servers where costs are capitalised, repair and maintenance costs.</t>
    </r>
  </si>
  <si>
    <t>ICT costs - IT learning resources</t>
  </si>
  <si>
    <r>
      <t>In here, please </t>
    </r>
    <r>
      <rPr>
        <sz val="12"/>
        <color rgb="FF0B0C0C"/>
        <rFont val="Arial"/>
        <family val="2"/>
      </rPr>
      <t>include curriculum software to support teaching and learning such as apps and lesson planning tools, subscriptions and licenses associated with educational software and websites, digital learning platforms, e-books. Please exclude resources that are used specifically for administration purposes such as management information systems, safeguarding systems, data storage, laptop, desktops and tablets, including associated licenses, other hardware such as audio-visual screens, printers and keyboards.</t>
    </r>
  </si>
  <si>
    <t>ICT costs - Administration software and systems</t>
  </si>
  <si>
    <r>
      <t>In here, please </t>
    </r>
    <r>
      <rPr>
        <sz val="12"/>
        <color rgb="FF0B0C0C"/>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IT hosting, including cloud and data storage, cybersecurity, filtering and monitoring if not part of any connectivity services. Please exclude connectivity such as broadband and telephony, IT learning resources, hardware, inhouse or third party IT support.</t>
    </r>
  </si>
  <si>
    <t>ICT costs - Laptops, desktops and tablets</t>
  </si>
  <si>
    <r>
      <t>In here, please </t>
    </r>
    <r>
      <rPr>
        <sz val="12"/>
        <color rgb="FF0B0C0C"/>
        <rFont val="Arial"/>
        <family val="2"/>
      </rPr>
      <t>include laptops, desktops and tablets purchased or leased by the school that are used for teaching, learning and administration. Peripherals such as keyboards, mouses and display screens if bundled into the cost of the devices, operating systems and licences if bundled into the cost of devices, and device management tools. Please exclude bring your own device (BYOD) schemes where pupils and or staff are required to bring their own devices such as laptops or tablets. Exclude peripherals that are not bundled into the cost of the devices, any other hardware, expenditure where device costs are capitalised, and IT support unless bundled into the purchase or hire of the devices.</t>
    </r>
  </si>
  <si>
    <t>ICT costs - Other hardware</t>
  </si>
  <si>
    <r>
      <t>In here, please </t>
    </r>
    <r>
      <rPr>
        <sz val="12"/>
        <color rgb="FF0B0C0C"/>
        <rFont val="Arial"/>
        <family val="2"/>
      </rPr>
      <t>include hardware such as printers and consumables, audio-visual display screens, projectors and CCTV, peripherals such as keyboards and mouses where they are not bundled into laptop, desktop and tablet costs. Include purchase or hire of any hardware where not capitalised. Please exclude laptops, desktops and tablets, onsite servers, software unless bundled as part of the cost of the hardware, expenditure where costs are capitalised.</t>
    </r>
  </si>
  <si>
    <t>ICT costs - IT support</t>
  </si>
  <si>
    <t>Other Staff Support Costs</t>
  </si>
  <si>
    <t>Include any indirect staffing costs such as training and development, staff travel, childcare vouchers, staff related insurance and DBS checks. Exclude IT related training, see line 342 - ICT costs: IT support.</t>
  </si>
  <si>
    <t>Other non staff support costs (cash)</t>
  </si>
  <si>
    <t>Subtotal support costs</t>
  </si>
  <si>
    <t>Disclosure purposes only</t>
  </si>
  <si>
    <t>Building repair &amp; maintenance / Building improvements</t>
  </si>
  <si>
    <t>QU379</t>
  </si>
  <si>
    <t>Deficit transfers on conversion</t>
  </si>
  <si>
    <t>Revenue deficit transfer of an existing academy in / (out) of the trust</t>
  </si>
  <si>
    <t>Include all revenue deficit payable following the transfer of an existing academy, excluding pensions and fixed assets. Where there is a transfer of a deficit into the trust, enter this figure as a positive figure, increasing your expenditure. Where there is a transfer of a deficit out of the trust, enter this as a negative figure, decreasing your expenditure. Closed trusts: If your trust is transferring out all deficit revenue balances held, you can show the amount in this line. When completing the revenue totals section of the form, confirm the balance in line 410 - Balance b/fwd from previous period as zero from the point of transfer.</t>
  </si>
  <si>
    <t>Revenue deficit transfer to academy on conversion</t>
  </si>
  <si>
    <t>Include revenue deficit payable on conversion from local authorities, e.g. deficits received from local authorities on conversion excluding pensions and fixed assets. Enter this as a positive figure.</t>
  </si>
  <si>
    <t>Subtotal transfer deficit</t>
  </si>
  <si>
    <t>Other Non cash costs</t>
  </si>
  <si>
    <t>Only include any non cash costs that flow into revenue reserves. If non cash costs  feed the pensions reserve  or the capital fund then please exclude.  An example is where depreciation flows into the capital fund- in this case this should not be included here. Instead it should be disclosed in the other items section below. If you include impairment  charges in revenue reserves then please provide an explanation following the validation query. Please include other non cash items such as provisions ( but not pension liabilities) or unwinding of the discount.</t>
  </si>
  <si>
    <t>QU23</t>
  </si>
  <si>
    <t>Total revenue expenditure</t>
  </si>
  <si>
    <t>QU5</t>
  </si>
  <si>
    <t>QU3</t>
  </si>
  <si>
    <t>QU4</t>
  </si>
  <si>
    <t>3 REVENUE TOTALS</t>
  </si>
  <si>
    <t>Net revenue income/(expenditure) for the period</t>
  </si>
  <si>
    <t>No action - auto calculation.  If forecast year expenditure is forecast to increase by more than 10% compared to the current year, without a corresponding increase in income provide an explanation.</t>
  </si>
  <si>
    <t>QU6</t>
  </si>
  <si>
    <t>Balance b/f from previous period</t>
  </si>
  <si>
    <t>QU7</t>
  </si>
  <si>
    <t>QU8</t>
  </si>
  <si>
    <t>Balance c/f to next period</t>
  </si>
  <si>
    <t xml:space="preserve">This is an automatic sum of lines 400 and 410. Provide an explanation where there are any deficits. </t>
  </si>
  <si>
    <t>QU9</t>
  </si>
  <si>
    <t>QU10</t>
  </si>
  <si>
    <t>QU430</t>
  </si>
  <si>
    <t>CAPITAL</t>
  </si>
  <si>
    <t>4 CAPITAL INCOME</t>
  </si>
  <si>
    <t>DfE  income - Capital</t>
  </si>
  <si>
    <t>Devolved formula capital</t>
  </si>
  <si>
    <t>Input total amount of  capital funding grant receivable from DfE.</t>
  </si>
  <si>
    <t>Value of any capital donation of an asset from the DfE for PSBP/Free Schools programme</t>
  </si>
  <si>
    <t>Other DfE income - Capital</t>
  </si>
  <si>
    <t>Include the amount of any capital grants received from the DfE that is not included in lines 510 or 520, for example CIF/SCA funding. If you have received any RAAC funding that relates to capital, please include this here.</t>
  </si>
  <si>
    <t>Other DfE family Capital Grants</t>
  </si>
  <si>
    <t>Total DfE Capital Income</t>
  </si>
  <si>
    <t>Other income - Capital</t>
  </si>
  <si>
    <t>Local authority capital income (cash)</t>
  </si>
  <si>
    <t>Include any local authority capital funding receivable. This should be cash payments only. Include unspent grants (cash) including any capital balances on conversion. This is the cash reserves balances on conversion only.</t>
  </si>
  <si>
    <t>QU13</t>
  </si>
  <si>
    <t xml:space="preserve">Non Government capital income </t>
  </si>
  <si>
    <t>Include voluntary, private capital, donations for use as capital or endowment funds or any other non-government capital income. Specify what each is in the comments section.</t>
  </si>
  <si>
    <t>QU11</t>
  </si>
  <si>
    <t>Other Government Grant capital income</t>
  </si>
  <si>
    <t>QU12</t>
  </si>
  <si>
    <t>Endowment releases to fund capital expenditure</t>
  </si>
  <si>
    <t>Local authority donated assets</t>
  </si>
  <si>
    <t>Include any donated assets from local authorities. This will equal line 606 (local authority donated assets expense).</t>
  </si>
  <si>
    <t>Total Other Capital Income</t>
  </si>
  <si>
    <t>Disposals</t>
  </si>
  <si>
    <t>Land &amp; buildings disposals</t>
  </si>
  <si>
    <t>Other fixed assets disposals</t>
  </si>
  <si>
    <t>Total Disposal proceeds</t>
  </si>
  <si>
    <t>Capital Income totals</t>
  </si>
  <si>
    <t xml:space="preserve">Transfers between Revenue and Capital (contra line 255) </t>
  </si>
  <si>
    <t>This should balance to line 255 - normally there are revenue transfers to capital and this line should be a positive figure. Transfers from capital funding to revenue reserves are normally disallowed. However on occasion for the reasons described in line 255, a reverse transfer may be necessary, where funds will flow from capital to revenue and the balance in this line would become negative. As this is unusual, an explanation is required.</t>
  </si>
  <si>
    <t>QU21</t>
  </si>
  <si>
    <t>Total Capital Income</t>
  </si>
  <si>
    <t>5 CAPITAL EXPENDITURE</t>
  </si>
  <si>
    <r>
      <rPr>
        <b/>
        <sz val="12"/>
        <color rgb="FF000000"/>
        <rFont val="Arial"/>
        <family val="2"/>
      </rPr>
      <t xml:space="preserve">Category
</t>
    </r>
    <r>
      <rPr>
        <sz val="12"/>
        <color rgb="FF000000"/>
        <rFont val="Arial"/>
        <family val="2"/>
      </rPr>
      <t>Include:
1. cost of land acquisition including fees and charges related to the acquisition
2. cost of acquiring existing buildings, including fees and charges related to the acquisition
3. cost of new construction, including fees
4. cost of conversions and renovations and cost of extension to existing premises. This needs to be broken down into the following categories.
For help, refer to the guidance tab
For helptext, refer to column R</t>
    </r>
  </si>
  <si>
    <t>Land &amp; buildings additions funded by DfE grants</t>
  </si>
  <si>
    <t>Include any expenditure of grant received from the DfE for freehold and leasehold land and buildings additions. In here, also include any RAAC related expenditure that has been capitalised. If your trust has had any major maintenance work completed that has been capitalised, please include this in here. Any unspent grant income would be carried forward into the next financial year, usually in the capital funds balance.</t>
  </si>
  <si>
    <t>Land &amp; buildings donated to the trust by the DfE (PSPB/Free Schools Programme)</t>
  </si>
  <si>
    <t>This should equal row 520. Include donations from the DfE for the School Rebuilding Programme (SRP), Priority Schools Building Programme (PSBP), and the Free Schools Programme.</t>
  </si>
  <si>
    <t>Land &amp; buildings additions funded by other capital grants</t>
  </si>
  <si>
    <t>Land &amp; buildings additions funded by reserves</t>
  </si>
  <si>
    <t>Funded by reserves – including other revenue sources as well as endowment releases.</t>
  </si>
  <si>
    <r>
      <t>I</t>
    </r>
    <r>
      <rPr>
        <sz val="12"/>
        <color rgb="FF0B0C0C"/>
        <rFont val="Arial"/>
        <family val="2"/>
      </rPr>
      <t>nclude broadband, wireless networks, network switches, network cables where they are capitalised, telephony, ISDN, ASDL or other dedicated phone lines where they are not leased, and installation costs. Exclude leasing and maintenance costs (shown in the revenue section), IT support, repair and maintenance costs.</t>
    </r>
  </si>
  <si>
    <t>ICT costs -  onsite servers</t>
  </si>
  <si>
    <r>
      <rPr>
        <sz val="12"/>
        <color rgb="FF0B0C0C"/>
        <rFont val="Arial"/>
        <family val="2"/>
      </rPr>
      <t>Include physical onsite servers where costs are capitalised. Exclude leasing and maintenance costs (see revenue section) cloud storage costs, IT support, repair and maintenance costs.</t>
    </r>
  </si>
  <si>
    <t>ICT costs -  administration software and systems</t>
  </si>
  <si>
    <r>
      <rPr>
        <sz val="12"/>
        <color rgb="FF0B0C0C"/>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Also include, cloud data and storage, cybersecurity and filtering and monitoring if not part of any connectivity services. Exclude connectivity such as broadband and telephony, (see line 621), IT learning resources, hardware, IT support, repair and maintenance costs. Where a resource is used for curriculum and non-curriculum (administration) purposes, and where costs are material, costs or estimates of the split should be coded separately at the time of purchase.</t>
    </r>
  </si>
  <si>
    <t xml:space="preserve">ICT costs - laptops, desktops and tablets    </t>
  </si>
  <si>
    <r>
      <rPr>
        <sz val="12"/>
        <color rgb="FF0B0C0C"/>
        <rFont val="Arial"/>
        <family val="2"/>
      </rPr>
      <t>Include laptops, desktops and tablets purchased by the school that are used for teaching, learning and administration, operating systems and licences if bundled into the cost of device, and device management tools. Exclude, bring your own device (BYOD) schemes where pupils and or staff are required to bring their own devices such as laptops or tablets. Also exclude any other hardware (see line 625), IT support, and repair and maintenance costs. Where a resource is used for curriculum and non-curriculum (i.e. administration) purposes, and where costs are material, costs or estimates of the split should be coded separately at the time of purchase.</t>
    </r>
  </si>
  <si>
    <t>ICT costs - other hardware</t>
  </si>
  <si>
    <r>
      <t>I</t>
    </r>
    <r>
      <rPr>
        <sz val="12"/>
        <color rgb="FF0B0C0C"/>
        <rFont val="Arial"/>
        <family val="2"/>
      </rPr>
      <t>nclude, hardware such as printers and consumables, audio-visual display screens, projectors and CCTV, peripherals such as keyboards and mouses where they are not bundled into laptop, desktop and tablet costs (see line 624). Exclude laptops, desktops and tablets (see line 624), onsite servers (see line 622), and IT support, repair and maintenance costs.</t>
    </r>
  </si>
  <si>
    <t>Other fixed assets additions funded by DfE grants</t>
  </si>
  <si>
    <t>Include any expenditure of DfE grant received in a previous period. The unspent grant income should be carried forward from a prior year. In here, also include any RAAC related expenditure that has been capitalised in this line. If your trust has had any major maintenance work completed that has been capitalised, include this in here.</t>
  </si>
  <si>
    <t>Other fixed assets additions funded by other capital grants</t>
  </si>
  <si>
    <t>Include any expenditure that is funded by other capital grants (not the DfE family) include lottery funding, Sport England, Local Authorities, The Football Association. If your trust has had any major maintenance work completed that has been capitalised, include this in here.</t>
  </si>
  <si>
    <t>Other fixed assets additions funded by reserves</t>
  </si>
  <si>
    <t>Include any expenditure that is funded by reserves – including other revenue sources as well as endowment releases.</t>
  </si>
  <si>
    <t>Local authority donated assets expense</t>
  </si>
  <si>
    <t>This should be equal to row 575 recognising the asset expense following receipt of the donated asset (as income).</t>
  </si>
  <si>
    <t>Total Capital Expenditure</t>
  </si>
  <si>
    <t>Capital totals</t>
  </si>
  <si>
    <t>Net Capital income/(expenditure) for the period</t>
  </si>
  <si>
    <t>QU14</t>
  </si>
  <si>
    <t>Balance B/Fwd from previous period</t>
  </si>
  <si>
    <t xml:space="preserve">Balance C/Fwd to next period </t>
  </si>
  <si>
    <t>Capital assets transferred to academy on conversion</t>
  </si>
  <si>
    <t>Capital assets transferred of an existing academy into the trust</t>
  </si>
  <si>
    <t>Capital assets transferred of an existing academy out of the trust</t>
  </si>
  <si>
    <t>6 OTHER ITEMS</t>
  </si>
  <si>
    <t>Cash</t>
  </si>
  <si>
    <t>Cash at bank and in hand</t>
  </si>
  <si>
    <t xml:space="preserve">Include the balances held in all academy trust bank accounts plus any miscellaneous cash holdings, for example petty cash balances. This will also include cash equivalents, being short-term highly liquid investments with a short maturity, for example short-term money market deposits.  August balances should be as per your audited financial statements. </t>
  </si>
  <si>
    <t>QU15</t>
  </si>
  <si>
    <t>Overdrafts</t>
  </si>
  <si>
    <t>Include any bank or other overdrafts still in use at period end date.</t>
  </si>
  <si>
    <t>QU16</t>
  </si>
  <si>
    <t>Impairment/gains and losses</t>
  </si>
  <si>
    <t>Gain/loss on disposal of fixed assets</t>
  </si>
  <si>
    <t>Deduct the carrying amount of the asset and related selling expenses from the proceeds of the disposal. Losses are entered as positive and gains as negative.</t>
  </si>
  <si>
    <t>Impairment charges</t>
  </si>
  <si>
    <t>Impairment charge would be the reduction in carrying value of an asset.</t>
  </si>
  <si>
    <t>QU20</t>
  </si>
  <si>
    <t>Investments</t>
  </si>
  <si>
    <t>Include the total value of your investments as at the specified dates. Increases to the total value could be as a result of the purchase of new fixed income or equity investments.</t>
  </si>
  <si>
    <t>QU17</t>
  </si>
  <si>
    <t>Investment liquidations</t>
  </si>
  <si>
    <t>Include cash or cash equivalents received as a result of investment liquidations. This is a disclosure only line and will not result in double-counting in line 700.</t>
  </si>
  <si>
    <t>Loans</t>
  </si>
  <si>
    <t>Opening outstanding loans</t>
  </si>
  <si>
    <t>Please include any closing loans outstanding from the previous financial year. Please specify in the comments section to whom the loans relate, the amounts specific to each, whether transferred on conversion, reason for loan and loan duration. This includes Salix loans.</t>
  </si>
  <si>
    <t>Increase/(Decrease) in outstanding loans</t>
  </si>
  <si>
    <t>Please include the value of any increase or decrease in outstanding loans. Please specify in the comments section to whom the loans relate, the amounts specific to each, whether transferred on conversion, reason for loan and loan duration. This includes Salix loans.</t>
  </si>
  <si>
    <t>QU18</t>
  </si>
  <si>
    <t>Closing outstanding loans</t>
  </si>
  <si>
    <t>QU19</t>
  </si>
  <si>
    <t>Provisions (excluding pensions liabilities)</t>
  </si>
  <si>
    <t>Provision increase</t>
  </si>
  <si>
    <t>Include any new provisions that have been created or increased in the year as a positive figure.</t>
  </si>
  <si>
    <t>Provisions release (enter as a negative value)</t>
  </si>
  <si>
    <t>Include any reductions to the value of the provisions in the year. This must be a negative value.</t>
  </si>
  <si>
    <t>Provision utilisation</t>
  </si>
  <si>
    <t>Include any payments made out against the provisions in the year. This must be a negative value. This is not a cost but is a cash payment</t>
  </si>
  <si>
    <t>Depreciation / amortisation charge for the period</t>
  </si>
  <si>
    <t>Buildings depreciation</t>
  </si>
  <si>
    <t>Include depreciation charges for DfE buildings only. If the building has been donated from the DfE, please include in this line. Exclude depreciation relating to other owned assets, other donated assets or other non DfE buildings during the year.</t>
  </si>
  <si>
    <t>Other assets donated depreciation</t>
  </si>
  <si>
    <t>Include depreciation charges for non DfE donated assets.</t>
  </si>
  <si>
    <t>Other assets owned depreciation</t>
  </si>
  <si>
    <t>Include depreciation charges for other owned assets, excluding DfE buildings or non DfE donated assets.</t>
  </si>
  <si>
    <t>Total Depreciation</t>
  </si>
  <si>
    <t>7 TRUST REVENUE RESERVES</t>
  </si>
  <si>
    <t>Total Trust Reserves</t>
  </si>
  <si>
    <t>For line 1001 to populate, enter your figures into line 1000, 1002, or lines 800 depending on whether your reserves are held centrally or at academy level. For trusts that pool reserves, enter your figures into line 1000 - centrally held revenue reserves, and line 1002 - Adjustments to revenue reserve balances (if applicable). For trusts that do not pool reserves, and hold balances at academy level and centrally, enter your figures into lines 1000 - Centrally held revenue reserves, line 1002 - Adjustments to revenue reserves (if applicable) and the individual academy revenue reserve balances into lines 800. The calculated total in line 1001 should equal line 430, however it may not match due to any changes in the structure of your trust.</t>
  </si>
  <si>
    <t>QU500</t>
  </si>
  <si>
    <t>Adjustments to reserve balances</t>
  </si>
  <si>
    <t>Use this line if you need to adjust the reserve balances, for example, if you have new academies that aren't included on the form and you have included financial data for them.</t>
  </si>
  <si>
    <t>QU503</t>
  </si>
  <si>
    <t>Centrally held reserves</t>
  </si>
  <si>
    <t xml:space="preserve">Pooled Funding: When reserves are fully pooled, this will be the trust's total reserves. This applies to all SATs and should equal line 430. 
Non-Pooled Funding: MATs only. If your reserves are not fully pooled, and you hold reserves centrally and at academy level, adjust the centrally held reserves in line 1000 to show the value of reserves held centrally, and then the reserve balances for each academy within the 800 lines.
If you only hold reserve balances centrally, and not at academy level, this should equal line 430. Once lines 1000 or 800 are populated, then line 1001 will populate automatically.
</t>
  </si>
  <si>
    <t>QU502</t>
  </si>
  <si>
    <t>Reserves Questions</t>
  </si>
  <si>
    <r>
      <rPr>
        <sz val="12"/>
        <color rgb="FF000000"/>
        <rFont val="Arial"/>
        <family val="2"/>
      </rPr>
      <t>Do you pool all of your revenue reserves, and are these held centrally?</t>
    </r>
    <r>
      <rPr>
        <b/>
        <sz val="12"/>
        <color rgb="FF000000"/>
        <rFont val="Arial"/>
        <family val="2"/>
      </rPr>
      <t xml:space="preserve">
</t>
    </r>
    <r>
      <rPr>
        <i/>
        <sz val="11"/>
        <rFont val="Arial"/>
        <family val="2"/>
      </rPr>
      <t>(Tick Yes or No)</t>
    </r>
  </si>
  <si>
    <t>Reserves held per academy (800 lines)</t>
  </si>
  <si>
    <t xml:space="preserve">Academy name
</t>
  </si>
  <si>
    <t xml:space="preserve">The number of academies in the overview section should match the number of academies showing in this section. The balances should be the balance for each academy (unless you pool reserves). Deficits are entered as a negative value. </t>
  </si>
  <si>
    <t>8 Three year forecast</t>
  </si>
  <si>
    <t>Revenue income</t>
  </si>
  <si>
    <t>DfE grant income</t>
  </si>
  <si>
    <t>Maps to line 199. This includes all DfE income.</t>
  </si>
  <si>
    <t>Maps to line 250. All other income revenue streams (non DfE)</t>
  </si>
  <si>
    <t>Surplus/ deficit transfer into trust on conversion or transfer</t>
  </si>
  <si>
    <t>Maps to lines 212, 215, 350 and 351. Surplus / deficit movements on conversion or transfer.</t>
  </si>
  <si>
    <t>Transfer revenue to capital</t>
  </si>
  <si>
    <t>Maps to line 255. Transfers from current year revenue into capital reserves. This usually reduces income but on occasion there is a transfer from capital to revenue.</t>
  </si>
  <si>
    <t>Subtotal income</t>
  </si>
  <si>
    <t>QU2980</t>
  </si>
  <si>
    <t>Validation line only</t>
  </si>
  <si>
    <t>2980a</t>
  </si>
  <si>
    <t/>
  </si>
  <si>
    <t>QU2980a</t>
  </si>
  <si>
    <t>Revenue expenditure</t>
  </si>
  <si>
    <t>Staff costs</t>
  </si>
  <si>
    <t>Other costs</t>
  </si>
  <si>
    <t>Maps to line 310, 311, 320 and 325. Includes all appropriate staff costs.</t>
  </si>
  <si>
    <t>Subtotal costs</t>
  </si>
  <si>
    <t>Maps to line 330, 336, 337, 338, 339, 340, 341, 342, 378 and 395 if applicable. Includes all non staff costs but exclude non cash depreciation, pension provision movements.</t>
  </si>
  <si>
    <t>QU3800</t>
  </si>
  <si>
    <t>QU3800a</t>
  </si>
  <si>
    <t>Revenue net</t>
  </si>
  <si>
    <t>Pay assumptions</t>
  </si>
  <si>
    <t>Please enter the percentage (%) rate used to forecast assumed pay awards for teaching staff. This figure should be between 0% and 100%. Please enter these figures as actual figures (For example for 1% enter '1' or for no increase enter '0').</t>
  </si>
  <si>
    <t>QU3900</t>
  </si>
  <si>
    <t>Please enter the percentage (%) rate used to forecast assumed pay awards for support staff. This figure should be between 0% and 100%. Please enter these figures as actual figures (For example for 1% enter '1' or for no increase enter '0').</t>
  </si>
  <si>
    <t>QU3950</t>
  </si>
  <si>
    <t>Capital</t>
  </si>
  <si>
    <t>Transfer revenue to capital expenditure</t>
  </si>
  <si>
    <t>Maps to line 585. Contra of 255 above. This is current year revenue transferred to capital or on occasion is a reverse transfer.</t>
  </si>
  <si>
    <t>Capital income</t>
  </si>
  <si>
    <t>Maps to line 550 and 580. This should be all grant funding. Do not include donated assets, DfE Assets Under Construction transfers or conversions only include genuine income</t>
  </si>
  <si>
    <t>Actual spend on capital expenditure</t>
  </si>
  <si>
    <t>Maps to line 650. Do not include donated assets, DfE Assets Under Construction transfers or conversions. Only include actual trust spend.</t>
  </si>
  <si>
    <t>Asset disposals</t>
  </si>
  <si>
    <t>Maps to line 584. Receipts on disposals.</t>
  </si>
  <si>
    <t>Capital net</t>
  </si>
  <si>
    <t>QU6600</t>
  </si>
  <si>
    <t>Other items</t>
  </si>
  <si>
    <t>Depreciation</t>
  </si>
  <si>
    <t>Maps to line 720. All depreciation categories combined. Provide a brief explanation of the different strands of depreciation - buildings, donated assets and other.</t>
  </si>
  <si>
    <t>QU7200</t>
  </si>
  <si>
    <t>Any other non cash costs</t>
  </si>
  <si>
    <t>Maps to lines 736, 737, 712, 710. Only if known and planned - do not include pension. Include Provision movements, impairments and gains/losses on disposal. Also include a brief summary of the costs included.</t>
  </si>
  <si>
    <t>QU7100</t>
  </si>
  <si>
    <t xml:space="preserve">Cash </t>
  </si>
  <si>
    <t>Maps to line 700-701. Include bank balances and overdrafts combined.</t>
  </si>
  <si>
    <t>QU7000</t>
  </si>
  <si>
    <t>Pupil numbers
(estimated - do not round this figure)</t>
  </si>
  <si>
    <t>QU9000</t>
  </si>
  <si>
    <t>Reserves</t>
  </si>
  <si>
    <t>Maps to line 410. Opening revenue reserve balances.</t>
  </si>
  <si>
    <t>Maps to line 430. Closing revenue balances, explain the circumstances where you have forecast any closing deficits.</t>
  </si>
  <si>
    <t>QU4300</t>
  </si>
  <si>
    <t>Trust reserves balances at 31 Aug 2026/2027/2028</t>
  </si>
  <si>
    <t>Maps to 1001, which is the total of lines 800-899 and 1000. Only a single line entry is required for the entire trust. Provide further details where you have forecast a deficit in any one year.</t>
  </si>
  <si>
    <t>QU8000</t>
  </si>
  <si>
    <t>To check and confirm, the unrounded values are expected, this is shown as grossed up (no rounding) to confirm this is the actual £ value forecasted:</t>
  </si>
  <si>
    <t>Info 8001</t>
  </si>
  <si>
    <t>QU8001</t>
  </si>
  <si>
    <t>What is the value of actual reserves your trust is holding for contingency?</t>
  </si>
  <si>
    <t xml:space="preserve">
Category
(Enter all financial data using the format £'000. For example, for £100,000 enter £100)</t>
  </si>
  <si>
    <t>Approximate cost
£'000</t>
  </si>
  <si>
    <t>Rounded amounts validation check
(Red requires your attention)</t>
  </si>
  <si>
    <t xml:space="preserve">
Tick box to confirm amount input is rounded and correct</t>
  </si>
  <si>
    <t>Plans for your remaining reserves balance</t>
  </si>
  <si>
    <t xml:space="preserve">Remaining reserves plan </t>
  </si>
  <si>
    <t>QU100</t>
  </si>
  <si>
    <t>Revenue totals</t>
  </si>
  <si>
    <t>Revenue</t>
  </si>
  <si>
    <t>Reserve balance details</t>
  </si>
  <si>
    <t>Summaries</t>
  </si>
  <si>
    <t>Section of form</t>
  </si>
  <si>
    <t>Category</t>
  </si>
  <si>
    <t>Source</t>
  </si>
  <si>
    <t>Calculated from input as (£000)</t>
  </si>
  <si>
    <t>Reported as: Full amount in (£)</t>
  </si>
  <si>
    <t>Net capital income/(expenditure) for the period</t>
  </si>
  <si>
    <t>Reserves total</t>
  </si>
  <si>
    <t>Total trust reserves</t>
  </si>
  <si>
    <t>Revenue Net</t>
  </si>
  <si>
    <t>calculated from input as (£000)</t>
  </si>
  <si>
    <t>Capital Net</t>
  </si>
  <si>
    <t>Trust Reserves</t>
  </si>
  <si>
    <t>Signoff section:</t>
  </si>
  <si>
    <r>
      <rPr>
        <sz val="12"/>
        <color rgb="FF000000"/>
        <rFont val="Arial"/>
        <family val="2"/>
      </rPr>
      <t xml:space="preserve">I can confirm that these are correct balances for my trust.
</t>
    </r>
    <r>
      <rPr>
        <sz val="11"/>
        <color rgb="FF000000"/>
        <rFont val="Arial"/>
        <family val="2"/>
      </rPr>
      <t>(type 'Yes' in the yellow field Cell B39 without leaving spaces)</t>
    </r>
  </si>
  <si>
    <t>Contact name:</t>
  </si>
  <si>
    <t>Contact email address:</t>
  </si>
  <si>
    <t>Contact phone number:</t>
  </si>
  <si>
    <t>Are there any other comments you wish to add in relation to this submission?
(Enter 'No' if there is no comments to add)</t>
  </si>
  <si>
    <t>Date:</t>
  </si>
  <si>
    <t>I confirm that I have selected and completed all relevant sections, input the required information accurately and resolved all validation flags. I confirm that the information entered is accurate, complete and relates to the correct periods on a consistent basis using the guidance provided by the Department for Education.</t>
  </si>
  <si>
    <t>Validations Outstanding</t>
  </si>
  <si>
    <t>Approver details</t>
  </si>
  <si>
    <r>
      <t>Are you the Accounting Officer?</t>
    </r>
    <r>
      <rPr>
        <i/>
        <sz val="12"/>
        <rFont val="Arial"/>
        <family val="2"/>
      </rPr>
      <t xml:space="preserve"> (Type Yes or No)</t>
    </r>
  </si>
  <si>
    <r>
      <t xml:space="preserve">Name of Accounting Officer: </t>
    </r>
    <r>
      <rPr>
        <i/>
        <sz val="12"/>
        <rFont val="Arial"/>
        <family val="2"/>
      </rPr>
      <t>(if different to name above)</t>
    </r>
  </si>
  <si>
    <t>Accounting officer email address</t>
  </si>
  <si>
    <t>tick box to approve</t>
  </si>
  <si>
    <t xml:space="preserve">tick box to reject </t>
  </si>
  <si>
    <t xml:space="preserve">Date: </t>
  </si>
  <si>
    <t xml:space="preserve">I confirm that the entries in the budget forecast return have been prepared on a consistent basis </t>
  </si>
  <si>
    <t xml:space="preserve">I confirm that the trustees have reviewed and approved the content of this form and that I am ready to submit
</t>
  </si>
  <si>
    <t>Table of min and max values</t>
  </si>
  <si>
    <t>This table is for info only. The values are used in the 'BFR 2026' tab for the min/max tests.</t>
  </si>
  <si>
    <t>BFR main lines</t>
  </si>
  <si>
    <t>Minimum value</t>
  </si>
  <si>
    <t>Maximum value</t>
  </si>
  <si>
    <t>Description</t>
  </si>
  <si>
    <t>ICT costs -  Onsite servers</t>
  </si>
  <si>
    <t>ICT costs -  IT learning resources</t>
  </si>
  <si>
    <t>ICT costs -  Administration software and systems</t>
  </si>
  <si>
    <t xml:space="preserve">ICT costs - Laptops, desktops and tablets    </t>
  </si>
  <si>
    <t>Subtotal Support costs</t>
  </si>
  <si>
    <t>Subtotal Transfers deficit</t>
  </si>
  <si>
    <t>Non staff costs (cash)</t>
  </si>
  <si>
    <t>Other non cash costs</t>
  </si>
  <si>
    <t xml:space="preserve">Balance c/f to next period </t>
  </si>
  <si>
    <t>Capital Totals Bal Bfwd from previous</t>
  </si>
  <si>
    <t xml:space="preserve">Capital Balance Cfwd to next period </t>
  </si>
  <si>
    <t>UPIN</t>
  </si>
  <si>
    <t>Pupil numbers (actual and estimated)</t>
  </si>
  <si>
    <t>Centrally held reserves (MATs Only)</t>
  </si>
  <si>
    <t>3 year forecast tables</t>
  </si>
  <si>
    <t>Surplus/ Deficit transfer into trust on conversion or transfer</t>
  </si>
  <si>
    <t>Transfer Revenue to Capital</t>
  </si>
  <si>
    <t>Assumed pay awards for teaching staff (% rate)</t>
  </si>
  <si>
    <t>Assumed pay awards for support staff (% rate)</t>
  </si>
  <si>
    <t>Transfer Revenue to Capex</t>
  </si>
  <si>
    <t>Capital  income</t>
  </si>
  <si>
    <t>Actual spend on capex</t>
  </si>
  <si>
    <t>Revenue reserve opening balance b/f 1 Sep 2013/ 2014/ 2025</t>
  </si>
  <si>
    <t>Revenue Reserve balance c/f 31 Aug 2024 / 2025 / 2026</t>
  </si>
  <si>
    <t>Trust reserves balances at 31 Aug 2024/ 2025/2026</t>
  </si>
  <si>
    <t>Pupil numbers (estimated)</t>
  </si>
  <si>
    <t xml:space="preserve">Validations summary table
</t>
  </si>
  <si>
    <t>No of validations outstanding</t>
  </si>
  <si>
    <t>List of queries / validations</t>
  </si>
  <si>
    <t>*Enter details in the fields highlighted yellow in Column E</t>
  </si>
  <si>
    <t>Query reference</t>
  </si>
  <si>
    <t>BFR line number</t>
  </si>
  <si>
    <t>Query</t>
  </si>
  <si>
    <t>Section query relates to</t>
  </si>
  <si>
    <t>Trust Response</t>
  </si>
  <si>
    <t>STATUS</t>
  </si>
  <si>
    <t>Revenue Income: Line 102 - General Annual Grant (GAG) (excluding Student Service Grant)</t>
  </si>
  <si>
    <t>Revenue Income: Line 132 - Pupil Number Adjustment</t>
  </si>
  <si>
    <t>Revenue expenditure: Line 380 - Total revenue expenditure</t>
  </si>
  <si>
    <t>Revenue totals: Line 400 - Net revenue income/(expenditure) for the period</t>
  </si>
  <si>
    <t>Revenue totals: Line 410 - Balance b/f from previous period</t>
  </si>
  <si>
    <t xml:space="preserve">Revenue totals: Line 430 - Balance c/f to next period </t>
  </si>
  <si>
    <t xml:space="preserve">Capital income: Line 570 - Non Government capital income </t>
  </si>
  <si>
    <t>Capital income: Line 571 - Other Government Grant capital income</t>
  </si>
  <si>
    <t>Capital income: Line 560 - Local authority capital income (cash)</t>
  </si>
  <si>
    <t>Capital totals: Line 660 - Net Capital income/(expenditure) for the period</t>
  </si>
  <si>
    <t>Other items: Line 700 - Cash at bank and in hand</t>
  </si>
  <si>
    <t>Other items: Line 701 - Overdrafts</t>
  </si>
  <si>
    <t>Other items: Line 725 - Investments</t>
  </si>
  <si>
    <t>Other items: Line 785 - Increase/(Decrease) in outstanding loans</t>
  </si>
  <si>
    <t>Other items: Line 789 -Closing outstanding loans</t>
  </si>
  <si>
    <t>Other items: Line 712 - Impairment charges</t>
  </si>
  <si>
    <t xml:space="preserve">Capital income: Line 585 - Transfers between Revenue and Capital (contra line 255) </t>
  </si>
  <si>
    <t xml:space="preserve">Other items: Line 999 - Pupil numbers </t>
  </si>
  <si>
    <t>Revenue expenditure: Line 395 - Other Non cash costs</t>
  </si>
  <si>
    <t>GAG line 102 divided by pupil numbers line 999</t>
  </si>
  <si>
    <t>Reserves section</t>
  </si>
  <si>
    <t>Trust reserves: Line 800 - Academy reserves</t>
  </si>
  <si>
    <t>379</t>
  </si>
  <si>
    <t>Building repair &amp; maintenance / Building improvements: Line 379 disclosure only</t>
  </si>
  <si>
    <t>Trust reserves: Line 1001 - Total Trust Reserves</t>
  </si>
  <si>
    <t>Trust reserves: Line 1000 - Centrally held reserves</t>
  </si>
  <si>
    <t>Trust reserves: Line 1002 - Adjustments to reserve balances</t>
  </si>
  <si>
    <t>2980</t>
  </si>
  <si>
    <t>3 year forecast: Line 2980 - subtotal income</t>
  </si>
  <si>
    <t>3 year forecast: Line 2980 - subtotal income at zero</t>
  </si>
  <si>
    <t>3800</t>
  </si>
  <si>
    <t>3 year forecast: Line 3800- subtotal costs</t>
  </si>
  <si>
    <t>3800a</t>
  </si>
  <si>
    <t>3 year forecast: Line 3800- subtotal costs at zero</t>
  </si>
  <si>
    <t>4300</t>
  </si>
  <si>
    <t>3 year forecast: Line 4300 - Revenue Reserve balance c/f 31 Aug 2026/2027/2028</t>
  </si>
  <si>
    <t>6600</t>
  </si>
  <si>
    <t>3 year forecast: Line 6600 - Capital Net</t>
  </si>
  <si>
    <t>7000</t>
  </si>
  <si>
    <t xml:space="preserve">3 year forecast: Line 7000 - Cash </t>
  </si>
  <si>
    <t>7100</t>
  </si>
  <si>
    <t>3 year forecast: Line 7100 - Any other non cash costs</t>
  </si>
  <si>
    <t>7200</t>
  </si>
  <si>
    <t>3 year forecast: Line 7200 - Depreciation</t>
  </si>
  <si>
    <t>8000</t>
  </si>
  <si>
    <t>3 year forecast: Line 8000 - Trust reserves balances at 31 Aug 2026/2027/2028</t>
  </si>
  <si>
    <t>8001</t>
  </si>
  <si>
    <t>3 year forecast: Line 8001 - Reported as</t>
  </si>
  <si>
    <t>9000</t>
  </si>
  <si>
    <t xml:space="preserve">3 year forecast: Line 9000 - Pupil numbers </t>
  </si>
  <si>
    <t>Finance question 6</t>
  </si>
  <si>
    <t>Finance questions - Question 6</t>
  </si>
  <si>
    <t>BFR Field name</t>
  </si>
  <si>
    <t>CoA account code</t>
  </si>
  <si>
    <t>CoA account code description</t>
  </si>
  <si>
    <t>IN: DfE Revenue Grants: Rates reclaim</t>
  </si>
  <si>
    <t>IN: DfE Revenue Grants: GAG (not stud supp and trust grants)</t>
  </si>
  <si>
    <t xml:space="preserve">IN: DfE Revenue Grants: 16 to 19 </t>
  </si>
  <si>
    <t>IN: DfE Revenue Grants: Core schools budget grant</t>
  </si>
  <si>
    <t>IN: DfE Revenue Grants: Teachers Pay Grant</t>
  </si>
  <si>
    <t>IN: DfE Revenue Grants: Teachers Pension Employer Contribution Grant</t>
  </si>
  <si>
    <t>IN: DfE Revenue Grants: GAG (student support)</t>
  </si>
  <si>
    <t>IN: DfE Revenue Grants: GAG (start up grants)</t>
  </si>
  <si>
    <t>IN: DfE Revenue Grants: Pupil Premium</t>
  </si>
  <si>
    <t>IN: DfE Revenue Grants: Pupil number adjustment</t>
  </si>
  <si>
    <t>IN: DfE Revenue Grants: Trust level grants</t>
  </si>
  <si>
    <t>IN: DfE Revenue Grants: PE &amp; Sports grant</t>
  </si>
  <si>
    <t>IN: DfE Revenue Grants: Year 7 catch up</t>
  </si>
  <si>
    <t>IN: DfE Revenue Grants: Teaching Schools grant</t>
  </si>
  <si>
    <t>IN: DfE Revenue Grants: ITT Bursaries Grant</t>
  </si>
  <si>
    <t>IN: DfE Revenue Grants: Other DfE revenue grants</t>
  </si>
  <si>
    <t>IN: DfE Revenue Grants: Temporary DfE grants 2 (for DfE use)</t>
  </si>
  <si>
    <t>IN: DfE Revenue Grants: Temporary DfE grants 3 (for DfE use)</t>
  </si>
  <si>
    <t>IN: Boarding Income: DfE grants</t>
  </si>
  <si>
    <t>IN: DfE Revenue Grants: Universal Inf Free School Meals</t>
  </si>
  <si>
    <t>IN: DfE Revenue Grants: Insurance top up</t>
  </si>
  <si>
    <t>IN: DfE Revenue Grants: Sponsor capacity grant</t>
  </si>
  <si>
    <t>IN: DfE Group Grants: Standards &amp; Testing Agency</t>
  </si>
  <si>
    <t>IN: DfE Group Grants: Office of Children's Commissioner</t>
  </si>
  <si>
    <t>IN: DfE Group Grants: Student Loans Company</t>
  </si>
  <si>
    <t>IN: DfE Group Grants: Office for Students</t>
  </si>
  <si>
    <t>IN: DfE Group Grants: Engineering Construction ITB</t>
  </si>
  <si>
    <t>IN: DfE Group Grants: Construction ITB</t>
  </si>
  <si>
    <t>IN: Boarding Income: Standards &amp; Testing Agency</t>
  </si>
  <si>
    <t>IN: Boarding Income: Office of Children's Commissioner</t>
  </si>
  <si>
    <t>IN: Other Grants: LA - SEN</t>
  </si>
  <si>
    <t>IN: Other Grants: LA - Early Years</t>
  </si>
  <si>
    <t>IN: Other Grants: LA - Other grants</t>
  </si>
  <si>
    <t>IN: Other Grants: Government grant - not DfE</t>
  </si>
  <si>
    <t>IN: Other Grants: Temporary other Government revenue grants - not DfE (for DfE use)</t>
  </si>
  <si>
    <t>IN: Boarding Income: Other government grants</t>
  </si>
  <si>
    <t>Grants from non-government bodies</t>
  </si>
  <si>
    <t>IN: Other Grants: Other revenue grants</t>
  </si>
  <si>
    <t>IN: Other Income: Catering income from pupils</t>
  </si>
  <si>
    <t>IN: Trading Income: Hire of facilities</t>
  </si>
  <si>
    <t>IN: Trading Income: Catering inc (visitors &amp; staff)</t>
  </si>
  <si>
    <t>IN: Trading Income: Rental Income</t>
  </si>
  <si>
    <t>IN: Trading Income: Supply teacher insurance claim</t>
  </si>
  <si>
    <t>IN: Trading Income: RPA claims</t>
  </si>
  <si>
    <t>IN: Trading Income: Sale of uniforms</t>
  </si>
  <si>
    <t>IN: Trading Income: Income from clubs</t>
  </si>
  <si>
    <t>IN: Trading Income: Parental income from nursery provision</t>
  </si>
  <si>
    <t>IN: Trading Income: Parental income from wraparound provision</t>
  </si>
  <si>
    <t>IN: Trading Income: Income from music</t>
  </si>
  <si>
    <t>IN: Trading Income: Sale of goods or services</t>
  </si>
  <si>
    <t>IN: Trading Income: Electric vehicle charge point income</t>
  </si>
  <si>
    <t>IN: Trading Income: Other trading income</t>
  </si>
  <si>
    <t>IN: Trading Income: Trust contribution from academy</t>
  </si>
  <si>
    <t>IN: Academy transfer in: Revenue transferred in</t>
  </si>
  <si>
    <t>IN: Academy transfer out: Revenue transferred out</t>
  </si>
  <si>
    <t>IN: Other Income: Investment income</t>
  </si>
  <si>
    <t>IN: Academy conversions: Local authority revenue -surplus</t>
  </si>
  <si>
    <t>IN: Academy conversions: Other body revenue</t>
  </si>
  <si>
    <t>IN: Other Income: Academy trusts</t>
  </si>
  <si>
    <t>IN: Other Income: Govt sources - not grant</t>
  </si>
  <si>
    <t>IN: Other Income: Non-govt revenue</t>
  </si>
  <si>
    <t>IN: Other Income: Feed in Tariff and RHI income</t>
  </si>
  <si>
    <t>IN: Other Income: Educational trips &amp; visits</t>
  </si>
  <si>
    <t>IN: Other Income: Other reimbursement income from parents and staff</t>
  </si>
  <si>
    <t>IN: Other Income: Apprenticeship levy drawdown</t>
  </si>
  <si>
    <t>IN: Other Income: Teaching School hub other income</t>
  </si>
  <si>
    <t>IN: Boarding Income: Fee Income</t>
  </si>
  <si>
    <t>IN: Boarding Income: Other boarding income</t>
  </si>
  <si>
    <t>IN: Donations: Revenue donations - general (Restricted)</t>
  </si>
  <si>
    <t>IN: Donations: Revenue donations - general (Unrestricted)</t>
  </si>
  <si>
    <t>IN: Donations: Revenue donations - charity (Restricted)</t>
  </si>
  <si>
    <t>IN: Donations: Revenue donations - charity (Unrestricted)</t>
  </si>
  <si>
    <t>IN: Donations: Revenue donations - gift aid (Restricted)</t>
  </si>
  <si>
    <t>IN: Donations: Revenue donations - gift aid (Unrestricted)</t>
  </si>
  <si>
    <t>IN: Other capital income: Contributions from revenue</t>
  </si>
  <si>
    <t>SP: Asset financing: Revenue contributions to capital</t>
  </si>
  <si>
    <t>SF: Leadership - Teaching: Wages and salaries</t>
  </si>
  <si>
    <t>SF: Leadership - Teaching: Overtime</t>
  </si>
  <si>
    <t>SF: Leadership - Non-teaching: Wages and salaries</t>
  </si>
  <si>
    <t>SF: Leadership - Non-teaching: Overtime</t>
  </si>
  <si>
    <t>SF: Teachers: Wages and salaries</t>
  </si>
  <si>
    <t>SF: Teachers: Overtime</t>
  </si>
  <si>
    <t>SF: Teaching Assistants: Wages and salaries</t>
  </si>
  <si>
    <t>SF: Teaching Assistants: Overtime</t>
  </si>
  <si>
    <t>SF: Librarians: Wages and salaries</t>
  </si>
  <si>
    <t>SF: Librarians: Overtime</t>
  </si>
  <si>
    <t>SF: Technicians: Wages and salaries</t>
  </si>
  <si>
    <t>SF: Technicians: Overtime</t>
  </si>
  <si>
    <t>SF: Cover supervisors: Wages and salaries</t>
  </si>
  <si>
    <t>SF: Cover supervisors: Overtime</t>
  </si>
  <si>
    <t>SF: Other direct staff costs: Wages and salaries</t>
  </si>
  <si>
    <t>SF: Other direct staff costs: Overtime</t>
  </si>
  <si>
    <t>SF: Finance and Admin: Wages and salaries</t>
  </si>
  <si>
    <t>SF: Finance and Admin: Overtime</t>
  </si>
  <si>
    <t>SF: Site Staff: Wages and salaries</t>
  </si>
  <si>
    <t>SF: Site Staff: Overtime</t>
  </si>
  <si>
    <t>SF: Cleaning Staff: Wages and salaries</t>
  </si>
  <si>
    <t>SF: Cleaning Staff: Overtime</t>
  </si>
  <si>
    <t>SF: Catering Staff: Wages and salaries</t>
  </si>
  <si>
    <t>SF: Catering Staff: Overtime</t>
  </si>
  <si>
    <t>SF: Midday Supervisors: Wages and salaries</t>
  </si>
  <si>
    <t>SF: Midday Supervisors: Overtime</t>
  </si>
  <si>
    <t>SF: Nursery Staff: Wages and salaries</t>
  </si>
  <si>
    <t>SF: Nursery Staff: Overtime</t>
  </si>
  <si>
    <t>SF: Family Support Workers: Wages and salaries</t>
  </si>
  <si>
    <t>SF: Family Support Workers: Overtime</t>
  </si>
  <si>
    <t>SF: Exam Invigilators: Wages and salaries</t>
  </si>
  <si>
    <t>SF: Exam Invigilators: Overtime</t>
  </si>
  <si>
    <t>SF: Community Facilities Staff: Wages and salaries</t>
  </si>
  <si>
    <t>SF: Community Facilities Staff: Overtime</t>
  </si>
  <si>
    <t>SF: Other Staff - Support costs: Wages and salaries</t>
  </si>
  <si>
    <t>SF: Other Staff - Support costs: Overtime</t>
  </si>
  <si>
    <t>SF: Cost of raising funds: Wages and salaries</t>
  </si>
  <si>
    <t>SF: Cost of raising funds: Overtime</t>
  </si>
  <si>
    <t>SF: Supply Staff: Teachers - long term cover: Wages and salaries</t>
  </si>
  <si>
    <t>SF: Supply Staff: Teachers - short term cover: Wages and salaries</t>
  </si>
  <si>
    <t>SF: Supply Staff: Teaching assistants: Wages and salaries</t>
  </si>
  <si>
    <t>SF: Supply Staff: Support staff: Wages and salaries</t>
  </si>
  <si>
    <t>SF: Boarding Staff - direct: Wages and salaries</t>
  </si>
  <si>
    <t>SF: Boarding Staff - direct: Overtime</t>
  </si>
  <si>
    <t>SF: Boarding Staff - direct: Agency staff - direct staff</t>
  </si>
  <si>
    <t>SF: Boarding Staff - indirect: Wages and salaries</t>
  </si>
  <si>
    <t>SF: Boarding Staff - indirect: Overtime</t>
  </si>
  <si>
    <t>SF: Boarding Staff - indirect: Agency staff - support</t>
  </si>
  <si>
    <t>SF: Ind Emp Exp: Redundancy -  teaching and educational support staff</t>
  </si>
  <si>
    <t>SP: Bought in supply cover: Agency teachers long term</t>
  </si>
  <si>
    <t>SP: Bought in supply cover: Agency teachers short term</t>
  </si>
  <si>
    <t>SP: Bought in supply cover: Agency teaching assistants</t>
  </si>
  <si>
    <t>SP: Bought in supply cover: Agency support staff - cleaning and caretaking</t>
  </si>
  <si>
    <t>SP: Bought in supply cover: Agency support staff - grounds maintenance</t>
  </si>
  <si>
    <t>SP: Bought in supply cover: Agency support staff - other occupational costs</t>
  </si>
  <si>
    <t>SP: Bought in supply cover: Agency support staff - special facilities</t>
  </si>
  <si>
    <t>SP: Bought in supply cover: Agency support staff - catering</t>
  </si>
  <si>
    <t xml:space="preserve">SP: Bought in supply cover: Agency support staff - professional service - non-curriculum </t>
  </si>
  <si>
    <t>SF: Leadership - Teaching: Employers national insurance</t>
  </si>
  <si>
    <t>SF: Leadership - Non-teaching: Employers national insurance</t>
  </si>
  <si>
    <t>SF: Teachers: Employers national insurance</t>
  </si>
  <si>
    <t>SF: Teaching Assistants: Employers national insurance</t>
  </si>
  <si>
    <t>SF: Librarians: Employers national insurance</t>
  </si>
  <si>
    <t>SF: Technicians: Employers national insurance</t>
  </si>
  <si>
    <t>SF: Cover supervisors: Employers national insurance</t>
  </si>
  <si>
    <t>SF: Other direct staff costs: Employers national insurance</t>
  </si>
  <si>
    <t>SF: Finance and Admin: Employers national insurance</t>
  </si>
  <si>
    <t>SF: Site Staff: Employers national insurance</t>
  </si>
  <si>
    <t>SF: Cleaning Staff: Employers national insurance</t>
  </si>
  <si>
    <t>SF: Catering Staff: Employers national insurance</t>
  </si>
  <si>
    <t>SF: Midday Supervisors: Employers national insurance</t>
  </si>
  <si>
    <t>SF: Nursery Staff: Employers national insurance</t>
  </si>
  <si>
    <t>SF: Family Support Workers: Employers national insurance</t>
  </si>
  <si>
    <t>SF: Exam Invigilators: Employers national insurance</t>
  </si>
  <si>
    <t>SF: Community Facilities Staff: Employers national insurance</t>
  </si>
  <si>
    <t>SF: Other Staff - Support costs: Employers national insurance</t>
  </si>
  <si>
    <t>SF: Cost of raising funds: Employers national insurance</t>
  </si>
  <si>
    <t>SF: Supply Staff: Teachers - long term cover: Employers national insurance</t>
  </si>
  <si>
    <t>SF: Supply Staff: Teachers - short term cover: Employers national insurance</t>
  </si>
  <si>
    <t>SF: Supply Staff: Teaching assistants: Employers national insurance</t>
  </si>
  <si>
    <t>SF: Supply Staff: Support staff: Employers national insurance</t>
  </si>
  <si>
    <t>SF: Boarding Staff - direct: Employers national insurance</t>
  </si>
  <si>
    <t>SF: Boarding Staff - indirect: Employers national insurance</t>
  </si>
  <si>
    <t>SF: Ind Emp Exp: Apprenticeship levy - teachers and educational support stff</t>
  </si>
  <si>
    <t>SF: Ind Emp Exp: Apprenticeship levy - support staff</t>
  </si>
  <si>
    <t>SF: Ind Emp Exp: notional Apprenticeship levy exp</t>
  </si>
  <si>
    <t>SF: Leadership - Teaching: Employers pension contribution</t>
  </si>
  <si>
    <t>SF: Teachers: Employers pension contribution</t>
  </si>
  <si>
    <t>SF: Supply Staff: Teachers - long term cover: Employers pension</t>
  </si>
  <si>
    <t>SF: Supply Staff: Teachers - short term cover: Employers pension</t>
  </si>
  <si>
    <t>SF: Leadership - Non-teaching: Employers pension contribution</t>
  </si>
  <si>
    <t>SF: Teaching Assistants: Employers pension contribution</t>
  </si>
  <si>
    <t>SF: Librarians: Employers pension contribution</t>
  </si>
  <si>
    <t>SF: Technicians: Employers pension contribution</t>
  </si>
  <si>
    <t>SF: Cover supervisors: Employers pension contribution</t>
  </si>
  <si>
    <t>SF: Other direct staff costs: Employers pension contribution</t>
  </si>
  <si>
    <t>SF: Finance and Admin: Employers pension contribution</t>
  </si>
  <si>
    <t>SF: Site Staff: Employers pension contribution</t>
  </si>
  <si>
    <t>SF: Cleaning Staff: Employers pension contribution</t>
  </si>
  <si>
    <t>SF: Catering Staff: Employers pension contribution</t>
  </si>
  <si>
    <t>SF: Midday Supervisors: Employers pension contribution</t>
  </si>
  <si>
    <t>SF: Nursery Staff: Employers pension contribution</t>
  </si>
  <si>
    <t>SF: Family Support Workers: Employers pension contribution</t>
  </si>
  <si>
    <t>SF: Exam Invigilators: Employers pension contribution</t>
  </si>
  <si>
    <t>SF: Community Facilities Staff: Employers pension contribution</t>
  </si>
  <si>
    <t>SF: Other Staff - Support costs: Employers pension contribution</t>
  </si>
  <si>
    <t>SF: Cost of raising funds: Employers pension contribution</t>
  </si>
  <si>
    <t>SF: Pensions: LGPS cash contribution to pension deficit</t>
  </si>
  <si>
    <t>SF: Supply Staff: Teaching assistants: Employers pension</t>
  </si>
  <si>
    <t>SF: Supply Staff: Support staff: Employers pension</t>
  </si>
  <si>
    <t>SF: Boarding Staff - direct: Employers pension contribution</t>
  </si>
  <si>
    <t>SF: Boarding Staff - indirect: Employers pension contribution</t>
  </si>
  <si>
    <t>Other Staff Costs</t>
  </si>
  <si>
    <t>SF: Boarding Staff - direct: Compensation - direct staff</t>
  </si>
  <si>
    <t>SF: Boarding Staff - indirect: Compensation - support</t>
  </si>
  <si>
    <t>SF: Boarding Staff - indirect: Staff Welfare</t>
  </si>
  <si>
    <t>SF: Boarding Staff - indirect: Staff Development</t>
  </si>
  <si>
    <t>SF: Boarding Staff - indirect: Staff training</t>
  </si>
  <si>
    <t>SF: Boarding Staff - indirect: Staff insurance</t>
  </si>
  <si>
    <t>SF: Ind Emp Exp: Ex-gratia/severance - teaching and educational support staff</t>
  </si>
  <si>
    <t>SF: Ind Emp Exp: Ex-gratia/severance - support staff</t>
  </si>
  <si>
    <t>SF: Ind Emp Exp: Redundancy - support staff</t>
  </si>
  <si>
    <t>SF: Ind Emp Exp: Other restructuring -  teaching and educational support staff</t>
  </si>
  <si>
    <t>SF: Ind Emp Exp: Other restructuring - support staff</t>
  </si>
  <si>
    <t>SF: Ind Emp Exp: Secondment income -  teaching and educational support staff</t>
  </si>
  <si>
    <t>SF: Ind Emp Exp: Secondment income - support staff</t>
  </si>
  <si>
    <t>SF: Ind Emp Exp: Staff travel</t>
  </si>
  <si>
    <t>SF: Ind Emp Exp: Staff subsistence</t>
  </si>
  <si>
    <t>SF: Ind Emp Exp: Interview expenses</t>
  </si>
  <si>
    <t>SF: Ind Emp Exp: Staff uniforms</t>
  </si>
  <si>
    <t>SF: Ind Emp Exp: Childcare vouchers and other salary sacrifice scheme costs</t>
  </si>
  <si>
    <t>SF: Ind Emp Exp: Staff medical fees</t>
  </si>
  <si>
    <t>SF: Ind Emp Exp: Duty meals</t>
  </si>
  <si>
    <t>SF: Ind Emp Exp: Occupational health</t>
  </si>
  <si>
    <t>SF: Ind Emp Exp: Recruitment - teaching and educational support staff</t>
  </si>
  <si>
    <t>SF: Ind Emp Exp: Recruitment - support staff</t>
  </si>
  <si>
    <t>SF: Ind Emp Exp: Recruitment - leadership</t>
  </si>
  <si>
    <t>SF: Ind Emp Exp: Staff Advertising - teaching and educational support staff</t>
  </si>
  <si>
    <t>SF: Ind Emp Exp: Staff Advertising - support staff</t>
  </si>
  <si>
    <t>SF: Ind Emp Exp: Staff Advertising - leadership</t>
  </si>
  <si>
    <t>SF: Ind Emp Exp: DBS checks - teaching and educational support staff</t>
  </si>
  <si>
    <t>SF: Ind Emp Exp: DBS checks - support staff</t>
  </si>
  <si>
    <t>SF: Ind Emp Exp: Staff training - teaching and educational support staff</t>
  </si>
  <si>
    <t>SF: Ind Emp Exp: Staff training - support staff</t>
  </si>
  <si>
    <t>SF: Ind Emp Exp: Other Ind Emp Expense - teaching and educational support staff</t>
  </si>
  <si>
    <t>SF: Ind Emp Exp: Other Ind Emp Expense - support staff</t>
  </si>
  <si>
    <t>SF: Ind Emp Exp: Supply insurance - teaching and educational support staff</t>
  </si>
  <si>
    <t>SF: Ind Emp Exp: Supply insurance - support staff</t>
  </si>
  <si>
    <t>SF: Ind Emp Exp: Employers liability insurance</t>
  </si>
  <si>
    <t xml:space="preserve">SF: Ind Emp Exp: Refreshments and hospitality costs for staff </t>
  </si>
  <si>
    <t>SF: Ind Emp Exp: Professional subscriptions - teaching and educational support staff</t>
  </si>
  <si>
    <t>SF: Ind Emp Exp: Professional subscriptions - support staff</t>
  </si>
  <si>
    <t>SP: Boarding - supplies: Travel</t>
  </si>
  <si>
    <t>SP: Boarding - supplies: Subsistence</t>
  </si>
  <si>
    <t>PR: Operating leases: Telephony &amp; connectivity</t>
  </si>
  <si>
    <t>SP: Technology Costs: Educational telephony, connectivity and broadband costs</t>
  </si>
  <si>
    <t>SP: Technology Costs: ICT Admin Broadband</t>
  </si>
  <si>
    <t>ICT costs - on-site servers</t>
  </si>
  <si>
    <t>PR: Operating leases: On-site servers</t>
  </si>
  <si>
    <t>SP: Technology Costs: Educational server costs</t>
  </si>
  <si>
    <t>SP: Technology Costs: ICT Admin server costs (not leased or capital)</t>
  </si>
  <si>
    <t>SP: Technology Costs: Educational software &amp; licences</t>
  </si>
  <si>
    <t>SP: Technology Costs: ICT Admin Software (not capital)</t>
  </si>
  <si>
    <t>SP: Technology Costs: ICT Admin Licences</t>
  </si>
  <si>
    <t>SP: Technology Costs: ICT Hosting Fees</t>
  </si>
  <si>
    <t>ICT costs - laptops, desktops and tablets</t>
  </si>
  <si>
    <t>PR: Operating leases: Laptops, desktop computers and tablets</t>
  </si>
  <si>
    <t xml:space="preserve">SP: Technology Costs: Educational laptop/desktop bundles </t>
  </si>
  <si>
    <t>SP: Technology Costs: ICT Admin laptops, desktop, tablets and peripherals</t>
  </si>
  <si>
    <t>SP: Educ Supplies: Audio Visual</t>
  </si>
  <si>
    <t>SP: Technology Costs: Educational IT Hardware</t>
  </si>
  <si>
    <t>SP: Technology Costs: ICT Admin Hardware (not capital)</t>
  </si>
  <si>
    <t>SP: Technology Costs: ICT Admin Consumable</t>
  </si>
  <si>
    <t>SP: Technology Costs: Printer Consumables</t>
  </si>
  <si>
    <t>SP: Technology Costs: Educational IT repairs</t>
  </si>
  <si>
    <t>SP: Technology Costs: Educational IT support contracts</t>
  </si>
  <si>
    <t>SP: Technology Costs: ICT Support contract</t>
  </si>
  <si>
    <t>SP: Technology Costs: ICT Admin Repairs</t>
  </si>
  <si>
    <t>SP: Technology Costs: ICT Annual Maintenance</t>
  </si>
  <si>
    <t>SP: Technology Costs: ICT Consultancy</t>
  </si>
  <si>
    <t>SP: Technology Costs: ICT Other</t>
  </si>
  <si>
    <t>IN: Academy conversions: Local authority revenue -deficit</t>
  </si>
  <si>
    <t>Non - Staff Costs</t>
  </si>
  <si>
    <t>PR: R&amp;M: Building Repair and Maintenance</t>
  </si>
  <si>
    <t>PR: R&amp;M: Building Improvements</t>
  </si>
  <si>
    <t>PR: Rates: Rates</t>
  </si>
  <si>
    <t>PR: Energy: Electricity</t>
  </si>
  <si>
    <t>PR: Energy: Biomass fuel &amp; other renewable energy costs</t>
  </si>
  <si>
    <t>PR: Insurance: Risk Protection Arrangement</t>
  </si>
  <si>
    <t>PR: Insurance: Premises Insurance (not RPA)</t>
  </si>
  <si>
    <t>PR: Insurance: Boarding Insurance</t>
  </si>
  <si>
    <t>PR: Insurance: Vehicle Insurance</t>
  </si>
  <si>
    <t>PR: Cleaning &amp; Caretaking: Cleaning contracts</t>
  </si>
  <si>
    <t>PR: Cleaning &amp; Caretaking: Cleaning equipment and materials</t>
  </si>
  <si>
    <t>PR: Cleaning &amp; Caretaking: Window Cleaning</t>
  </si>
  <si>
    <t>PR: Cleaning &amp; Caretaking: Caretaking Supplies and Equip</t>
  </si>
  <si>
    <t>PR: Operating leases: Land and building rent payable</t>
  </si>
  <si>
    <t>PR: Operating leases: Photocopiers</t>
  </si>
  <si>
    <t>PR: Operating leases: Other equipment</t>
  </si>
  <si>
    <t>PR: Operating leases: Solar panels</t>
  </si>
  <si>
    <t>PR: Operating leases: Vehicles</t>
  </si>
  <si>
    <t>PR: Security: Security Alarms / CCTV Services</t>
  </si>
  <si>
    <t>PR: Security: Security Patrols</t>
  </si>
  <si>
    <t>PR: Special Facilities: Swimming pool equipment/material</t>
  </si>
  <si>
    <t>PR: Special Facilities: Sports centre equipment/materials</t>
  </si>
  <si>
    <t>PR: Special Facilities: Before and After School clubs</t>
  </si>
  <si>
    <t>PR: Special Facilities: Farm and Rural Studies</t>
  </si>
  <si>
    <t>PR: Special Facilities: External cluster funding contrib</t>
  </si>
  <si>
    <t>PR: Special Facilities: Pupil travel across the trust</t>
  </si>
  <si>
    <t>PR: Special Facilities: Home to school transport</t>
  </si>
  <si>
    <t>PR: Other Premises: Grounds Maintenance</t>
  </si>
  <si>
    <t>PR: Other Premises: Water and Sewerage</t>
  </si>
  <si>
    <t>PR: Other Premises: Septic Tanks</t>
  </si>
  <si>
    <t>PR: Other Premises: Refuse Removal</t>
  </si>
  <si>
    <t>PR: Other Premises: Hygiene Supplies &amp; Services</t>
  </si>
  <si>
    <t>PR: Other Premises: Health &amp; Safety</t>
  </si>
  <si>
    <t>PR: Other Premises: Electrical Service Contract</t>
  </si>
  <si>
    <t>PR: Other Premises: Mechanical Service Contract</t>
  </si>
  <si>
    <t>PR: Other Premises: Appliance Testing</t>
  </si>
  <si>
    <t>PR: Other Premises: Fire Alarm and Extinguisher Serv</t>
  </si>
  <si>
    <t>PR: Other Premises: Heating and Air Conditioning</t>
  </si>
  <si>
    <t>PR: Other Premises: Pest Control</t>
  </si>
  <si>
    <t>PR: Other Premises: Accommodation service charge</t>
  </si>
  <si>
    <t>PR: Other Premises: Other Occupancy</t>
  </si>
  <si>
    <t>PR: Other premises: Revenue expenditure from capital funding (Premises)</t>
  </si>
  <si>
    <t>PR: Boarding - premises: Rates</t>
  </si>
  <si>
    <t>PR: Boarding - premises: Water rates</t>
  </si>
  <si>
    <t>PR: Boarding - premises: Electricity</t>
  </si>
  <si>
    <t>PR: Boarding - premises: Gas</t>
  </si>
  <si>
    <t>PR: Boarding - premises: Heating oil</t>
  </si>
  <si>
    <t>PR: Boarding - premises: Operating lease - Land and build</t>
  </si>
  <si>
    <t>PR: Boarding - premises: Operating lease - Photocopiers</t>
  </si>
  <si>
    <t>PR: Boarding - premises: Operating lease - Telephones</t>
  </si>
  <si>
    <t>PR: Boarding - premises: Operating lease - Other equip</t>
  </si>
  <si>
    <t>PR: Boarding - premises: Insurance - Commercial provider</t>
  </si>
  <si>
    <t>PR: Boarding - premises: Reps &amp; renewals - Property</t>
  </si>
  <si>
    <t>PR: Boarding - premises: Reps &amp; renewals - Grounds</t>
  </si>
  <si>
    <t>PR: Boarding - premises: Reps &amp; renewals - Motor vehicles</t>
  </si>
  <si>
    <t>PR: Boarding - premises: Reps &amp; renewals - Equipment</t>
  </si>
  <si>
    <t>PR: Boarding - premises: Boarding - Security</t>
  </si>
  <si>
    <t>PR: Boarding - premises: Boarding - Other premises costs</t>
  </si>
  <si>
    <t>SP: Educ Supplies: Books</t>
  </si>
  <si>
    <t>SP: Educ Supplies: Library Services</t>
  </si>
  <si>
    <t>SP: Educ Supplies: Curriculum Materials</t>
  </si>
  <si>
    <t>SP: Educ Supplies: Curriculum printing &amp; photocopying</t>
  </si>
  <si>
    <t>SP: Educ Supplies: Education Equipment (not IT)</t>
  </si>
  <si>
    <t>SP: Educ Supplies: Education Eqpmt repairs (not IT)</t>
  </si>
  <si>
    <t>SP: Educ Supplies: Educ Furniture</t>
  </si>
  <si>
    <t>SP: Educ Supplies: Repair of PE/Musical Equipment</t>
  </si>
  <si>
    <t>SP: Educ Supplies: External education providers</t>
  </si>
  <si>
    <t>SP: Educ Supplies: Alternative provision costs</t>
  </si>
  <si>
    <t>SP: Educ Supplies: Primary school PIP exam fees</t>
  </si>
  <si>
    <t>SP: Examination Fees: Examination Fees</t>
  </si>
  <si>
    <t>SP: Examination Fees: Examination Resources</t>
  </si>
  <si>
    <t>SP: Educ Consultancy: External sports coaches</t>
  </si>
  <si>
    <t>SP: Educ Consultancy: Peripatetic music teachers</t>
  </si>
  <si>
    <t>SP: Educ Consultancy: Exam Invigilation costs</t>
  </si>
  <si>
    <t>SP: Educ Consultancy: Courses - external providers</t>
  </si>
  <si>
    <t>SP: Educ Consultancy: Behaviour support services</t>
  </si>
  <si>
    <t>SP: Educ Consultancy: Education welfare and attendance services</t>
  </si>
  <si>
    <t>SP: Educ Consultancy: Library &amp; museum services</t>
  </si>
  <si>
    <t>SP: Educ Consultancy: Other Educ consultancy</t>
  </si>
  <si>
    <t>SP: School Trips: School Trips - Travel costs</t>
  </si>
  <si>
    <t>SP: School Trips: School Trips - Accom/Entrance</t>
  </si>
  <si>
    <t>SP: School Trips: School Trips - Swimming</t>
  </si>
  <si>
    <t>SP: School Trips: School Trips - Food &amp; Drink</t>
  </si>
  <si>
    <t>SP: School Trips: School Trips - Sundry</t>
  </si>
  <si>
    <t>SP: School Trips: School Trips - Insurance</t>
  </si>
  <si>
    <t>SP: School Trips: Student placement costs</t>
  </si>
  <si>
    <t>SP: Administration: Subscriptions - Curriculum</t>
  </si>
  <si>
    <t>SP: Administration: TV licences</t>
  </si>
  <si>
    <t>SP: Administration: Non-ICT licences</t>
  </si>
  <si>
    <t>SP: Administration: Contribs from academies to trust</t>
  </si>
  <si>
    <t>SP: Administration: Admin Supplies &amp; Stationery</t>
  </si>
  <si>
    <t>SP: Administration: Admin Photocopying</t>
  </si>
  <si>
    <t>SP: Administration: Printing</t>
  </si>
  <si>
    <t>SP: Administration: Marketing and PR</t>
  </si>
  <si>
    <t>SP: Administration: Advertising</t>
  </si>
  <si>
    <t>SP: Administration: Postage and Carriage</t>
  </si>
  <si>
    <t>SP: Administration: Telephone Costs</t>
  </si>
  <si>
    <t>SP: Administration: Mobile Phones</t>
  </si>
  <si>
    <t>SP: Administration: Admin Furniture</t>
  </si>
  <si>
    <t>SP: Administration: Admin Equipment</t>
  </si>
  <si>
    <t>SP: Administration: Admin Equipment repairs</t>
  </si>
  <si>
    <t>SP: Administration: Medical</t>
  </si>
  <si>
    <t>SP: Administration: Laundry</t>
  </si>
  <si>
    <t xml:space="preserve">SP: Administration: Refreshments and hospitality - non-staff </t>
  </si>
  <si>
    <t>SP: Administration: Bank charges</t>
  </si>
  <si>
    <t>SP: Administration: Administration - Other non curriculum costs</t>
  </si>
  <si>
    <t>SP: Transport: Vehicle costs - other</t>
  </si>
  <si>
    <t>SP: Transport: Vehicle fuel Costs</t>
  </si>
  <si>
    <t>SP: Transport: Vehicle service/maintenance costs</t>
  </si>
  <si>
    <t>SP: Transport: Taxes, tolls and congestion charges</t>
  </si>
  <si>
    <t>SP: Transport: Vehicle Hire</t>
  </si>
  <si>
    <t>SP: Catering: Catering contract</t>
  </si>
  <si>
    <t>SP: Catering: Catering - Food &amp; Drink</t>
  </si>
  <si>
    <t>SP: Catering: Catering - Consumables</t>
  </si>
  <si>
    <t>SP: Catering: Catering - Equipment</t>
  </si>
  <si>
    <t>SP: Catering: Catering - Maint. and Repairs</t>
  </si>
  <si>
    <t>SP: Catering: Vending Machines</t>
  </si>
  <si>
    <t>SP: Non-educ contracts: Consultancy Fees</t>
  </si>
  <si>
    <t>SP: Non-educ contracts: Counsellors</t>
  </si>
  <si>
    <t>SP: Non-educ contracts: Financial</t>
  </si>
  <si>
    <t>SP: Non-educ contracts: Legal - Other</t>
  </si>
  <si>
    <t>SP: Non-educ contracts: Legal - Conversion</t>
  </si>
  <si>
    <t>SP: Non-educ contracts: Personnel/HR</t>
  </si>
  <si>
    <t>SP: Non-educ contracts: Payroll</t>
  </si>
  <si>
    <t>SP: Non-educ contracts: Clerking board/governor meetings</t>
  </si>
  <si>
    <t>SP: Non-educ contracts: Property Management Services</t>
  </si>
  <si>
    <t>SP: Non-educ contracts: Energy Management Services</t>
  </si>
  <si>
    <t>SP: Non-educ contracts: Free School Meals - pupil checks</t>
  </si>
  <si>
    <t>SP: Non-educ contracts: Admissions service</t>
  </si>
  <si>
    <t>SP: Non-educ contracts: Educ Psychologist consultancy (External strategic)</t>
  </si>
  <si>
    <t>SP: Non-educ contracts: Speech &amp; Language consultancy (External strategic)</t>
  </si>
  <si>
    <t>SP: Non-educ contracts: SEN consultancy (External strategic)</t>
  </si>
  <si>
    <t>SP: Non-educ contracts: Cash Collection services</t>
  </si>
  <si>
    <t>SP: Non-educ contracts: PFI contract management services</t>
  </si>
  <si>
    <t>SP: Non-educ contracts: Other non-educational contracts</t>
  </si>
  <si>
    <t>SP: Audit: Statutory audit fees</t>
  </si>
  <si>
    <t>SP: Audit: Internal audit &amp; other fees</t>
  </si>
  <si>
    <t>SP: Audit: Accounts return</t>
  </si>
  <si>
    <t>SP: Governance: Academy governor - travel</t>
  </si>
  <si>
    <t>SP: Governance: Academy governor - subsistence</t>
  </si>
  <si>
    <t>SP: Governance: Academy governor - other reimb.</t>
  </si>
  <si>
    <t>SP: Governance: Trustees/Trust Director - travel</t>
  </si>
  <si>
    <t>SP: Governance: Trustees/Trust Director - subsistence</t>
  </si>
  <si>
    <t>SP: Governance: Trustees/Trust Director - other reimb.</t>
  </si>
  <si>
    <t>SP: Administration-support costs: Revenue expenditure from capital funding (Supp's &amp; serv's)</t>
  </si>
  <si>
    <t>SP: Cost of raising funds: Cost of raising funds - premises</t>
  </si>
  <si>
    <t>SP: Cost of raising funds: Cost of raising funds - teaching/learning</t>
  </si>
  <si>
    <t>SP: Cost of raising funds: Cost of raising funds - technology</t>
  </si>
  <si>
    <t>SP: Cost of raising funds: Cost of raising funds - governance</t>
  </si>
  <si>
    <t>SP: Cost of raising funds: Cost of raising funds - other</t>
  </si>
  <si>
    <t>SP: Other supplies &amp; services: Pupil gifts and prizes</t>
  </si>
  <si>
    <t>SP: Other supplies &amp; services: Student bursary expenditure</t>
  </si>
  <si>
    <t>SP: Other supplies &amp; services: Welfare payments to pupils/students</t>
  </si>
  <si>
    <t>SP: Other supplies &amp; services: Increase in provisions</t>
  </si>
  <si>
    <t>SP: Other supplies &amp; services: Release of provisions</t>
  </si>
  <si>
    <t>SP: Other supplies &amp; services: Bad Debt written off</t>
  </si>
  <si>
    <t>SP: Other supplies &amp; services: Excluded pupils</t>
  </si>
  <si>
    <t>SP: Other supplies &amp; services: Academy performances</t>
  </si>
  <si>
    <t>SP: Other supplies &amp; services: Parent evenings/meetings</t>
  </si>
  <si>
    <t>SP: Other supplies &amp; services: Room Hire</t>
  </si>
  <si>
    <t>Non-Staff Costs</t>
  </si>
  <si>
    <t>SP: Other supplies &amp; services: Other not attributable expend.</t>
  </si>
  <si>
    <t>SP: Other supplies &amp; services: Donations to charities</t>
  </si>
  <si>
    <t>SP: Other supplies &amp; services: School uniforms (cost)</t>
  </si>
  <si>
    <t xml:space="preserve">SP: Financing costs: PFI Specialist concession acct </t>
  </si>
  <si>
    <t>SP: Financing costs: PFI payment to LA</t>
  </si>
  <si>
    <t>SP: Financing costs: Loan Interest paid - DfE Group</t>
  </si>
  <si>
    <t>SP: Financing costs: Loan Interest paid - other</t>
  </si>
  <si>
    <t>SP: Financing costs: Finance lease interest</t>
  </si>
  <si>
    <t>SP: Boarding - supplies: Direct Goods &amp; services</t>
  </si>
  <si>
    <t>SP: Boarding - supplies: Direct Travel</t>
  </si>
  <si>
    <t>SP: Boarding - supplies: Direct subsistence</t>
  </si>
  <si>
    <t>SP: Boarding - supplies: Catering</t>
  </si>
  <si>
    <t>SP: Boarding - supplies: Other direct cost</t>
  </si>
  <si>
    <t>SP: Boarding - supplies: Bad debt expense</t>
  </si>
  <si>
    <t>SP: Boarding - supplies: Other support cost</t>
  </si>
  <si>
    <t>SP: Boarding - supplies: Other support cost Academy Trusts</t>
  </si>
  <si>
    <t>PR: Energy: Gas</t>
  </si>
  <si>
    <t>PR: Energy: Oil</t>
  </si>
  <si>
    <t>IN: DfE Capital Grants: Devolved Formula Capital</t>
  </si>
  <si>
    <t>IN: DfE Capital Grants: Priority School Building Prog</t>
  </si>
  <si>
    <t>IN: DfE Capital Grants: DfE Managed Free Schools</t>
  </si>
  <si>
    <t>IN: Donations: Donated FA - DfE</t>
  </si>
  <si>
    <t>IN: DfE Capital Grants: Condition Improvement Fund</t>
  </si>
  <si>
    <t>IN: DfE Capital Grants: MAT Condition Allowance</t>
  </si>
  <si>
    <t>IN: DfE Capital Grants: Building Schools for the Future</t>
  </si>
  <si>
    <t>IN: DfE Capital Grants: School Sponsorship Development</t>
  </si>
  <si>
    <t>IN: DfE Capital Grants: Other DfE capital grants</t>
  </si>
  <si>
    <t>IN: DfE Capital Grants: Teaching School Hub capital grants</t>
  </si>
  <si>
    <t>IN: DfE Capital Grants: Temporary DfE capital grants (for DfE use)</t>
  </si>
  <si>
    <t>IN: DfE Group capital grants: Standards &amp; Testing Agency</t>
  </si>
  <si>
    <t>IN: DfE Group capital grants: Office of Children's Commissioner</t>
  </si>
  <si>
    <t>IN: DfE Group capital grants: Student Loans Company</t>
  </si>
  <si>
    <t>IN: DfE Group capital grants: Office for Students</t>
  </si>
  <si>
    <t>IN: DfE Group capital grants: Engineering Construction ITB</t>
  </si>
  <si>
    <t>IN: DfE Group capital grants: Construction ITB</t>
  </si>
  <si>
    <t>Local authority capital income, including value of donated assets</t>
  </si>
  <si>
    <t>IN: Other capital income: Local authority capital grants</t>
  </si>
  <si>
    <t>IN: Academy conversions: Local authority capital</t>
  </si>
  <si>
    <t>Non-government capital income (including Endowment)</t>
  </si>
  <si>
    <t>IN: Other capital income: Non-govt capital grants</t>
  </si>
  <si>
    <t>IN: Donations: Donated FA - other (Restricted)</t>
  </si>
  <si>
    <t>IN: Donations: Donated FA - other (Unrestricted)</t>
  </si>
  <si>
    <t>IN: Donations: Donated intangible assets (Restricted)</t>
  </si>
  <si>
    <t>IN: Donations: Donated intangible assets (Unrestricted)</t>
  </si>
  <si>
    <t>IN: Donations: Other capital donations (Restricted)</t>
  </si>
  <si>
    <t>IN: Donations: Other capital donations (Unrestricted)</t>
  </si>
  <si>
    <t>IN: Other capital income: Government grant - not DfE</t>
  </si>
  <si>
    <t>IN: Academy conversions: Other body capital</t>
  </si>
  <si>
    <t>IN: Academy transfer in: Capital transferred in</t>
  </si>
  <si>
    <t>FA: F'hold Land: Transfer on conversion (LA)</t>
  </si>
  <si>
    <t>FA: F'hold Buildings: Transfer on conversion (LA)</t>
  </si>
  <si>
    <t>FA: L'hold Land: Transfer on conversion (LA)</t>
  </si>
  <si>
    <t>FA: L'hold Buildings: Transfer on conversion (LA)</t>
  </si>
  <si>
    <t>FA: L'hold Improv'ts: Transfer on conversion (LA)</t>
  </si>
  <si>
    <t>FA: Plant &amp; Machinery: Transfer on conversion (LA)</t>
  </si>
  <si>
    <t>FA: Furniture &amp; Equipment: Transfer on conversion (LA)</t>
  </si>
  <si>
    <t>FA: Computer Equipment: Transfer on conversion (LA)</t>
  </si>
  <si>
    <t>FA: Motor Vehicles: Transfer on conversion (LA)</t>
  </si>
  <si>
    <t>FA: AUC: Transfer on conversion (LA)</t>
  </si>
  <si>
    <t>FA: Software: Transfer on conversion (LA)</t>
  </si>
  <si>
    <t>FA: Other Intangible FA: Transfer on conversion (LA)</t>
  </si>
  <si>
    <t>FA: F'hold Land: Transfer on conversion (not LA)</t>
  </si>
  <si>
    <t>FA: F'hold Land: Transfer in - existing academy</t>
  </si>
  <si>
    <t>FA: F'hold Land: Impair't - academy transfer in</t>
  </si>
  <si>
    <t>FA: F'hold Buildings: Transfer on conversion (not LA)</t>
  </si>
  <si>
    <t>FA: F'hold Buildings: Transfer in - existing academy</t>
  </si>
  <si>
    <t>FA: F'hold Buildings: Depr'n  - academy transfer in</t>
  </si>
  <si>
    <t>FA: F'hold Buildings: Impair't - academy transfer in</t>
  </si>
  <si>
    <t>FA: L'hold Land: Transfer on conversion (not LA)</t>
  </si>
  <si>
    <t>FA: L'hold Land: Transfer in - existing academy</t>
  </si>
  <si>
    <t>FA: L'hold Land: Impair't - academy transfer in</t>
  </si>
  <si>
    <t>FA: L'hold Buildings: Transfer on conversion (not LA)</t>
  </si>
  <si>
    <t>FA: L'hold Buildings: Transfer in - existing academy</t>
  </si>
  <si>
    <t>FA: L'hold Buildings: Depr'n  - academy transfer in</t>
  </si>
  <si>
    <t>FA: L'hold Buildings: Impair't - academy transfer in</t>
  </si>
  <si>
    <t>FA: L'hold Improv'ts: Transfer on conversion (not LA)</t>
  </si>
  <si>
    <t>FA: L'hold Improv'ts: Transfer in - existing academy</t>
  </si>
  <si>
    <t>FA: L'hold Improv'ts: Depr'n  - academy transfer in</t>
  </si>
  <si>
    <t>FA: L'hold Improv'ts: Impair't - academy transfer in</t>
  </si>
  <si>
    <t>FA: Plant &amp; Machinery: Transfer on conversion (not LA)</t>
  </si>
  <si>
    <t>FA: Plant &amp; Machinery: Transfer in - existing academy</t>
  </si>
  <si>
    <t>FA: Plant &amp; Machinery: Depr'n  - academy transfer in</t>
  </si>
  <si>
    <t>FA: Plant &amp; Machinery: Impair't - academy transfer in</t>
  </si>
  <si>
    <t>FA: Furniture &amp; Equipment: Transfer on conversion (not LA)</t>
  </si>
  <si>
    <t>FA: Furniture &amp; Equipment: Transfer in - existing academy</t>
  </si>
  <si>
    <t>FA: Furniture &amp; Equipment: Depr'n  - academy transfer in</t>
  </si>
  <si>
    <t>FA: Furniture &amp; Equipment: Impair't - academy transfer in</t>
  </si>
  <si>
    <t>FA: Computer Equipment: Transfer on conversion (not LA)</t>
  </si>
  <si>
    <t>FA: Computer Equipment: Transfer in - existing academy</t>
  </si>
  <si>
    <t>FA: Computer Equipment: Depr'n  - academy transfer in</t>
  </si>
  <si>
    <t>FA: Computer Equipment: Impair't - academy transfer in</t>
  </si>
  <si>
    <t>FA: Motor Vehicles: Transfer on conversion (not LA)</t>
  </si>
  <si>
    <t>FA: Motor Vehicles: Transfer in - existing academy</t>
  </si>
  <si>
    <t>FA: Motor Vehicles: Depr'n  - academy transfer in</t>
  </si>
  <si>
    <t>FA: Motor Vehicles: Impair't - academy transfer in</t>
  </si>
  <si>
    <t>FA: AUC: Transfer on conversion (not LA)</t>
  </si>
  <si>
    <t>FA: AUC: Transfer in - existing academy</t>
  </si>
  <si>
    <t>FA: AUC: Impair't - academy transfer in</t>
  </si>
  <si>
    <t>FA: Software: Transfer on conversion (not LA)</t>
  </si>
  <si>
    <t>FA: Software: Transfer in - existing academy</t>
  </si>
  <si>
    <t>FA: Software: Amor'n  - academy transfer in</t>
  </si>
  <si>
    <t>FA: Software: Impair't - academy transfer in</t>
  </si>
  <si>
    <t>FA: Other Intangible FA: Transfer on conversion (not LA)</t>
  </si>
  <si>
    <t>FA: Other Intangible FA: Transfer in - existing academy</t>
  </si>
  <si>
    <t>FA: Other Intangible FA: Amor'n  - academy transfer in</t>
  </si>
  <si>
    <t>FA: Other Intangible FA: Impair't - academy transfer in</t>
  </si>
  <si>
    <t>IN: Donations: Donated FA - LA</t>
  </si>
  <si>
    <t>FA: F'hold Land: Disposals</t>
  </si>
  <si>
    <t>FA: F'hold Land: Impair't released on disposal</t>
  </si>
  <si>
    <t>FA: F'hold Buildings: Disposals</t>
  </si>
  <si>
    <t>FA: F'hold Buildings: Depr'n - eliminated on disposal</t>
  </si>
  <si>
    <t>FA: F'hold Buildings: Impair't released on disposal</t>
  </si>
  <si>
    <t>FA: L'hold Land: Disposals</t>
  </si>
  <si>
    <t>FA: L'hold Land: Impair't released on disposal</t>
  </si>
  <si>
    <t>FA: L'hold Buildings: Disposals</t>
  </si>
  <si>
    <t>FA: L'hold Buildings: Depr'n - eliminated on disposal</t>
  </si>
  <si>
    <t>FA: L'hold Buildings: Impair't released on disposal</t>
  </si>
  <si>
    <t>Other asset disposals</t>
  </si>
  <si>
    <t>FA: L'hold Improv'ts: Disposals</t>
  </si>
  <si>
    <t>FA: L'hold Improv'ts: Depr'n - eliminated on disposal</t>
  </si>
  <si>
    <t>FA: L'hold Improv'ts: Impair't released on disposal</t>
  </si>
  <si>
    <t>FA: Plant &amp; Machinery: Disposals</t>
  </si>
  <si>
    <t>FA: Plant &amp; Machinery: Depr'n - eliminated on disposal</t>
  </si>
  <si>
    <t>FA: Plant &amp; Machinery: Impair't released on disposal</t>
  </si>
  <si>
    <t>FA: Furniture &amp; Equipment: Disposals</t>
  </si>
  <si>
    <t>FA: Furniture &amp; Equipment: Depr'n - eliminated on disposal</t>
  </si>
  <si>
    <t>FA: Furniture &amp; Equipment: Impair't released on disposal</t>
  </si>
  <si>
    <t>FA: Computer Equipment: Disposals</t>
  </si>
  <si>
    <t>FA: Computer Equipment: Depr'n - eliminated on disposal</t>
  </si>
  <si>
    <t>FA: Computer Equipment: Impair't released on disposal</t>
  </si>
  <si>
    <t>FA: Motor Vehicles: Disposals</t>
  </si>
  <si>
    <t>FA: Motor Vehicles: Depr'n - eliminated on disposal</t>
  </si>
  <si>
    <t>FA: Motor Vehicles: Impair't released on disposal</t>
  </si>
  <si>
    <t>FA: AUC: Disposals</t>
  </si>
  <si>
    <t>FA: AUC: Impair't released on disposal</t>
  </si>
  <si>
    <t>FA: Software: Disposals</t>
  </si>
  <si>
    <t>FA: Software: Amor'n - eliminated on disposal</t>
  </si>
  <si>
    <t>FA: Software: Impair't released on disposal</t>
  </si>
  <si>
    <t>FA: Other Intangible FA: Disposals</t>
  </si>
  <si>
    <t>FA: Other Intangible FA: Amor'n - eliminated on disposal</t>
  </si>
  <si>
    <t>FA: Other Intangible FA: Impair't released on disposal</t>
  </si>
  <si>
    <t>FA: F'hold Land: Additions DfE Capital Grant</t>
  </si>
  <si>
    <t>FA: F'hold Buildings: Additions DfE Capital Grant</t>
  </si>
  <si>
    <t>FA: L'hold Land: Additions DfE Capital Grant</t>
  </si>
  <si>
    <t>FA: L'hold Buildings: Additions DfE Capital Grant</t>
  </si>
  <si>
    <t>FA: L'hold Improv'ts: Additions DfE Capital Grant</t>
  </si>
  <si>
    <t>FA: F'hold Land: Additions Free Schools PSBP</t>
  </si>
  <si>
    <t>FA: F'hold Buildings: Additions Free Schools PSBP</t>
  </si>
  <si>
    <t>FA: L'hold Land: Additions Free Schools PSBP</t>
  </si>
  <si>
    <t>FA: L'hold Buildings: Additions Free Schools PSBP</t>
  </si>
  <si>
    <t>FA: L'hold Improv'ts: Additions Free Schools PSBP</t>
  </si>
  <si>
    <t>FA: AUC: Additions Free Schools PSBP</t>
  </si>
  <si>
    <t>FA: F'hold Land: Donations - not from DfE</t>
  </si>
  <si>
    <t>FA: F'hold Buildings: Donations - not from DfE</t>
  </si>
  <si>
    <t>FA: L'hold Land: Donations - not from DfE</t>
  </si>
  <si>
    <t>FA: L'hold Buildings: Donations - not from DfE</t>
  </si>
  <si>
    <t>FA: L'hold Improv'ts: Donations - not from DfE</t>
  </si>
  <si>
    <t>FA: Plant &amp; Machinery: Donations - not from DfE</t>
  </si>
  <si>
    <t>FA: Furniture &amp; Equipment: Donations - not from DfE</t>
  </si>
  <si>
    <t>FA: Computer Equipment: Donations - not from DfE</t>
  </si>
  <si>
    <t>FA: Motor Vehicles: Donations - not from DfE</t>
  </si>
  <si>
    <t>FA: AUC: Donations - not from DfE</t>
  </si>
  <si>
    <t>FA: F'hold Land: Additions other capital grant</t>
  </si>
  <si>
    <t>FA: F'hold Buildings: Additions other capital grant</t>
  </si>
  <si>
    <t>FA: L'hold Land: Additions other capital grant</t>
  </si>
  <si>
    <t>FA: L'hold Buildings: Additions other capital grant</t>
  </si>
  <si>
    <t>FA: L'hold Improv'ts: Additions other capital grant</t>
  </si>
  <si>
    <t>FA: F'hold Land: Additions other</t>
  </si>
  <si>
    <t>FA: F'hold Buildings: Additions other</t>
  </si>
  <si>
    <t>FA: L'hold Land: Additions other</t>
  </si>
  <si>
    <t>FA: L'hold Buildings: Additions other</t>
  </si>
  <si>
    <t>FA: L'hold Improv'ts: Additions other</t>
  </si>
  <si>
    <t>FA: Plant &amp; Machinery: Additions Free Schools PSBP</t>
  </si>
  <si>
    <t>FA: Plant &amp; Machinery: Additions DfE Capital Grant</t>
  </si>
  <si>
    <t>FA: Furniture &amp; Equipment: Additions Free Schools PSBP</t>
  </si>
  <si>
    <t>FA: Furniture &amp; Equipment: Additions DfE Capital Grant</t>
  </si>
  <si>
    <t>FA: Computer Equipment: Additions Free Schools PSBP</t>
  </si>
  <si>
    <t>FA: Computer Equipment: Additions DfE Capital Grant</t>
  </si>
  <si>
    <t>FA: Motor Vehicles: Additions Free Schools PSBP</t>
  </si>
  <si>
    <t>FA: Motor Vehicles: Additions DfE Capital Grant</t>
  </si>
  <si>
    <t>FA: AUC: Additions DfE Capital Grant</t>
  </si>
  <si>
    <t>FA: Plant &amp; Machinery: Additions other capital grant</t>
  </si>
  <si>
    <t>FA: Furniture &amp; Equipment: Additions other capital grant</t>
  </si>
  <si>
    <t>FA: Computer Equipment: Additions other capital grant</t>
  </si>
  <si>
    <t>FA: Motor Vehicles: Additions other capital grant</t>
  </si>
  <si>
    <t>FA: AUC: Additions other capital grant</t>
  </si>
  <si>
    <t>FA: Plant &amp; Machinery: Additions other</t>
  </si>
  <si>
    <t>FA: Furniture &amp; Equipment: Additions other</t>
  </si>
  <si>
    <t>FA: Computer Equipment: Additions other</t>
  </si>
  <si>
    <t>FA: Motor Vehicles: Additions other</t>
  </si>
  <si>
    <t>FA: AUC: Additions other</t>
  </si>
  <si>
    <t>FA: F'hold Land: Transfer out of an academy</t>
  </si>
  <si>
    <t>FA: F'hold Land: Impair't - academy transfer out</t>
  </si>
  <si>
    <t>FA: F'hold Buildings: Transfer out of an academy</t>
  </si>
  <si>
    <t>FA: F'hold Buildings: Depr'n  - academy transfer out</t>
  </si>
  <si>
    <t>FA: F'hold Buildings: Impair't - academy transfer out</t>
  </si>
  <si>
    <t>FA: L'hold Land: Transfer out of an academy</t>
  </si>
  <si>
    <t>FA: L'hold Land: Impair't - academy transfer out</t>
  </si>
  <si>
    <t>FA: L'hold Buildings: Transfer out of an academy</t>
  </si>
  <si>
    <t>FA: L'hold Buildings: Depr'n  - academy transfer out</t>
  </si>
  <si>
    <t>FA: L'hold Buildings: Impair't - academy transfer out</t>
  </si>
  <si>
    <t>FA: L'hold Improv'ts: Transfer out of an academy</t>
  </si>
  <si>
    <t>FA: L'hold Improv'ts: Depr'n  - academy transfer out</t>
  </si>
  <si>
    <t>FA: L'hold Improv'ts: Impair't - academy transfer out</t>
  </si>
  <si>
    <t>FA: Plant &amp; Machinery: Transfer out of an academy</t>
  </si>
  <si>
    <t>FA: Plant &amp; Machinery: Depr'n  - academy transfer out</t>
  </si>
  <si>
    <t>FA: Plant &amp; Machinery: Impair't - academy transfer out</t>
  </si>
  <si>
    <t>FA: Furniture &amp; Equipment: Transfer out of an academy</t>
  </si>
  <si>
    <t>FA: Furniture &amp; Equipment: Depr'n  - academy transfer out</t>
  </si>
  <si>
    <t>FA: Furniture &amp; Equipment: Impair't - academy transfer out</t>
  </si>
  <si>
    <t>FA: Computer Equipment: Transfer out of an academy</t>
  </si>
  <si>
    <t>FA: Computer Equipment: Depr'n  - academy transfer out</t>
  </si>
  <si>
    <t>FA: Computer Equipment: Impair't - academy transfer out</t>
  </si>
  <si>
    <t>FA: Motor Vehicles: Transfer out of an academy</t>
  </si>
  <si>
    <t>FA: Motor Vehicles: Depr'n  - academy transfer out</t>
  </si>
  <si>
    <t>FA: Motor Vehicles: Impair't - academy transfer out</t>
  </si>
  <si>
    <t>FA: AUC: Transfer out of an academy</t>
  </si>
  <si>
    <t>FA: AUC: Impair't - academy transfer out</t>
  </si>
  <si>
    <t>FA: Software: Transfer out of an academy</t>
  </si>
  <si>
    <t>FA: Software: Amor'n  - academy transfer out</t>
  </si>
  <si>
    <t>FA: Software: Impair't - academy transfer out</t>
  </si>
  <si>
    <t>FA: Other Intangible FA: Transfer out of an academy</t>
  </si>
  <si>
    <t>FA: Other Intangible FA: Amor'n  - academy transfer out</t>
  </si>
  <si>
    <t>FA: Other Intangible FA: Impair't - academy transfer out</t>
  </si>
  <si>
    <t>IN: Academy transfer out: Capital transferred out</t>
  </si>
  <si>
    <t>CA: Bank Accounts: Bank Account 1</t>
  </si>
  <si>
    <t>CA: Savings Accounts: Savings Account 1</t>
  </si>
  <si>
    <t>CA: Petty Cash: Petty Cash Account 1</t>
  </si>
  <si>
    <t>LB: Creditors &lt;1 year: Bank Overdraft</t>
  </si>
  <si>
    <t>SP: Asset financing: (Gain)/loss on disp of tang FA</t>
  </si>
  <si>
    <t>SP: Asset financing: (Gain)/loss on disp of Intang FA</t>
  </si>
  <si>
    <t>SP: Asset financing: (Gain)/loss on disp of invest's</t>
  </si>
  <si>
    <t>SP: Boarding - supplies: (Gain)/loss on disp of tang FA</t>
  </si>
  <si>
    <t>SP: Boarding - supplies: (Gain)/loss on disp of Intang FA</t>
  </si>
  <si>
    <t>SP: Boarding - supplies: (Gain)/loss on disp of invest's</t>
  </si>
  <si>
    <t>SP: Cost of raising funds: Cost of raising funds - Impair't</t>
  </si>
  <si>
    <t>SP: Asset financing: Impair't - direct costs</t>
  </si>
  <si>
    <t>SP: Asset financing: Impair't - indirect costs</t>
  </si>
  <si>
    <t>SP: Boarding - supplies: Impair't - boarding</t>
  </si>
  <si>
    <t>Buildings Depreciation</t>
  </si>
  <si>
    <t>SP: Asset financing: Depr'n - direct costs - buildings</t>
  </si>
  <si>
    <t>SP: Asset financing: Depr'n - indirect costs - buildings</t>
  </si>
  <si>
    <t>SP: Boarding - supplies: Depr'n - boarding - buildings</t>
  </si>
  <si>
    <t>SP: Cost of raising funds: Cost of raising funds - Depr'n</t>
  </si>
  <si>
    <t>SP: Cost of raising funds: Cost of raising funds - amortisation</t>
  </si>
  <si>
    <t>SP: Asset financing: Depr'n - direct costs - other assets</t>
  </si>
  <si>
    <t>SP: Asset financing: Depr'n - indirect costs - other assets</t>
  </si>
  <si>
    <t>SP: Asset financing: Amortisation - direct costs</t>
  </si>
  <si>
    <t>SP: Asset financing: Amortisation - indirect costs</t>
  </si>
  <si>
    <t>SP: Boarding - supplies: Depr'n - boarding - other assets</t>
  </si>
  <si>
    <t>SP: Boarding - supplies: Amortisation - boarding</t>
  </si>
  <si>
    <t>FA: Subsidiaries (cost): Cost brought forward</t>
  </si>
  <si>
    <t>FA: Subsidiaries (cost): Additions</t>
  </si>
  <si>
    <t>FA: Subsidiaries (cost): Transfer on conversion (LA)</t>
  </si>
  <si>
    <t>FA: Subsidiaries (cost): Transfer on conversion (not LA)</t>
  </si>
  <si>
    <t>FA: Subsidiaries (cost): Transfer in - existing academy</t>
  </si>
  <si>
    <t>FA: Subsidiaries (cost): Transfer out of an academy</t>
  </si>
  <si>
    <t>FA: Subsidiaries (cost): Reclassified from current invest</t>
  </si>
  <si>
    <t>FA: Subsidiaries (cost): Reclassified to current invest</t>
  </si>
  <si>
    <t>FA: Subsidiaries (cost): Reclassified within fixed invest</t>
  </si>
  <si>
    <t>FA: Subsidiaries (cost): Impair't charged</t>
  </si>
  <si>
    <t>FA: Investment Properties (cost): Cost brought forward</t>
  </si>
  <si>
    <t>FA: Investment Properties (cost): Additions</t>
  </si>
  <si>
    <t>FA: Investment Properties (cost): Transfer on conversion (LA)</t>
  </si>
  <si>
    <t>FA: Investment Properties (cost): Transfer on conversion (not LA)</t>
  </si>
  <si>
    <t>FA: Investment Properties (cost): Transfer in - existing academy</t>
  </si>
  <si>
    <t>FA: Investment Properties (cost): Transfer out of an academy</t>
  </si>
  <si>
    <t>FA: Investment Properties (cost): Reclassified from current invest</t>
  </si>
  <si>
    <t>FA: Investment Properties (cost): Reclassified to current invest</t>
  </si>
  <si>
    <t>FA: Investment Properties (cost): Reclassified within fixed invest</t>
  </si>
  <si>
    <t>FA: Investment Properties (cost): Impair't charged</t>
  </si>
  <si>
    <t>FA: Shares/Bonds (cost): Cost brought forward</t>
  </si>
  <si>
    <t>FA: Shares/Bonds (cost): Additions</t>
  </si>
  <si>
    <t>FA: Shares/Bonds (cost): Transfer on conversion (LA)</t>
  </si>
  <si>
    <t>FA: Shares/Bonds (cost): Transfer on conversion (not LA)</t>
  </si>
  <si>
    <t>FA: Shares/Bonds (cost): Transfer in - existing academy</t>
  </si>
  <si>
    <t>FA: Shares/Bonds (cost): Transfer out of an academy</t>
  </si>
  <si>
    <t>FA: Shares/Bonds (cost): Reclassified from current invest</t>
  </si>
  <si>
    <t>FA: Shares/Bonds (cost): Reclassified to current invest</t>
  </si>
  <si>
    <t>FA: Shares/Bonds (cost): Reclassified within fixed invest</t>
  </si>
  <si>
    <t>FA: Shares/Bonds (cost): Impair't charged</t>
  </si>
  <si>
    <t>FA: Other Investments (cost): Cost brought forward</t>
  </si>
  <si>
    <t>FA: Other Investments (cost): Additions</t>
  </si>
  <si>
    <t>FA: Other Investments (cost): Transfer on conversion (LA)</t>
  </si>
  <si>
    <t>FA: Other Investments (cost): Transfer on conversion (not LA)</t>
  </si>
  <si>
    <t>FA: Other Investments (cost): Transfer in - existing academy</t>
  </si>
  <si>
    <t>FA: Other Investments (cost): Transfer out of an academy</t>
  </si>
  <si>
    <t>FA: Other Investments (cost): Reclassified from current invest</t>
  </si>
  <si>
    <t>FA: Other Investments (cost): Reclassified to current invest</t>
  </si>
  <si>
    <t>FA: Other Investments (cost): Reclassified within fixed invest</t>
  </si>
  <si>
    <t>FA: Other Investments (cost): Impair't charged</t>
  </si>
  <si>
    <t>FA: Investment Property (FV): Cost brought forward</t>
  </si>
  <si>
    <t>FA: Investment Property (FV): Additions</t>
  </si>
  <si>
    <t>FA: Investment Property (FV): Transfer on conversion (LA)</t>
  </si>
  <si>
    <t>FA: Investment Property (FV): Transfer on conversion (not LA)</t>
  </si>
  <si>
    <t>FA: Investment Property (FV): Transfer in - existing academy</t>
  </si>
  <si>
    <t>FA: Investment Property (FV): Transfer out of an academy</t>
  </si>
  <si>
    <t>FA: Investment Property (FV): Reclassified from current invest</t>
  </si>
  <si>
    <t>FA: Investment Property (FV): Reclassified to current invest</t>
  </si>
  <si>
    <t>FA: Investment Property (FV): Reclassified within fixed invest</t>
  </si>
  <si>
    <t>FA: Investment Property (FV): Period end fair value gain/loss</t>
  </si>
  <si>
    <t>FA: Investment Property (FV): Impair't charged</t>
  </si>
  <si>
    <t>FA: Managed funds (FV): Cost brought forward</t>
  </si>
  <si>
    <t>FA: Managed funds (FV): Additions</t>
  </si>
  <si>
    <t>FA: Managed funds (FV): Transfer on conversion (LA)</t>
  </si>
  <si>
    <t>FA: Managed funds (FV): Transfer on conversion (not LA)</t>
  </si>
  <si>
    <t>FA: Managed funds (FV): Transfer in - existing academy</t>
  </si>
  <si>
    <t>FA: Managed funds (FV): Transfer out of an academy</t>
  </si>
  <si>
    <t>FA: Managed funds (FV): Reclassified from current invest</t>
  </si>
  <si>
    <t>FA: Managed funds (FV): Reclassified to current invest</t>
  </si>
  <si>
    <t>FA: Managed funds (FV): Reclassified within fixed invest</t>
  </si>
  <si>
    <t>FA: Managed funds (FV): Period end fair value gain/loss</t>
  </si>
  <si>
    <t>FA: Managed funds (FV): Impair't charged</t>
  </si>
  <si>
    <t>FA: Cash Deposits (FV): Cost brought forward</t>
  </si>
  <si>
    <t>FA: Cash Deposits (FV): Additions</t>
  </si>
  <si>
    <t>FA: Cash Deposits (FV): Transfer on conversion (LA)</t>
  </si>
  <si>
    <t>FA: Cash Deposits (FV): Transfer on conversion (not LA)</t>
  </si>
  <si>
    <t>FA: Cash Deposits (FV): Transfer in - existing academy</t>
  </si>
  <si>
    <t>FA: Cash Deposits (FV): Transfer out of an academy</t>
  </si>
  <si>
    <t>FA: Cash Deposits (FV): Reclassified from current invest</t>
  </si>
  <si>
    <t>FA: Cash Deposits (FV): Reclassified to current invest</t>
  </si>
  <si>
    <t>FA: Cash Deposits (FV): Reclassified within fixed invest</t>
  </si>
  <si>
    <t>FA: Cash Deposits (FV): Period end fair value gain/loss</t>
  </si>
  <si>
    <t>FA: Cash Deposits (FV): Impair't charged</t>
  </si>
  <si>
    <t>FA: Shares/Bonds (FV): Cost brought forward</t>
  </si>
  <si>
    <t>FA: Shares/Bonds (FV): Additions</t>
  </si>
  <si>
    <t>FA: Shares/Bonds (FV): Transfer on conversion (LA)</t>
  </si>
  <si>
    <t>FA: Shares/Bonds (FV): Transfer on conversion (not LA)</t>
  </si>
  <si>
    <t>FA: Shares/Bonds (FV): Transfer in - existing academy</t>
  </si>
  <si>
    <t>FA: Shares/Bonds (FV): Transfer out of an academy</t>
  </si>
  <si>
    <t>FA: Shares/Bonds (FV): Reclassified from current invest</t>
  </si>
  <si>
    <t>FA: Shares/Bonds (FV): Reclassified to current invest</t>
  </si>
  <si>
    <t>FA: Shares/Bonds (FV): Reclassified within fixed invest</t>
  </si>
  <si>
    <t>FA: Shares/Bonds (FV): Period end fair value gain/loss</t>
  </si>
  <si>
    <t>FA: Shares/Bonds (FV): Impair't charged</t>
  </si>
  <si>
    <t>FA: Other Investments (FV): Cost brought forward</t>
  </si>
  <si>
    <t>FA: Other Investments (FV): Additions</t>
  </si>
  <si>
    <t>FA: Other Investments (FV): Transfer on conversion (LA)</t>
  </si>
  <si>
    <t>FA: Other Investments (FV): Transfer on conversion (not LA)</t>
  </si>
  <si>
    <t>FA: Other Investments (FV): Transfer in - existing academy</t>
  </si>
  <si>
    <t>FA: Other Investments (FV): Transfer out of an academy</t>
  </si>
  <si>
    <t>FA: Other Investments (FV): Reclassified from current invest</t>
  </si>
  <si>
    <t>FA: Other Investments (FV): Reclassified to current invest</t>
  </si>
  <si>
    <t>FA: Other Investments (FV): Reclassified within fixed invest</t>
  </si>
  <si>
    <t>FA: Other Investments (FV): Period end fair value gain/loss</t>
  </si>
  <si>
    <t>FA: Other Investments (FV): Impair't charged</t>
  </si>
  <si>
    <t>CA: Subsidiaries (cost): Cost brought forward</t>
  </si>
  <si>
    <t>CA: Subsidiaries (cost): Additions</t>
  </si>
  <si>
    <t>CA: Subsidiaries (cost): Transfer on conversion (LA)</t>
  </si>
  <si>
    <t>CA: Subsidiaries (cost): Transfer on conversion (not LA)</t>
  </si>
  <si>
    <t>CA: Subsidiaries (cost): Transfer in - existing academy</t>
  </si>
  <si>
    <t>CA: Subsidiaries (cost): Transfer out of an academy</t>
  </si>
  <si>
    <t>CA: Subsidiaries (cost): Reclassified from fixed invest</t>
  </si>
  <si>
    <t>CA: Subsidiaries (cost): Reclassified to fixed invest</t>
  </si>
  <si>
    <t>CA: Subsidiaries (cost): Reclassify within current invest</t>
  </si>
  <si>
    <t>CA: Subsidiaries (cost): Impair't charged</t>
  </si>
  <si>
    <t>CA: Investment Properties (cost): Cost brought forward</t>
  </si>
  <si>
    <t>CA: Investment Properties (cost): Additions</t>
  </si>
  <si>
    <t>CA: Investment Properties (cost): Transfer on conversion (LA)</t>
  </si>
  <si>
    <t>CA: Investment Properties (cost): Transfer on conversion (not LA)</t>
  </si>
  <si>
    <t>CA: Investment Properties (cost): Transfer in - existing academy</t>
  </si>
  <si>
    <t>CA: Investment Properties (cost): Transfer out of an academy</t>
  </si>
  <si>
    <t>CA: Investment Properties (cost): Reclassified from fixed invest</t>
  </si>
  <si>
    <t>CA: Investment Properties (cost): Reclassified to fixed invest</t>
  </si>
  <si>
    <t>CA: Investment Properties (cost): Reclassify within current invest</t>
  </si>
  <si>
    <t>CA: Investment Properties (cost): Impair't charged</t>
  </si>
  <si>
    <t>CA: Shares/Bonds (cost): Cost brought forward</t>
  </si>
  <si>
    <t>CA: Shares/Bonds (cost): Additions</t>
  </si>
  <si>
    <t>CA: Shares/Bonds (cost): Transfer on conversion (LA)</t>
  </si>
  <si>
    <t>CA: Shares/Bonds (cost): Transfer on conversion (not LA)</t>
  </si>
  <si>
    <t>CA: Shares/Bonds (cost): Transfer in - existing academy</t>
  </si>
  <si>
    <t>CA: Shares/Bonds (cost): Transfer out of an academy</t>
  </si>
  <si>
    <t>CA: Shares/Bonds (cost): Reclassified from fixed invest</t>
  </si>
  <si>
    <t>CA: Shares/Bonds (cost): Reclassified to fixed invest</t>
  </si>
  <si>
    <t>CA: Shares/Bonds (cost): Reclassify within current invest</t>
  </si>
  <si>
    <t>CA: Shares/Bonds (cost): Impair't charged</t>
  </si>
  <si>
    <t>CA: Other Investments (cost): Cost brought forward</t>
  </si>
  <si>
    <t>CA: Other Investments (cost): Additions</t>
  </si>
  <si>
    <t>CA: Other Investments (cost): Transfer on conversion (LA)</t>
  </si>
  <si>
    <t>CA: Other Investments (cost): Transfer on conversion (not LA)</t>
  </si>
  <si>
    <t>CA: Other Investments (cost): Transfer in - existing academy</t>
  </si>
  <si>
    <t>CA: Other Investments (cost): Transfer out of an academy</t>
  </si>
  <si>
    <t>CA: Other Investments (cost): Reclassified from fixed invest</t>
  </si>
  <si>
    <t>CA: Other Investments (cost): Reclassified to fixed invest</t>
  </si>
  <si>
    <t>CA: Other Investments (cost): Reclassify within current invest</t>
  </si>
  <si>
    <t>CA: Other Investments (cost): Impair't charged</t>
  </si>
  <si>
    <t>CA: Investment Property (FV): Cost brought forward</t>
  </si>
  <si>
    <t>CA: Investment Property (FV): Additions</t>
  </si>
  <si>
    <t>CA: Investment Property (FV): Transfer on conversion (LA)</t>
  </si>
  <si>
    <t>CA: Investment Property (FV): Transfer on conversion (not LA)</t>
  </si>
  <si>
    <t>CA: Investment Property (FV): Transfer in - existing academy</t>
  </si>
  <si>
    <t>CA: Investment Property (FV): Transfer out of an academy</t>
  </si>
  <si>
    <t>CA: Investment Property (FV): Reclassified from fixed invest</t>
  </si>
  <si>
    <t>CA: Investment Property (FV): Reclassified to fixed invest</t>
  </si>
  <si>
    <t>CA: Investment Property (FV): Reclassify within current invest</t>
  </si>
  <si>
    <t>CA: Investment Property (FV): Period end fair value gain/loss</t>
  </si>
  <si>
    <t>CA: Investment Property (FV): Impair't charged</t>
  </si>
  <si>
    <t>CA: Managed funds (FV): Cost brought forward</t>
  </si>
  <si>
    <t>CA: Managed funds (FV): Additions</t>
  </si>
  <si>
    <t>CA: Managed funds (FV): Transfer on conversion (LA)</t>
  </si>
  <si>
    <t>CA: Managed funds (FV): Transfer on conversion (not LA)</t>
  </si>
  <si>
    <t>CA: Managed funds (FV): Transfer in - existing academy</t>
  </si>
  <si>
    <t>CA: Managed funds (FV): Transfer out of an academy</t>
  </si>
  <si>
    <t>CA: Managed funds (FV): Reclassified from fixed invest</t>
  </si>
  <si>
    <t>CA: Managed funds (FV): Reclassified to fixed invest</t>
  </si>
  <si>
    <t>CA: Managed funds (FV): Reclassify within current invest</t>
  </si>
  <si>
    <t>CA: Managed funds (FV): Period end fair value gain/loss</t>
  </si>
  <si>
    <t>CA: Managed funds (FV): Impair't charged</t>
  </si>
  <si>
    <t>CA: Cash Deposits (FV): Cost brought forward</t>
  </si>
  <si>
    <t>CA: Cash Deposits (FV): Additions</t>
  </si>
  <si>
    <t>CA: Cash Deposits (FV): Transfer on conversion (LA)</t>
  </si>
  <si>
    <t>CA: Cash Deposits (FV): Transfer on conversion (not LA)</t>
  </si>
  <si>
    <t>CA: Cash Deposits (FV): Transfer in - existing academy</t>
  </si>
  <si>
    <t>CA: Cash Deposits (FV): Transfer out of an academy</t>
  </si>
  <si>
    <t>CA: Cash Deposits (FV): Reclassified from fixed invest</t>
  </si>
  <si>
    <t>CA: Cash Deposits (FV): Reclassified to fixed invest</t>
  </si>
  <si>
    <t>CA: Cash Deposits (FV): Reclassify within current invest</t>
  </si>
  <si>
    <t>CA: Cash Deposits (FV): Period end fair value gain/loss</t>
  </si>
  <si>
    <t>CA: Cash Deposits (FV): Impair't charged</t>
  </si>
  <si>
    <t>CA: Shares/Bonds (FV): Cost brought forward</t>
  </si>
  <si>
    <t>CA: Shares/Bonds (FV): Additions</t>
  </si>
  <si>
    <t>CA: Shares/Bonds (FV): Transfer on conversion (LA)</t>
  </si>
  <si>
    <t>CA: Shares/Bonds (FV): Transfer on conversion (not LA)</t>
  </si>
  <si>
    <t>CA: Shares/Bonds (FV): Transfer in - existing academy</t>
  </si>
  <si>
    <t>CA: Shares/Bonds (FV): Transfer out of an academy</t>
  </si>
  <si>
    <t>CA: Shares/Bonds (FV): Reclassified from fixed invest</t>
  </si>
  <si>
    <t>CA: Shares/Bonds (FV): Reclassified to fixed invest</t>
  </si>
  <si>
    <t>CA: Shares/Bonds (FV): Reclassify within current invest</t>
  </si>
  <si>
    <t>CA: Shares/Bonds (FV): Period end fair value gain/loss</t>
  </si>
  <si>
    <t>CA: Shares/Bonds (FV): Impair't charged</t>
  </si>
  <si>
    <t>CA: Other Investments (FV): Cost brought forward</t>
  </si>
  <si>
    <t>CA: Other Investments (FV): Additions</t>
  </si>
  <si>
    <t>CA: Other Investments (FV): Transfer on conversion (LA)</t>
  </si>
  <si>
    <t>CA: Other Investments (FV): Transfer on conversion (not LA)</t>
  </si>
  <si>
    <t>CA: Other Investments (FV): Transfer in - existing academy</t>
  </si>
  <si>
    <t>CA: Other Investments (FV): Transfer out of an academy</t>
  </si>
  <si>
    <t>CA: Other Investments (FV): Reclassified from fixed invest</t>
  </si>
  <si>
    <t>CA: Other Investments (FV): Reclassified to fixed invest</t>
  </si>
  <si>
    <t>CA: Other Investments (FV): Reclassify within current invest</t>
  </si>
  <si>
    <t>CA: Other Investments (FV): Period end fair value gain/loss</t>
  </si>
  <si>
    <t>CA: Other Investments (FV): Impair't charged</t>
  </si>
  <si>
    <t>Investment Liquidations</t>
  </si>
  <si>
    <t>FA: Subsidiaries (cost): Disposals</t>
  </si>
  <si>
    <t>FA: Investment Properties (cost): Disposals</t>
  </si>
  <si>
    <t>FA: Shares/Bonds (cost): Disposals</t>
  </si>
  <si>
    <t>FA: Other Investments (cost): Disposals</t>
  </si>
  <si>
    <t>FA: Investment Property (FV): Disposals</t>
  </si>
  <si>
    <t>FA: Managed funds (FV): Disposals</t>
  </si>
  <si>
    <t>FA: Cash Deposits (FV): Disposals</t>
  </si>
  <si>
    <t>FA: Shares/Bonds (FV): Disposals</t>
  </si>
  <si>
    <t>FA: Other Investments (FV): Disposals</t>
  </si>
  <si>
    <t>CA: Subsidiaries (cost): Disposals</t>
  </si>
  <si>
    <t>CA: Investment Properties (cost): Disposals</t>
  </si>
  <si>
    <t>CA: Shares/Bonds (cost): Disposals</t>
  </si>
  <si>
    <t>CA: Other Investments (cost): Disposals</t>
  </si>
  <si>
    <t>CA: Investment Property (FV): Disposals</t>
  </si>
  <si>
    <t>CA: Managed funds (FV): Disposals</t>
  </si>
  <si>
    <t>CA: Cash Deposits (FV): Disposals</t>
  </si>
  <si>
    <t>CA: Shares/Bonds (FV): Disposals</t>
  </si>
  <si>
    <t>CA: Other Investments (FV): Disposals</t>
  </si>
  <si>
    <t>Creation / increase</t>
  </si>
  <si>
    <t>LB: Provisions: &lt;1 year: Charged in year</t>
  </si>
  <si>
    <t>LB: Provisions: &lt;1 year: Academy transfer in</t>
  </si>
  <si>
    <t>LB: Provisions: &lt;1 year: Academy conversions</t>
  </si>
  <si>
    <t>LB: Provisions: &gt;1 year: Charged in year</t>
  </si>
  <si>
    <t>LB: Provisions: &gt;1 year: Academy transfer in</t>
  </si>
  <si>
    <t>LB: Provisions: &gt;1 year: Academy conversions</t>
  </si>
  <si>
    <t>LB: Provisions: &lt;1 year: Academy transfer out</t>
  </si>
  <si>
    <t>LB: Provisions: &lt;1 year: Released in year</t>
  </si>
  <si>
    <t>LB: Provisions: &gt;1 year: Academy transfer out</t>
  </si>
  <si>
    <t>LB: Provisions: &gt;1 year: Released in year</t>
  </si>
  <si>
    <t>In year utilisation (enter as a negative value)</t>
  </si>
  <si>
    <t>LB: Provisions: &lt;1 year: Utilised in year</t>
  </si>
  <si>
    <t>LB: Provisions: &gt;1 year: Utilised in year</t>
  </si>
  <si>
    <t>LB: Loans: DfE group:&lt;1 year: Balance brought forward</t>
  </si>
  <si>
    <t>LB: Loans: DfE group:&gt;1 year: Balance brought forward</t>
  </si>
  <si>
    <t>LB: Loans: Other Govt bodies: &lt;1 year: Balance brought forward</t>
  </si>
  <si>
    <t>LB: Loans: Other Govt bodies: &gt;1 year: Balance brought forward</t>
  </si>
  <si>
    <t>LB: Loans: Non-Govt bodies: &lt;1 year: Balance brought forward</t>
  </si>
  <si>
    <t>LB: Loans: Non-Govt bodies: &gt;1 year: Balance brought forward</t>
  </si>
  <si>
    <t>LB: Loans: DfE group:&lt;1 year: New borrowings</t>
  </si>
  <si>
    <t>LB: Loans: DfE group:&lt;1 year: Academy transfer in</t>
  </si>
  <si>
    <t>LB: Loans: DfE group:&lt;1 year: Academy conversions</t>
  </si>
  <si>
    <t>LB: Loans: DfE group:&lt;1 year: Academy transfer out</t>
  </si>
  <si>
    <t>LB: Loans: DfE group:&lt;1 year: Repayment of loan</t>
  </si>
  <si>
    <t>LB: Loans: DfE group:&lt;1 year: Interest charged</t>
  </si>
  <si>
    <t>LB: Loans: DfE group:&gt;1 year: New borrowings</t>
  </si>
  <si>
    <t>LB: Loans: DfE group:&gt;1 year: Academy transfer in</t>
  </si>
  <si>
    <t>LB: Loans: DfE group:&gt;1 year: Academy conversions</t>
  </si>
  <si>
    <t>LB: Loans: DfE group:&gt;1 year: Academy transfer out</t>
  </si>
  <si>
    <t>LB: Loans: DfE group:&gt;1 year: Repayment of loan</t>
  </si>
  <si>
    <t>LB: Loans: DfE group:&gt;1 year: Interest charged</t>
  </si>
  <si>
    <t>LB: Loans: Other Govt bodies: &lt;1 year: New borrowings</t>
  </si>
  <si>
    <t>LB: Loans: Other Govt bodies: &lt;1 year: Academy transfer in</t>
  </si>
  <si>
    <t>LB: Loans: Other Govt bodies: &lt;1 year: Academy conversions</t>
  </si>
  <si>
    <t>LB: Loans: Other Govt bodies: &lt;1 year: Academy transfer out</t>
  </si>
  <si>
    <t>LB: Loans: Other Govt bodies: &lt;1 year: Repayment of loan</t>
  </si>
  <si>
    <t>LB: Loans: Other Govt bodies: &lt;1 year: Interest charged</t>
  </si>
  <si>
    <t>LB: Loans: Other Govt bodies: &gt;1 year: New borrowings</t>
  </si>
  <si>
    <t>LB: Loans: Other Govt bodies: &gt;1 year: Academy transfer in</t>
  </si>
  <si>
    <t>LB: Loans: Other Govt bodies: &gt;1 year: Academy conversions</t>
  </si>
  <si>
    <t>LB: Loans: Other Govt bodies: &gt;1 year: Academy transfer out</t>
  </si>
  <si>
    <t>LB: Loans: Other Govt bodies: &gt;1 year: Repayment of loan</t>
  </si>
  <si>
    <t>LB: Loans: Other Govt bodies: &gt;1 year: Interest charged</t>
  </si>
  <si>
    <t>LB: Loans: Non-Govt bodies: &lt;1 year: New borrowings</t>
  </si>
  <si>
    <t>LB: Loans: Non-Govt bodies: &lt;1 year: Academy transfer in</t>
  </si>
  <si>
    <t>LB: Loans: Non-Govt bodies: &lt;1 year: Academy conversions</t>
  </si>
  <si>
    <t>LB: Loans: Non-Govt bodies: &lt;1 year: Academy transfer out</t>
  </si>
  <si>
    <t>LB: Loans: Non-Govt bodies: &lt;1 year: Repayment of loan</t>
  </si>
  <si>
    <t>LB: Loans: Non-Govt bodies: &lt;1 year: Interest charged</t>
  </si>
  <si>
    <t>LB: Loans: Non-Govt bodies: &gt;1 year: New borrowings</t>
  </si>
  <si>
    <t>LB: Loans: Non-Govt bodies: &gt;1 year: Academy transfer in</t>
  </si>
  <si>
    <t>LB: Loans: Non-Govt bodies: &gt;1 year: Academy conversions</t>
  </si>
  <si>
    <t>LB: Loans: Non-Govt bodies: &gt;1 year: Academy transfer out</t>
  </si>
  <si>
    <t>LB: Loans: Non-Govt bodies: &gt;1 year: Repayment of loan</t>
  </si>
  <si>
    <t>LB: Loans: Non-Govt bodies: &gt;1 year: Interest charged</t>
  </si>
  <si>
    <t xml:space="preserve">    • preparer declaration tab</t>
  </si>
  <si>
    <t xml:space="preserve"> Yes
(click the radio button to select the option)</t>
  </si>
  <si>
    <t>No
(click the radio button to select the option)</t>
  </si>
  <si>
    <t xml:space="preserve">Academies budget forecast return: information to help academy trusts submit their forecast return (BFR) and BFR login </t>
  </si>
  <si>
    <t>This workbook is to be used to help prepare for the online form. It should be completed on an accruals and prepayments basis at whole trust level.</t>
  </si>
  <si>
    <t>Use the below 800 lines if you answered "No" to the above question and hold reserves at academy level. If you answered "Yes" and do not hold reserves at academy level - Skip to line 1990 - DfE Grant income in the Three year forecast section.</t>
  </si>
  <si>
    <t xml:space="preserve">This worksheet spans cells A1 through E17
</t>
  </si>
  <si>
    <t>Navigate to index page</t>
  </si>
  <si>
    <t>From the table below, select the main plans for your remaining reserves balance. This is the difference between your Total reserves from  line 430 and the actual reserves held for contingency amount you have told us above. 
For example:
If your Total reserves are £100,000.00 and your Actual reserves held for contingency are £20,000.00, then your remaining balance to disclose below would be £80,000.00. We want to know your plans for the £80,000.00. Enter the £80,000.00 using the format £'000 –  for example £80,000.00 would be entered as 80.
Note: 
You can select more than one option. For example, £80k split across 3 options would be entered as 30, 30 and 20. Details should relate to plans for reserves you currently hold.</t>
  </si>
  <si>
    <t>The summary declaration page shows you a summary of the revenue, capital, reserves, and three year forecast totals from your return. Figures for each section will be presented in rounded thousands as well as pounds (£'s). This is to make sure any rounding's in your return are accurate.</t>
  </si>
  <si>
    <t>The rest of the figures (no fill) are reported as full amounts (non-rounded thousands)</t>
  </si>
  <si>
    <t xml:space="preserve">Line no.           </t>
  </si>
  <si>
    <t>This worksheet spans cells A1 to D229</t>
  </si>
  <si>
    <t>Please complete your answers in this table. You can then review your answers and paste into the online form.</t>
  </si>
  <si>
    <t>For information only:
This section provides a record of updates made to the most recent version of the published online form and/or this workbook. Review these changes to stay informed.</t>
  </si>
  <si>
    <t>*Enter details in yellow fields below</t>
  </si>
  <si>
    <r>
      <rPr>
        <b/>
        <sz val="12"/>
        <rFont val="Arial"/>
        <family val="2"/>
      </rPr>
      <t>IT and systems</t>
    </r>
    <r>
      <rPr>
        <sz val="12"/>
        <rFont val="Arial"/>
        <family val="2"/>
      </rPr>
      <t xml:space="preserve">
This could include plans to spend reserves on IT upgrades and installations, purchasing or maintenance of digital equipment, alarm systems, network costs.
</t>
    </r>
  </si>
  <si>
    <r>
      <rPr>
        <b/>
        <sz val="12"/>
        <rFont val="Arial"/>
        <family val="2"/>
      </rPr>
      <t>New buildings and estates projects</t>
    </r>
    <r>
      <rPr>
        <sz val="12"/>
        <rFont val="Arial"/>
        <family val="2"/>
      </rPr>
      <t xml:space="preserve">
This could include plans to expand the academy trust's premises for example, building a new classroom or sports hall or purchasing new properties.</t>
    </r>
  </si>
  <si>
    <r>
      <rPr>
        <b/>
        <sz val="12"/>
        <rFont val="Arial"/>
        <family val="2"/>
      </rPr>
      <t xml:space="preserve">Maintenance and improvements to existing buildings and estates projects </t>
    </r>
    <r>
      <rPr>
        <sz val="12"/>
        <rFont val="Arial"/>
        <family val="2"/>
      </rPr>
      <t xml:space="preserve">
This could include any plans to spend reserves on the current buildings and estates within the academy trust for example, refurbishments to classrooms, buying furniture, replacing windows, investments into solar panels etc.</t>
    </r>
  </si>
  <si>
    <r>
      <rPr>
        <b/>
        <sz val="12"/>
        <rFont val="Arial"/>
        <family val="2"/>
      </rPr>
      <t>Other spend</t>
    </r>
    <r>
      <rPr>
        <sz val="12"/>
        <rFont val="Arial"/>
        <family val="2"/>
      </rPr>
      <t xml:space="preserve">
This should only include any plans that cannot be captured in the above spend categories.</t>
    </r>
  </si>
  <si>
    <t>Reserves and contingency question</t>
  </si>
  <si>
    <t>Your revenue reserve amount (from Line 430) in rounded thousands (£'000) is:</t>
  </si>
  <si>
    <t xml:space="preserve">This revenue reserve amount, as a % of your total revenue income is: </t>
  </si>
  <si>
    <t xml:space="preserve">Finance questions
</t>
  </si>
  <si>
    <t>Budget Forecast Return (BFR)</t>
  </si>
  <si>
    <t>Approver declaration (trust)</t>
  </si>
  <si>
    <t>info</t>
  </si>
  <si>
    <t>Reserves for contingency</t>
  </si>
  <si>
    <t>This worksheet spans cells A1 to F144 - enter comments in column E only.</t>
  </si>
  <si>
    <t>This worksheet spans cells A1 to P35, with essential separation columns for clarity.</t>
  </si>
  <si>
    <t>Finance question number</t>
  </si>
  <si>
    <t>Finance questions</t>
  </si>
  <si>
    <t xml:space="preserve"> • Not applicable (Single Academy Trust (SAT))</t>
  </si>
  <si>
    <t>CoA mapping tables</t>
  </si>
  <si>
    <t>This worksheet spans cells A1 to D928 - This sheet is for your information only</t>
  </si>
  <si>
    <r>
      <rPr>
        <b/>
        <sz val="12"/>
        <color theme="1"/>
        <rFont val="Arial"/>
        <family val="2"/>
      </rPr>
      <t xml:space="preserve">Approve or reject submission? </t>
    </r>
    <r>
      <rPr>
        <sz val="12"/>
        <color theme="1"/>
        <rFont val="Arial"/>
        <family val="2"/>
      </rPr>
      <t xml:space="preserve">
</t>
    </r>
    <r>
      <rPr>
        <i/>
        <sz val="11"/>
        <color theme="1"/>
        <rFont val="Arial"/>
        <family val="2"/>
      </rPr>
      <t>(select only one of the tickboxes to either approve or reject)</t>
    </r>
  </si>
  <si>
    <r>
      <t xml:space="preserve">Enter details in yellow cells in column B - cells B6 to B20
</t>
    </r>
    <r>
      <rPr>
        <i/>
        <sz val="11"/>
        <color theme="1"/>
        <rFont val="Arial"/>
        <family val="2"/>
      </rPr>
      <t>(Please enter your contact details so the DfE can contact you if there are any questions)</t>
    </r>
  </si>
  <si>
    <t>Provide your Trust details in this section by completing yellow fields in column B (fields B8 to B114)</t>
  </si>
  <si>
    <t xml:space="preserve">This worksheet spans cells A1 through Z339, with essential separation columns for clarity.
</t>
  </si>
  <si>
    <t xml:space="preserve">Prior year BFR download report
</t>
  </si>
  <si>
    <t>There are 8 tabs in this workbook to work through:</t>
  </si>
  <si>
    <t xml:space="preserve">    • organisation user</t>
  </si>
  <si>
    <t xml:space="preserve">    • finance questions</t>
  </si>
  <si>
    <t xml:space="preserve">    • BFR 2026</t>
  </si>
  <si>
    <t xml:space="preserve">    • summary declaration</t>
  </si>
  <si>
    <t xml:space="preserve">    • validations table tab</t>
  </si>
  <si>
    <t xml:space="preserve">You should not insert or delete any rows, columns, cells or change the name of any tabs as this will result in the workbook not working correctly. If a tab is unprotected, care should be taken to ensure formulas are not overtyped.
</t>
  </si>
  <si>
    <t>Updates to the BFR 2026 form</t>
  </si>
  <si>
    <t>Note: All the tabs are presented in a logical order but you have the option to complete them in any order you wish.</t>
  </si>
  <si>
    <t>Reserve balance questions</t>
  </si>
  <si>
    <r>
      <t xml:space="preserve">Does your trust pool and hold centrally the General Annual Grant (GAG)?
</t>
    </r>
    <r>
      <rPr>
        <i/>
        <sz val="11"/>
        <color theme="1"/>
        <rFont val="Arial"/>
        <family val="2"/>
      </rPr>
      <t>(Select the approach that most accurately describes your trust</t>
    </r>
    <r>
      <rPr>
        <i/>
        <sz val="12"/>
        <color theme="1"/>
        <rFont val="Arial"/>
        <family val="2"/>
      </rPr>
      <t>)</t>
    </r>
  </si>
  <si>
    <t>Calculated figures in this colour (blue) are presented in roundd thousands £'000</t>
  </si>
  <si>
    <t>To unprotect any sheet in the workbook, simply click on "Review" in the top excel menu, then click on "Unprotect sheet".</t>
  </si>
  <si>
    <t>Log in to the BFR online form</t>
  </si>
  <si>
    <t>Red fill colour will show when an error, query or validation check is triggered (alongside further instructions) - this requires your attention.</t>
  </si>
  <si>
    <t>Yellow fill colour highlights the fields that require your input. When a negative number is entered, the text turns red. Further instructions of the location of these cells will be provided in each tab or section.</t>
  </si>
  <si>
    <t>n/a - This means not applicable.</t>
  </si>
  <si>
    <t>Include any investment income received by the trust. Include interest income from bank accounts, short-term and long-term deposits, dividend income on current or fixed investments held and other investment income, for example rent on investment properties. Include income received from endowments where this is expendable. Amount entered should have a positive value. In the BFR online form, the figures for 2024/25 have been pre-populated from the prior year's accounts return from field INV010: investment income.</t>
  </si>
  <si>
    <t>Include where there have been any releases from endowments reserves to fund capital expenditure.</t>
  </si>
  <si>
    <t xml:space="preserve">Step 3: In the 'BFR 2026' tab input your figures into the yellow fields. The blue fields are calculated and do not need any information input into these. You will notice there are formulas in the 'prior year actuals Sept 24' - Mar 25', 'total 2024/25', and 'current year actuals Sept 25 - Mar 26' columns. Overwrite the formulas in these columns with your data if you are not using the pre-population function. </t>
  </si>
  <si>
    <t>Step 6: Fill in the remaining data required in the 'BFR 2026' tab, clearing validations as they are triggered. You can complete validations in the order that you choose as and when these are triggered. You can see a list of the validations in the 'validations table' tab. The validations replicate the ones you will see in the online form and any comments added in here can be pasted into the online form.</t>
  </si>
  <si>
    <t>This tab gives details on how to complete this workbook. Further instructions are provided in each tab.</t>
  </si>
  <si>
    <t>Step 4: Download your prior year's BFR report into excel. To do this, log in to your BFR return and download the prior year's BFR report in excel.</t>
  </si>
  <si>
    <t>Step 11: Once all the validations are cleared and you are happy with the data input, you can log in to the BFR online form by following the link below and keying in the data.</t>
  </si>
  <si>
    <t>Note that if you remove the password protection, there is a risk that formulas and validations could be accidentally overwritten. For that reason it is safer to do this on a separate, saved version.</t>
  </si>
  <si>
    <t>Orange fill colour highlights important information or text.</t>
  </si>
  <si>
    <t xml:space="preserve">  • Red font colour will appear when a negative number is entered
  • Black font colour is for all text as well as positive numbers</t>
  </si>
  <si>
    <t xml:space="preserve">Purple fill colour highlights pre-population tabs names so they are easily identifiable. 
These are:
  • Prior year BFR download report
</t>
  </si>
  <si>
    <t xml:space="preserve">Some of the worksheets may be protected. You may remove the protection to inspect how the workbook is structured by inputting password "BFR" in capital letters. 
</t>
  </si>
  <si>
    <t xml:space="preserve">This option is for you to input your data manually. This is the same option as with previous years. Input your data in the required cells on following tabs using the instructions below.
</t>
  </si>
  <si>
    <t>This page contains links to guidance documents and other useful tools for completing the BFR.</t>
  </si>
  <si>
    <t>Step 4: Clear validations. You can clear and complete validations in the order that you choose, either as they are triggered or at the end of the data input. You can see a list of the validations in the 'validations table' tab. The validations replicate the ones you will see in the online form and any comments added in here can be pasted into the online form.</t>
  </si>
  <si>
    <t>Step 9: Once all the validations are cleared and you are happy with the data input, you can log in to the BFR online form by following the link below and enter the data.</t>
  </si>
  <si>
    <t>Number of academies in trust</t>
  </si>
  <si>
    <t>Number of academies in return</t>
  </si>
  <si>
    <t>Step 1: Complete the 'organisation user' tab, filling in the yellow fields or as instructed.</t>
  </si>
  <si>
    <t>Step 3: In the 'BFR 2026' tab, in cell B5, type 'BFR'.</t>
  </si>
  <si>
    <t>Step 2: Complete the 'finance questions' tab.</t>
  </si>
  <si>
    <t xml:space="preserve">
Refer to colour scheme below to understand what they mean:
</t>
  </si>
  <si>
    <t xml:space="preserve">Blue fill colour indicates calculated fields. </t>
  </si>
  <si>
    <t xml:space="preserve">Enter all figures in the workbook and online form in rounded thousands £'000, not pounds and pence. For example, for £10,471.23 enter 10, but for £10,891.25 enter 11. Enter a six-figure amount like £453,678 as 454. This is with the exception of line 999 for pupil numbers, FQ6 for percentage % of General Annual Grant pooled (if applicable), QU379 for percentage % of building repairs and maintenance spend funded through capital routes, and line 3900 and 3950 around percentage % for pay awards. If applicable to your trust, the reserves and contingency question in the reserve balance questions tab should be entered as a percentage (%).
</t>
  </si>
  <si>
    <r>
      <t xml:space="preserve">Does your trust use top slicing?
</t>
    </r>
    <r>
      <rPr>
        <i/>
        <sz val="11"/>
        <color theme="1"/>
        <rFont val="Arial"/>
        <family val="2"/>
      </rPr>
      <t>(Top slicing is where a trust may take a percentage (%) of the funding received in order to provide central service functions for HR, Finance, payroll, I.T etc.)</t>
    </r>
  </si>
  <si>
    <r>
      <t>In here, please </t>
    </r>
    <r>
      <rPr>
        <sz val="12"/>
        <color rgb="FF0B0C0C"/>
        <rFont val="Arial"/>
        <family val="2"/>
      </rPr>
      <t>include third-party IT support contracts, maintenance and repair of technology, IT related consultancy when not bundled into any other services and cyber insurance. Also include the estimated costs of IT support if these are bundled into other services. Please exclude inhouse IT support such as a network or IT manager. This will be included in staff costs.</t>
    </r>
  </si>
  <si>
    <t>ICT costs - Connectivity</t>
  </si>
  <si>
    <t>We have made some changes to the current BFR form. To view these changes, please refer to the 'Updates to the BFR form' section of the main BFR guidance linked below:</t>
  </si>
  <si>
    <t xml:space="preserve">Step 7: Check the figures in the 'summary declaration' tab. Note: declaration pages on the workbook are optional, but must be completed on the online form. </t>
  </si>
  <si>
    <t xml:space="preserve">Step 9: Check the figures in the 'summary declaration' tab. Note: declaration pages on the workbook are optional, but must be completed on the online form. </t>
  </si>
  <si>
    <t xml:space="preserve">Step 8: Complete the 'preparer declaration' and 'approver declaration' tabs if you choose to. Note: declaration pages on the workbook are optional,  but they must be completed on the online form if applicable. </t>
  </si>
  <si>
    <t xml:space="preserve">Step 10: Complete the 'preparer declaration' and 'approver declaration' tabs if you choose to. Note: declaration pages on the workbook are optional,  but they must be completed on the online form if applicable. </t>
  </si>
  <si>
    <r>
      <rPr>
        <b/>
        <sz val="12"/>
        <color rgb="FF000000"/>
        <rFont val="Arial"/>
        <family val="2"/>
      </rPr>
      <t xml:space="preserve">Category (Pupil numbers must be completed before continuing with the form)
</t>
    </r>
    <r>
      <rPr>
        <sz val="12"/>
        <color rgb="FF000000"/>
        <rFont val="Arial"/>
        <family val="2"/>
      </rPr>
      <t>For help, refer to the guidance tab
For helptext, refer to column R</t>
    </r>
  </si>
  <si>
    <r>
      <rPr>
        <sz val="12"/>
        <rFont val="Arial"/>
        <family val="2"/>
      </rPr>
      <t>Assumed pay awards for teaching staff (% rate)</t>
    </r>
    <r>
      <rPr>
        <sz val="14"/>
        <rFont val="Arial"/>
        <family val="2"/>
      </rPr>
      <t xml:space="preserve">
</t>
    </r>
    <r>
      <rPr>
        <sz val="11"/>
        <rFont val="Arial"/>
        <family val="2"/>
      </rPr>
      <t>(Give figures to a maximum of 3 decimal places)</t>
    </r>
  </si>
  <si>
    <r>
      <rPr>
        <sz val="12"/>
        <rFont val="Arial"/>
        <family val="2"/>
      </rPr>
      <t>Assumed pay awards for support staff (% rate)</t>
    </r>
    <r>
      <rPr>
        <sz val="14"/>
        <rFont val="Arial"/>
        <family val="2"/>
      </rPr>
      <t xml:space="preserve">
</t>
    </r>
    <r>
      <rPr>
        <sz val="11"/>
        <rFont val="Arial"/>
        <family val="2"/>
      </rPr>
      <t>(Give figures to a maximum of 3 decimal places)</t>
    </r>
  </si>
  <si>
    <t>Include any other revenue expenditure not covered by the above categories e.g. costs of all educational and non-educational supplies and services (including HR/Payroll services from the Local Authority), RPA contributions, building repairs and maintenance costs, (including any service level agreements that relate to the upkeep and maintenance of the school estate) legal and governance costs, land and buildings valuations, bank charges and interest. Exclude revenue deficits on conversion/transfer or ICT costs, any non cash costs such as unwinding of the discount, impairment, depreciation. ICT costs should be included within lines 336 - 342 above. If your trust has any RAAC related expenditure that hasn’t been capitalised, please include this in here.</t>
  </si>
  <si>
    <t xml:space="preserve">What tabs do I need to complete?
You need to complete this section if your trust's revenue reserves ratio is 20% or above - See cell A7 below to determine your revenue reserves in line 430 - Balance carried forward 31 Aug 26 as a % of your total revenue income for 2025/2026 and if you need to complete this tab.
Reserves ratio: 0% or under - neither reserve balance questions tab or reserve balance details tab need to be completed - skip to the summary declaration tab.
Reserves ratio: more than 0% but less than 20% - complete the reserve balance questions tab only (previous tab) then go to the summary declaration tab. 
Reserves ratio: 20% or higher - complete the revenue reserve balance details tab only (this tab) then navigate to the summary declaration tab.
</t>
  </si>
  <si>
    <t>QU300-a</t>
  </si>
  <si>
    <t>QU300-b</t>
  </si>
  <si>
    <t>QU300-c</t>
  </si>
  <si>
    <t>QU300-d</t>
  </si>
  <si>
    <t>QU300-e</t>
  </si>
  <si>
    <t>QU300-f</t>
  </si>
  <si>
    <t>QU300-g</t>
  </si>
  <si>
    <t>QU300-h</t>
  </si>
  <si>
    <t>QU300-i</t>
  </si>
  <si>
    <t>QU300-j</t>
  </si>
  <si>
    <t>QU300-k</t>
  </si>
  <si>
    <t>QU300-l</t>
  </si>
  <si>
    <t>QU300-m</t>
  </si>
  <si>
    <t>QU300-n</t>
  </si>
  <si>
    <t>QU300-o</t>
  </si>
  <si>
    <t>QU300-p</t>
  </si>
  <si>
    <t>QU300-q</t>
  </si>
  <si>
    <t>QU300-r</t>
  </si>
  <si>
    <t>QU300-s</t>
  </si>
  <si>
    <t>QU300-t</t>
  </si>
  <si>
    <t>QU300-u</t>
  </si>
  <si>
    <t>QU300-v</t>
  </si>
  <si>
    <t>QU300-w</t>
  </si>
  <si>
    <t>QU300-x</t>
  </si>
  <si>
    <t>QU300-y</t>
  </si>
  <si>
    <t>QU300-z</t>
  </si>
  <si>
    <t>QU300-aa</t>
  </si>
  <si>
    <t>QU300-ab</t>
  </si>
  <si>
    <t>QU300-ac</t>
  </si>
  <si>
    <t>QU300-ad</t>
  </si>
  <si>
    <t>QU300-ae</t>
  </si>
  <si>
    <t>QU300-af</t>
  </si>
  <si>
    <t>QU300-ag</t>
  </si>
  <si>
    <t>QU300-ah</t>
  </si>
  <si>
    <t>QU300-ai</t>
  </si>
  <si>
    <t>QU300-aj</t>
  </si>
  <si>
    <t>QU300-ak</t>
  </si>
  <si>
    <t>QU300-al</t>
  </si>
  <si>
    <t>QU300-am</t>
  </si>
  <si>
    <t>QU300-an</t>
  </si>
  <si>
    <t>QU300-ao</t>
  </si>
  <si>
    <t>QU300-ap</t>
  </si>
  <si>
    <t>QU300-aq</t>
  </si>
  <si>
    <t>QU300-ar</t>
  </si>
  <si>
    <t>QU300-as</t>
  </si>
  <si>
    <t>QU300-at</t>
  </si>
  <si>
    <t>QU300-au</t>
  </si>
  <si>
    <t>QU300-av</t>
  </si>
  <si>
    <t>QU300-aw</t>
  </si>
  <si>
    <t>QU300-ax</t>
  </si>
  <si>
    <t>QU300-ay</t>
  </si>
  <si>
    <t>QU300-az</t>
  </si>
  <si>
    <t>QU300-ba</t>
  </si>
  <si>
    <t>QU300-bb</t>
  </si>
  <si>
    <t>QU300-bc</t>
  </si>
  <si>
    <t>QU300-bd</t>
  </si>
  <si>
    <t>QU300-be</t>
  </si>
  <si>
    <t>QU300-bf</t>
  </si>
  <si>
    <t>QU300-bg</t>
  </si>
  <si>
    <t>QU300-bh</t>
  </si>
  <si>
    <t>QU300-bi</t>
  </si>
  <si>
    <t>QU300-bj</t>
  </si>
  <si>
    <t>QU300-bk</t>
  </si>
  <si>
    <t>QU300-bl</t>
  </si>
  <si>
    <t>QU300-bm</t>
  </si>
  <si>
    <t>QU300-bn</t>
  </si>
  <si>
    <t>QU300-bo</t>
  </si>
  <si>
    <t>QU300-bp</t>
  </si>
  <si>
    <t>QU300-bq</t>
  </si>
  <si>
    <t>QU300-br</t>
  </si>
  <si>
    <t>QU300-bs</t>
  </si>
  <si>
    <t>QU300-bt</t>
  </si>
  <si>
    <t>QU300-bu</t>
  </si>
  <si>
    <t>QU300-bv</t>
  </si>
  <si>
    <t>QU300-bw</t>
  </si>
  <si>
    <t>QU300-bx</t>
  </si>
  <si>
    <t>QU300-by</t>
  </si>
  <si>
    <t>QU300-bz</t>
  </si>
  <si>
    <t>QU300-ca</t>
  </si>
  <si>
    <t>QU300-cb</t>
  </si>
  <si>
    <t>QU300-cc</t>
  </si>
  <si>
    <t>QU300-cd</t>
  </si>
  <si>
    <t>QU300-ce</t>
  </si>
  <si>
    <t>QU300-cf</t>
  </si>
  <si>
    <t>QU300-cg</t>
  </si>
  <si>
    <t>QU300-ch</t>
  </si>
  <si>
    <t>QU300-ci</t>
  </si>
  <si>
    <t>QU300-cj</t>
  </si>
  <si>
    <t>QU300-ck</t>
  </si>
  <si>
    <t>QU300-cl</t>
  </si>
  <si>
    <t xml:space="preserve">This worksheet spans cells A1 through to E7
</t>
  </si>
  <si>
    <t>Click Yes or No radio buttons in columns C or D with the response that applies. If you tick 'Yes', complete this section as the online form will open for you to complete. If 'No' is ticked, the section does not require completion.</t>
  </si>
  <si>
    <t>This worksheet spans cells A1 through to L468</t>
  </si>
  <si>
    <t>To ensure that figures input into the form have been rounded to the nearest £000, please review and confirm that the information in the table below is a true picture of your trust. Tick the box to confirm that the reported as figures  are a true reflection of your trusts figures and show the unrounded position (in the orange cells). If these figures are incorrect, please go to the relevant section to amend data input.
As with the online form, enter all monetary balances in rounded thousands £000s, not pounds and pence. For example, for £10,471.23 enter 10, but for £10,891.25 enter 11. Enter a six-figure amount like £453,678 as 454.
Note:</t>
  </si>
  <si>
    <t>This worksheet spans cells A1 to C23</t>
  </si>
  <si>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'Restricted fixed asset fund' excluding 'Fixed assets' both tangible and intangible and ‘Pension scheme liabilities’ in the Analysis of Net Assets Between Funds table.</t>
  </si>
  <si>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sum of the ‘Restricted Fund’ and ‘Unrestricted Fund’ in the Analysis of Net Assets Between Funds table and does not include capital funds or pension scheme liabilities. Closed trusts: If your trust is transferring out all revenue balances held, the balance in line 410 - Balance b/fwd from previous period should be zero from the point of transfer. </t>
  </si>
  <si>
    <r>
      <t xml:space="preserve">Academy UPIN
</t>
    </r>
    <r>
      <rPr>
        <sz val="12"/>
        <color theme="1"/>
        <rFont val="Arial"/>
        <family val="2"/>
      </rPr>
      <t>*Enter details in the highlighted fields below</t>
    </r>
  </si>
  <si>
    <r>
      <t xml:space="preserve">Academy Name
</t>
    </r>
    <r>
      <rPr>
        <sz val="12"/>
        <color theme="1"/>
        <rFont val="Arial"/>
        <family val="2"/>
      </rPr>
      <t>*Enter details in the highlighted fields below</t>
    </r>
  </si>
  <si>
    <r>
      <rPr>
        <b/>
        <sz val="12"/>
        <color theme="1"/>
        <rFont val="Arial"/>
        <family val="2"/>
      </rPr>
      <t>If you have selected Partially pooled - 'Some of the GAG is pooled and held in a central fund (partially pooled)', roughly what percentage (%) of this is pooled? Enter as a whole number in cell C16.</t>
    </r>
    <r>
      <rPr>
        <b/>
        <i/>
        <sz val="12"/>
        <color theme="1"/>
        <rFont val="Arial"/>
        <family val="2"/>
      </rPr>
      <t xml:space="preserve">
Follow the link in cell D16 to view the validations table.</t>
    </r>
  </si>
  <si>
    <t>Capital transfers and conversions 
(disclosure only)</t>
  </si>
  <si>
    <t>Instructions for filling in the workbook - manual input 
(no pre-population function used)</t>
  </si>
  <si>
    <t>Job title:</t>
  </si>
  <si>
    <t>For capital totals section, enter details in the fields highlighted yellow - cell G143 only.</t>
  </si>
  <si>
    <t>Trust revenue reserves total</t>
  </si>
  <si>
    <t>Total trust revenue reserves</t>
  </si>
  <si>
    <t xml:space="preserve">Capital totals </t>
  </si>
  <si>
    <t xml:space="preserve">Reserves totals </t>
  </si>
  <si>
    <t>Three year forecast summary</t>
  </si>
  <si>
    <r>
      <t>No of validations outstanding
(</t>
    </r>
    <r>
      <rPr>
        <i/>
        <sz val="11"/>
        <color theme="1"/>
        <rFont val="Arial"/>
        <family val="2"/>
      </rPr>
      <t>Blue field (B13) is calculated or pre-populated for you</t>
    </r>
    <r>
      <rPr>
        <sz val="12"/>
        <color theme="1"/>
        <rFont val="Arial"/>
        <family val="2"/>
      </rPr>
      <t>)</t>
    </r>
  </si>
  <si>
    <r>
      <t>No of validations outstanding
(</t>
    </r>
    <r>
      <rPr>
        <i/>
        <sz val="11"/>
        <color theme="1"/>
        <rFont val="Arial"/>
        <family val="2"/>
      </rPr>
      <t>Blue field (B22) is calculated or pre-populated for you</t>
    </r>
    <r>
      <rPr>
        <sz val="12"/>
        <color theme="1"/>
        <rFont val="Arial"/>
        <family val="2"/>
      </rPr>
      <t>)</t>
    </r>
  </si>
  <si>
    <r>
      <t xml:space="preserve">Enter details in yellow cells in column B - cells B5 to B11
</t>
    </r>
    <r>
      <rPr>
        <i/>
        <sz val="11"/>
        <color theme="1"/>
        <rFont val="Arial"/>
        <family val="2"/>
      </rPr>
      <t>(Please enter your contact details so the DfE can contact you if there are any questions)</t>
    </r>
    <r>
      <rPr>
        <sz val="12"/>
        <color theme="1"/>
        <rFont val="Arial"/>
        <family val="2"/>
      </rPr>
      <t>.</t>
    </r>
  </si>
  <si>
    <t>This worksheet spans cells A1 to C14.</t>
  </si>
  <si>
    <t>Enter details in the fields below</t>
  </si>
  <si>
    <t>Enter details in the fields highlighted yellow in columns H and I.</t>
  </si>
  <si>
    <t>Enter details in the fields highlighted yellow in columns G, H and I.</t>
  </si>
  <si>
    <t>For Pupil numbers, enter details in the fields highlighted yellow in Columns I,  M, &amp; Q.</t>
  </si>
  <si>
    <t>For sections 1 and 2, enter details in the fields highlighted yellow in columns G, I, K, M, O &amp; Q.</t>
  </si>
  <si>
    <t>For section 3, enter details in the fields highlighted yellow or cell G84.</t>
  </si>
  <si>
    <t>For section 4, enter details in the fields highlighted yellow in columns G, I, K, M, O &amp; Q.</t>
  </si>
  <si>
    <t>For section 5, enter details in the fields highlighted yellow in Columns G, I, K, M, O &amp; Q and cell G142.</t>
  </si>
  <si>
    <t>Enter details in the fields highlighted yellow in columns G, I, K, M, O &amp; Q.</t>
  </si>
  <si>
    <t>Enter details in the fields highlighted yellow in Columns G, H, K, L, M, O and P.</t>
  </si>
  <si>
    <t>Enter details in the fields highlighted yellow in Columns G, I, K, M, O and Q.</t>
  </si>
  <si>
    <t>For line 725, enter details in the fields highlighted yellow in Columns G, H, K, L M, O &amp; P.</t>
  </si>
  <si>
    <t>For line 730, enter details in the fields highlighted yellow in Columns G, H, K, L, O &amp; P.</t>
  </si>
  <si>
    <t>For line 785, enter details in the fields highlighted yellow in cells G176, H176, K176, L176,  M176 and O176.</t>
  </si>
  <si>
    <t>For line 780, enter details in the field highlighted yellow in cells G174.</t>
  </si>
  <si>
    <t>For section 7, enter details in the fields highlighted yellow in Columns G, H, K, L, M, O and P.</t>
  </si>
  <si>
    <t>Land &amp; buildings donated to the trust by the DfE (SRP/PSPB/Free Schools Programme)</t>
  </si>
  <si>
    <t xml:space="preserve">Include any expenditure that is funded by other capital grants (not the DfE family) include lottery funding, Sport England, Local Authorities, The Football Association. If your trust has had any major maintenance work completed that has been capitalised, </t>
  </si>
  <si>
    <t>Enter details in the cells highlighted yellow in B19 to D25</t>
  </si>
  <si>
    <t>Enter details in field highlighted yellow (Cell B13 to C13)</t>
  </si>
  <si>
    <r>
      <rPr>
        <b/>
        <sz val="12"/>
        <rFont val="Arial"/>
        <family val="2"/>
      </rPr>
      <t>Pre-population Type:</t>
    </r>
    <r>
      <rPr>
        <sz val="12"/>
        <rFont val="Arial"/>
        <family val="2"/>
      </rPr>
      <t xml:space="preserve">
In cell B5, enter 'BFR', or leave blank.</t>
    </r>
  </si>
  <si>
    <t>This year if you choose to, you can pre-populate prior year data in your workbook using the prior year's BFR report</t>
  </si>
  <si>
    <t>This is the gross GAG figure as shown on the trust's GAG funding statement and the post 16 allocation statement. Exclude any deductions for the RPA Scheme (insurance scheme), loan repayments or the Academy post 16-19 bursary funding.</t>
  </si>
  <si>
    <t>Capital donation of assets from the DfE for the School Rebuilding Programme (SRP)/PSBP/Free Schools Programme</t>
  </si>
  <si>
    <t xml:space="preserve">Step 8: Only if applicable - fill in the 'reserve balance details' tab. See cell A7 on the 'reserve balance questions' tab to determine your revenue reserves in line 430 - Balance c/f 31 Aug 26 as a % of your total revenue income for 2025/2026. If your revenue reserves ratio is 20% or more, then you need to complete this section and answer the series of questions around reserves for contingency and the remaining reserves plan. 
See further detailed instructions on the 'reserve balance details' tab to determine if your trust has triggered this tab and needs to complete the requested information. </t>
  </si>
  <si>
    <t>VALIDATION NO LONGER IN USE</t>
  </si>
  <si>
    <t>OK</t>
  </si>
  <si>
    <t>Tick box</t>
  </si>
  <si>
    <t>SP: Teaching School Hub: Staff costs - direct</t>
  </si>
  <si>
    <t>SP: Teaching School Hub: Staff costs - support</t>
  </si>
  <si>
    <t>SP: Non-educ contracts: Occupational Health</t>
  </si>
  <si>
    <t>SP: Administration: Admin ICT</t>
  </si>
  <si>
    <t>SP: Teaching School Hub: Staff Development</t>
  </si>
  <si>
    <t>SP: Teaching School Hub: Other Direct costs</t>
  </si>
  <si>
    <t>SP: Teaching School Hub: Technology costs</t>
  </si>
  <si>
    <t>SP: Teaching School Hub: Recruitment and support</t>
  </si>
  <si>
    <t>SP: Teaching School Hub: Security and support</t>
  </si>
  <si>
    <t>SP: Teaching School Hub: Governance costs</t>
  </si>
  <si>
    <t>SP: Teaching School Hub: Other support costs</t>
  </si>
  <si>
    <t>SP: Teaching School Hub: Depr'n</t>
  </si>
  <si>
    <t>There are 2 tabs in this workbook that will help you navigate around this workbook and navigate to the various BFR guidances in gov.uk website</t>
  </si>
  <si>
    <t xml:space="preserve">This worksheet spans cells A1 through to B69
</t>
  </si>
  <si>
    <t xml:space="preserve">What tabs do I need to complete?
You need to complete this section if your trust has a positive revenue reserves ratio less than 20%. See cell A7 below to determine your revenue reserves in line 430 - Balance carried forward 31 Aug 26 as a % of your total revenue income for 2025/2026 and if you need to complete this tab.
Reserves ratio: 0% or under - neither reserve balance questions tab or reserve balance details tab need to be completed - skip to the summary declaration tab.
Reserves ratio: more than 0% but less than 20% - complete the reserve balance questions tab only (this tab) then go to the summary declaration tab. 
Reserves ratio: 20% or higher - navigate to the revenue reserve balance details tab (next tab) and complete the section. You do not need to complete this tab (reserve balance questions) if your reserve ratio is 20% or above in cell A7. Once you've completed the revenue reserve balance details tab, then move to the summary declaration tab.
</t>
  </si>
  <si>
    <r>
      <rPr>
        <b/>
        <sz val="12"/>
        <color theme="1"/>
        <rFont val="Arial"/>
        <family val="2"/>
      </rPr>
      <t>Instructions:</t>
    </r>
    <r>
      <rPr>
        <sz val="12"/>
        <color theme="1"/>
        <rFont val="Arial"/>
        <family val="2"/>
      </rPr>
      <t xml:space="preserve">
- download prior year report 
- copy the whole report within print margins - (columns A to K)
- place your curser in column B (in this tab) to highlight the whole column, and 
- paste special values
The report will be pasted onto columns B to L (section highlighted yellow) - with merged cells removed for you.
*Do not overwrite any data in column A - (highlighted blue)</t>
    </r>
  </si>
  <si>
    <t>Version control - 2026</t>
  </si>
  <si>
    <t xml:space="preserve">There is 1 tab in this workbook that is OPTIONAL. You can use it if you are using the pre-population function, see instructions below: </t>
  </si>
  <si>
    <t xml:space="preserve">Instructions for pre-populating the workbook with the prior year BFR report </t>
  </si>
  <si>
    <t xml:space="preserve">    • Instructions for pre-populating the workbook with the prior year BFR report </t>
  </si>
  <si>
    <r>
      <rPr>
        <i/>
        <sz val="12"/>
        <color rgb="FF104F75"/>
        <rFont val="Arial"/>
        <family val="2"/>
      </rPr>
      <t xml:space="preserve">    • </t>
    </r>
    <r>
      <rPr>
        <i/>
        <u/>
        <sz val="12"/>
        <color rgb="FF104F75"/>
        <rFont val="Arial"/>
        <family val="2"/>
      </rPr>
      <t>Guidance links tab (takes you to gov.uk guidances and tools and will open on different windows)</t>
    </r>
  </si>
  <si>
    <r>
      <rPr>
        <i/>
        <sz val="12"/>
        <color rgb="FF104F75"/>
        <rFont val="Arial"/>
        <family val="2"/>
      </rPr>
      <t xml:space="preserve">    • </t>
    </r>
    <r>
      <rPr>
        <i/>
        <u/>
        <sz val="12"/>
        <color rgb="FF104F75"/>
        <rFont val="Arial"/>
        <family val="2"/>
      </rPr>
      <t>Index tab (provides a contents lists with links to help you navigate around this workbook)</t>
    </r>
  </si>
  <si>
    <t>N/A</t>
  </si>
  <si>
    <t>Include any remaining non-GAG grants receivable. This includes: Inclusive mainstream fund for special educational needs and disabilities (SEND) (2026 to 2027), and any other grants from the DfE not included in lines 101-138.</t>
  </si>
  <si>
    <t>Free School Meals</t>
  </si>
  <si>
    <t>Include all revenue received from trading activities such as hall hire, catering, rental income, breakfast and after school clubs (excluding DfE funded), parental contributions, staff secondments outside of the trust and insurance claims.</t>
  </si>
  <si>
    <t>Net transfer between revenue and capital. This should be the planned transfer from revenue reserves or income to the capital budget to spend on capital items. This should normally be a negative figure. However, occasionally a capital grant is spent as per the grant conditions, but the expense has been classified as revenue (for example, maintenance and general repairs). In this case you may need to make a transfer from capital to revenue, creating a positive transfer to revenue from capital (i.e. negative balancing line 585).</t>
  </si>
  <si>
    <t xml:space="preserve">Disposal proceeds only. Include the value of any capital proceeds that are available to re-invest. </t>
  </si>
  <si>
    <t>For any academies leaving your trust you must enter the value of capital reserves balances transferred from trust as a negative number in line 639 – (see lines 212 and 350 in the revenue section of the form to record any revenue reserve balance transfers)</t>
  </si>
  <si>
    <t>For any academies joining your trust you must enter the value of capital reserves balances transferred to your trust as a positive number in line 573 – (see lines 212 and 350 in the revenue section of the form to record any revenue reserve balance transfers)</t>
  </si>
  <si>
    <t>When you have a school convert to become an academy from an LA, your trust will need to reflect the value of the associated land and buildings as both an expense and as a grant to reflect the fund accounting for this donation. Your trust's BFR must include the value of capital income (same amount as the one entered in line 575 - Local authority donated assets). This is the value of the newly converted school’s land and buildings (capital assets at net book value) from the local authorities upon conversion. This value should then be reflected in line your BFR line 572. You should also include the value of capital expenditure (same amount as the one entered in line 606 - Local authority donated assets expense)
The entries in 575 and 606 must offset each other as it is to reflect the donation in a neutral way to your trust’s capital position. 
The entry used in 575 should also be added to the disclosure note in line 572. This wider disclosure note is to help trusts check that they have included all necessary conversions, joiners, and leavers from their trust.</t>
  </si>
  <si>
    <r>
      <t xml:space="preserve">Where is your trust currently on the reserves planning cycle?
</t>
    </r>
    <r>
      <rPr>
        <i/>
        <sz val="12"/>
        <color rgb="FF000000"/>
        <rFont val="Arial"/>
        <family val="2"/>
      </rPr>
      <t>(select 1 (one) option from the below by ticking one of the boxes in cells B11 - B15)</t>
    </r>
  </si>
  <si>
    <t>Describe how you have calculated the level of reserves you need to hold for contingency.</t>
  </si>
  <si>
    <t>Reserves held for this purpose
(in rounded thousands)
£'000</t>
  </si>
  <si>
    <t>Planned spend of reserves held for this purpose in the 26/27 academic year
(in rounded thousands)
£'000</t>
  </si>
  <si>
    <t xml:space="preserve">
Provide more detail and context of your plans for each category used, including any issues that may disrupt planned spend of held reserves in the 26/27 academic year.</t>
  </si>
  <si>
    <r>
      <rPr>
        <b/>
        <sz val="12"/>
        <rFont val="Arial"/>
        <family val="2"/>
      </rPr>
      <t>Pupil and curriculum provision</t>
    </r>
    <r>
      <rPr>
        <sz val="12"/>
        <rFont val="Arial"/>
        <family val="2"/>
      </rPr>
      <t xml:space="preserve">
This would include plans to spend reserves on ensuring pupils have the right skills and knowledge to thrive in a changing world through investment in curriculum - both delivery of new qualifications and enhancing the delivery of existing curriculum - or additional pupil-focused staff support or equipment to deliver inclusive support for all abilities.
Reserves planned to support large-scale capital investment required to better support pupil and curriculum provision should </t>
    </r>
    <r>
      <rPr>
        <b/>
        <sz val="12"/>
        <rFont val="Arial"/>
        <family val="2"/>
      </rPr>
      <t>not</t>
    </r>
    <r>
      <rPr>
        <sz val="12"/>
        <rFont val="Arial"/>
        <family val="2"/>
      </rPr>
      <t xml:space="preserve"> be captured here - but in one of the two specific categories designed to capture these types of works. 
Plans to hold reserves in view of known demographic change affecting specific schools in the trust should </t>
    </r>
    <r>
      <rPr>
        <b/>
        <sz val="12"/>
        <rFont val="Arial"/>
        <family val="2"/>
      </rPr>
      <t>not</t>
    </r>
    <r>
      <rPr>
        <sz val="12"/>
        <rFont val="Arial"/>
        <family val="2"/>
      </rPr>
      <t xml:space="preserve"> be captured here but within 'Finance and strategy'
</t>
    </r>
  </si>
  <si>
    <r>
      <rPr>
        <b/>
        <sz val="12"/>
        <rFont val="Arial"/>
        <family val="2"/>
      </rPr>
      <t>Staff provision</t>
    </r>
    <r>
      <rPr>
        <sz val="12"/>
        <rFont val="Arial"/>
        <family val="2"/>
      </rPr>
      <t xml:space="preserve">
This will include reserves held to support plans to deliver workforce organisation, development and transformation, including: 
-the recruitment, management and development of staff within the trust for example planned training commitments, inset days, leadership scheme
- improving workplace experience
- provision for pay awards and other enhancements to terms and conditions
- expanding staffing due to increasing the numbers of pupil on roll
Plans to fund staffing costs resulting from expanding or improving pupil and curriculum provision should </t>
    </r>
    <r>
      <rPr>
        <b/>
        <sz val="12"/>
        <rFont val="Arial"/>
        <family val="2"/>
      </rPr>
      <t>not</t>
    </r>
    <r>
      <rPr>
        <sz val="12"/>
        <rFont val="Arial"/>
        <family val="2"/>
      </rPr>
      <t xml:space="preserve"> be captured here. They should be captured in the 'Pupil and curriculum provision' category.</t>
    </r>
  </si>
  <si>
    <r>
      <rPr>
        <b/>
        <sz val="12"/>
        <rFont val="Arial"/>
        <family val="2"/>
      </rPr>
      <t>Finance and strategy</t>
    </r>
    <r>
      <rPr>
        <sz val="12"/>
        <rFont val="Arial"/>
        <family val="2"/>
      </rPr>
      <t xml:space="preserve">
This could include the cost of plans to develop school improvement strategies, investments into central services to improve delivery, funds to offset planned in-year deficits in future years so you can set a balanced budget, paying back longer-term liabilities, or the holding of reserves to manage longer-term demographic change (i.e. falling/rising pupil numbers)
</t>
    </r>
  </si>
  <si>
    <t>This worksheet spans cells A1 through F27, with essential separation rows for clarity.</t>
  </si>
  <si>
    <r>
      <t xml:space="preserve">What percentage (%) of income does your trust reserves policy aim to hold as a contingency?
</t>
    </r>
    <r>
      <rPr>
        <i/>
        <sz val="12"/>
        <rFont val="Arial"/>
        <family val="2"/>
      </rPr>
      <t xml:space="preserve">(Enter a number in cell B9)
</t>
    </r>
    <r>
      <rPr>
        <sz val="12"/>
        <rFont val="Arial"/>
        <family val="2"/>
      </rPr>
      <t>This should be in line with your reserves policy as approved by trustees as being appropriate to hold to cover any additional costs/falls in income that could not reasonably be planned for, and where there is no active plan to use those reserves in the next academic year.</t>
    </r>
  </si>
  <si>
    <t>• Reserve levels are materially below the agreed level in the trust’s policy for contingency and our priority is to build up to this</t>
  </si>
  <si>
    <t>• Holding the agreed level of reserves in line with the trust’s policy , with no additional strategic priorities requiring an increase or decrease in reserves levels in the future.</t>
  </si>
  <si>
    <t xml:space="preserve">• Trust reviewing strategic priorities and agreeing priorities for the short, medium and longer term, which could see reserves levels need to increase or decrease in the future. </t>
  </si>
  <si>
    <t>• Actively increasing the reserves levels to address the trust’s strategic priorities in the future (e.g. premises improvements, digital updates, curriculum investment etc)</t>
  </si>
  <si>
    <t xml:space="preserve">• Actively using the reserves to deliver the trust’s strategic priorities (e.g. premises improvements, digital updates, curriculum investment etc), which will see reserves levels decrease. </t>
  </si>
  <si>
    <t>Reserves held now for this purpose fully spent by 31 August 2027</t>
  </si>
  <si>
    <t>Reserves held now for this purpose fully spent by 31 August 2028</t>
  </si>
  <si>
    <t>Reserves held now for this purpose will not be fully spent until AY 28/29 or beyond</t>
  </si>
  <si>
    <r>
      <t xml:space="preserve">What are the areas where you will spend your reserves that are currently held above contingency and when will they be spent?
</t>
    </r>
    <r>
      <rPr>
        <i/>
        <sz val="12"/>
        <rFont val="Arial"/>
        <family val="2"/>
      </rPr>
      <t xml:space="preserve">(Select </t>
    </r>
    <r>
      <rPr>
        <b/>
        <i/>
        <sz val="12"/>
        <rFont val="Arial"/>
        <family val="2"/>
      </rPr>
      <t>only 1</t>
    </r>
    <r>
      <rPr>
        <i/>
        <sz val="12"/>
        <rFont val="Arial"/>
        <family val="2"/>
      </rPr>
      <t xml:space="preserve"> (one) per period column for each of the reserve plan categories by ticking the relevant tick boxes in B19 to D25)</t>
    </r>
  </si>
  <si>
    <r>
      <rPr>
        <b/>
        <sz val="12"/>
        <rFont val="Arial"/>
        <family val="2"/>
      </rPr>
      <t>Pupil and curriculum provision</t>
    </r>
    <r>
      <rPr>
        <sz val="12"/>
        <rFont val="Arial"/>
        <family val="2"/>
      </rPr>
      <t xml:space="preserve">
This would include plans to spend reserves on ensuring pupils have the right skills and knowledge to thrive in a changing world through investment in curriculum - both delivery of new qualifications and enhancing the delivery of existing curriculum - or additional pupil-focused staff support or equipment to deliver inclusive support for all abilities.
Reserves planned to support large-scale capital investment required to better support pupil and curriculum provision should </t>
    </r>
    <r>
      <rPr>
        <b/>
        <sz val="12"/>
        <rFont val="Arial"/>
        <family val="2"/>
      </rPr>
      <t>not</t>
    </r>
    <r>
      <rPr>
        <sz val="12"/>
        <rFont val="Arial"/>
        <family val="2"/>
      </rPr>
      <t xml:space="preserve"> be captured here - but in one of the two specific categories designed to capture these types of works. 
Plans to hold reserves in view of known demographic change affecting specific schools in the trust should not be captured here but within 'Finance and strategy'
</t>
    </r>
  </si>
  <si>
    <r>
      <rPr>
        <b/>
        <sz val="12"/>
        <rFont val="Arial"/>
        <family val="2"/>
      </rPr>
      <t>Staff provision</t>
    </r>
    <r>
      <rPr>
        <sz val="12"/>
        <rFont val="Arial"/>
        <family val="2"/>
      </rPr>
      <t xml:space="preserve">
This will include reserves held to support plans to deliver workforce organisation, development and transformation, including: 
-the recruitment, management and development of staff within the trust for example planned training commitments, inset days, leadership scheme
- improving workplace experience
- provision for pay awards and other enhancements to terms and conditions
- expanding staffing due to increasing the numbers of pupil on roll
Plans to fund staffing costs resulting from expanding or improving pupil and curriculum provision should </t>
    </r>
    <r>
      <rPr>
        <b/>
        <sz val="12"/>
        <rFont val="Arial"/>
        <family val="2"/>
      </rPr>
      <t>not</t>
    </r>
    <r>
      <rPr>
        <sz val="12"/>
        <rFont val="Arial"/>
        <family val="2"/>
      </rPr>
      <t xml:space="preserve"> be captured here. They should be captured in the 'Pupil and curriculum provision' category.
</t>
    </r>
  </si>
  <si>
    <t>This worksheet spans cells A1 through D25, with essential separation rows for clarity.</t>
  </si>
  <si>
    <r>
      <t xml:space="preserve">
</t>
    </r>
    <r>
      <rPr>
        <b/>
        <sz val="12"/>
        <rFont val="Arial"/>
        <family val="2"/>
      </rPr>
      <t>Not applicable</t>
    </r>
    <r>
      <rPr>
        <sz val="12"/>
        <rFont val="Arial"/>
        <family val="2"/>
      </rPr>
      <t xml:space="preserve"> (100% reserves allocated to contingency)
</t>
    </r>
  </si>
  <si>
    <t xml:space="preserve">This worksheet spans cells A1 through to B14
</t>
  </si>
  <si>
    <t xml:space="preserve">This option will enable you to pre-populate with last year's BFR data, detailing the figures from Sept 2024 - Mar 2025 from your prior year's BFR download report. The report can be downloaded by logging into the BFR online form once open. 
</t>
  </si>
  <si>
    <t xml:space="preserve">Only include Academy post 16-19 bursary fund - this is the fund to help keep students in education. </t>
  </si>
  <si>
    <t>Sponsor Capacity Grant (now withdrawn, a legacy grant only now)</t>
  </si>
  <si>
    <t>This should be in line with your reserves policy as approved by trustees as being appropriate to hold to cover any additional costs/falls in income that could not reasonably be planned for, and where there is no active plan to use those reserves in the next academic year.
Enter all financial data using rounded thousands £'000. For example, for £100,000 enter £100.</t>
  </si>
  <si>
    <r>
      <t xml:space="preserve">
</t>
    </r>
    <r>
      <rPr>
        <b/>
        <sz val="12"/>
        <rFont val="Arial"/>
        <family val="2"/>
      </rPr>
      <t>Category</t>
    </r>
    <r>
      <rPr>
        <sz val="12"/>
        <rFont val="Arial"/>
        <family val="2"/>
      </rPr>
      <t xml:space="preserve">
(Enter all financial data in rounded thousands £'000. For example, for £100,000 enter £100)</t>
    </r>
  </si>
  <si>
    <t>Capital donation of assets from the DfE for the School Rebuilding Programme (SRP) previously called PSBP/Free Schools Programme</t>
  </si>
  <si>
    <t xml:space="preserve">This workbook is designed to help you prepare for the online BFR return. You can use the workbook to process and validate information before completing the online return. To submit your return, you will need to log in to the online form and complete the BFR once open:
</t>
  </si>
  <si>
    <t>Universal infant free school meals</t>
  </si>
  <si>
    <t>Include any additional funding you receive from universal infant free school meals (UIFSM). This provides funding for all government funded schools to offer free school meals to pupils in reception, year 1 and year 2. For the 2026-2027 year onwards, you should include any funding received from the ‘Free school meals (FSM) expansion’ grant for all children in households receiving Universal Credit.</t>
  </si>
  <si>
    <t>Include any additional funding from the Sponsor Capacity Grant, as per the grant determination. The grant has now been withdrawn. This line will be removed for the BFR 2027.</t>
  </si>
  <si>
    <t>For disclosure only: Include any expenditure that relates to building repair &amp; maintenance / building improvements that have not been capitalised. This could include: general maintenance, and repairs to the building. Only include costs in here that have not been capitalised and have not been added to the trusts balance sheet as a fixed asset. You do not need to alter line 378, as this line (379) is a disclosure only and any repair and maintenance costs within 378 will not be double counted. 
If your trust is entirely church owned or has some church academies, you should only include spend on building repairs and maintenance or building improvements that your trust has paid for. You should not include it in line 378 or 379 if your diocese has paid for this work.</t>
  </si>
  <si>
    <t>Enter the value of any capital grants from DfE family bodies, such as the Teaching Regulation Agency (TRA), Standards Testing Agency (STA), Office of Children’s Commissioner (OCC), Student Loans company (SLC), and Office for Students (OfS).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</si>
  <si>
    <t xml:space="preserve">Enter all figures here and on the online form in rounded thousands (£'000), except for line 999 pupil numbers where actuals should be input. Lines 3900 and 3950 for your trusts applied pay award % increase should be entered as a percentage (%) up to a maximum of 3 decimal places.
FQ6 (finance questions section), and QU379 (non-staff costs section) if triggered, is a percentage (%) input to the nearest whole number. The reserves and contingency question in the 'Reserve balance questions' tab must also be entered as a percentage (%).
Prior year BFR download report pre-population
If you are pre-populating based on your prior year's BFR download report then you should enter data in the 'Total 2024/25' column onwards. To do this, enter the figures into the 'Total 2024/25' yellow columns and onwards. Do not overtype formulae in the columns highlighted in blue. </t>
  </si>
  <si>
    <t xml:space="preserve">Step 7: Only if applicable - fill in the 'reserve balance questions' tab. See cell A7 on the 'reserve balance questions' tab to determine your revenue reserves in line 430 - Balance carried forward 31 Aug 26 as a % of your total revenue income for 2025/2026. If your trust has a revenue reserve ratio of 0% or under, neither the reserve balance questions tab or reserve balance details tab need to be completed and you can skip to the summary declaration tab. 
If your trust has a positive revenue reserves ratio less than 20% then you need to complete this section and answer the series of questions around reserves for contingency, reserves cycle, and priority areas.
See further detailed instructions on the 'reserve balance questions' tab to determine if your trust has triggered this tab and needs to complete the requested information. </t>
  </si>
  <si>
    <t xml:space="preserve">Step 6: Only if applicable - fill in the 'reserve balance details' tab. See cell A7 on the 'reserve balance details' tab to determine your revenue reserves in line 430 - Balance c/f 31 Aug 26 as a % of your total revenue income for 2025/2026. If your revenue reserves ratio is 20% or more, then you'll need to complete the reserve balance details tab and answer the  questions around reserves for contingency and the remaining reserves plan. 
See further detailed instructions on the 'reserve balance details' tab to determine if your trust has triggered this tab and needs to complete the requested information. </t>
  </si>
  <si>
    <t xml:space="preserve">Step 5: Only if applicable - fill in the 'reserve balance questions' tab. See cell A7 on the 'reserve balance questions' tab to determine your revenue reserves in line 430 - Balance carried forward 31 Aug 26 as a % of your total revenue income for 2025/2026. If your trust has a revenue reserve ratio of 0% or under, neither the reserve balance questions tab or reserve balance details tab need to be completed and you can skip to the summary declaration tab. 
If your trust has a positive revenue reserves ratio less than 20%, you'll need to complete the reserve balance questions tab and answer the questions around reserves for contingency, reserves cycle, and priority areas.
See further detailed instructions on the 'reserve balance questions' tab to determine if your trust has triggered this tab and what information you need to provide. </t>
  </si>
  <si>
    <t xml:space="preserve">This should only be used for grants from the DfE family, including Teaching Regulation Agency (TRA), Standards and Testing Agency (STA), Office of the Children’s Commissioner, Student Loans Company (SLC), Office for Students (OfS), for both the Engineering Construction Industry Training Board (ECITB) and Construction Industry Training Board (CITB) - these two grant bodies should only be included in this line if the grant was received before 1 April 2026. If it was received afterwards record this in line 205 instead. </t>
  </si>
  <si>
    <t>Include all revenue grants receivable from other government sources (exclude DfE, other bodies within the DfE family and local authority) that are not included in the lines above. Line 205 should include, but is not limited to, grants receivable from any government funding (excluding DfE and local authority) intended to promote access and opportunity for minority ethnic pupils in support of English as an additional language or as part of a wider focus on raising attainment. For both the Engineering Construction Industry Training Board (ECITB) and Construction Industry Training Board (CITB) - these two grant bodies should only be included in this line if the grant was received after 1 April 2026. If it was received before this date record this in line 150 instead.</t>
  </si>
  <si>
    <t>Include any other government capital grants received that are not included in the above lines. Specify which government body the grants are from in the comments column. Record grants received from the Engineering Construction Industry Training Board (ECITB), and the Construction Industry Training Board (CITB) prior to 1 April 2026 in line 540. If you receive any grant from these bodies from 1 April 2026 onwards, you must now record this is line 571.</t>
  </si>
  <si>
    <t xml:space="preserve">    • reserve balance details (under 20%) OR reserve balance questions (20% or over)</t>
  </si>
  <si>
    <t>Include the value of any asset that has been transferred, or due to be transferred from the DfE to the trust where the DfE has procured the capital works centrally under the School Rebuilding Programme (SRP),  previously called the 'Priority Schools Building Programme (PSBP)', or Free Schools Programme. This should equal row 605.</t>
  </si>
  <si>
    <t xml:space="preserve">Step 5: Select columns A-K from your historic return overview report that you downloaded in step 4. Paste special values columns A-K from your historic return overview report into column B of the 'prior year BFR download report' tab (do not overwrite column A in this tab). The prior year actuals for Sept 2024 - Mar 2025 will now be populated within the 'BFR 2026' tab. </t>
  </si>
  <si>
    <t>V2.2</t>
  </si>
  <si>
    <t>BFR 2026</t>
  </si>
  <si>
    <t>Trust revenue reserves</t>
  </si>
  <si>
    <t>Removed note on cell D205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</si>
</sst>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_-;[Red]\-* #,##0_-;_-* &quot;-&quot;??_-;_-@_-"/>
    <numFmt numFmtId="166" formatCode="00000000000"/>
    <numFmt numFmtId="167" formatCode="#,##0;\-#,##0;\-"/>
    <numFmt numFmtId="168" formatCode="_-[$£-809]* #,##0_-;\-[$£-809]* #,##0_-;_-[$£-809]* &quot;-&quot;_-;_-@_-"/>
    <numFmt numFmtId="169" formatCode="#,##0_ ;\-#,##0\ "/>
    <numFmt numFmtId="170" formatCode="0.0%"/>
  </numFmts>
  <fonts count="104" x14ac:knownFonts="1">
    <font>
      <sz val="11"/>
      <color theme="1"/>
      <name val="Calibri"/>
      <family val="2"/>
      <scheme val="minor"/>
    </font>
    <font>
      <sz val="12"/>
      <color theme="1"/>
      <name val="Arial"/>
      <family val="2"/>
    </font>
    <font>
      <sz val="11"/>
      <color theme="1"/>
      <name val="Calibri"/>
      <family val="2"/>
      <scheme val="minor"/>
    </font>
    <font>
      <sz val="14"/>
      <color theme="1"/>
      <name val="Calibri"/>
      <family val="2"/>
      <scheme val="minor"/>
    </font>
    <font>
      <sz val="12"/>
      <color theme="1"/>
      <name val="Arial"/>
      <family val="2"/>
    </font>
    <font>
      <sz val="14"/>
      <name val="Calibri"/>
      <family val="2"/>
      <scheme val="minor"/>
    </font>
    <font>
      <sz val="9"/>
      <color indexed="81"/>
      <name val="Tahoma"/>
      <family val="2"/>
    </font>
    <font>
      <sz val="12"/>
      <color theme="1"/>
      <name val="Calibri"/>
      <family val="2"/>
      <scheme val="minor"/>
    </font>
    <font>
      <u/>
      <sz val="11"/>
      <color theme="10"/>
      <name val="Calibri"/>
      <family val="2"/>
      <scheme val="minor"/>
    </font>
    <font>
      <sz val="8"/>
      <name val="Calibri"/>
      <family val="2"/>
      <scheme val="minor"/>
    </font>
    <font>
      <u/>
      <sz val="12"/>
      <color theme="10"/>
      <name val="Arial"/>
      <family val="2"/>
    </font>
    <font>
      <sz val="16"/>
      <color theme="1"/>
      <name val="Calibri"/>
      <family val="2"/>
      <scheme val="minor"/>
    </font>
    <font>
      <sz val="12"/>
      <color indexed="81"/>
      <name val="Arial"/>
      <family val="2"/>
    </font>
    <font>
      <b/>
      <sz val="15"/>
      <color theme="3"/>
      <name val="Calibri"/>
      <family val="2"/>
      <scheme val="minor"/>
    </font>
    <font>
      <b/>
      <sz val="13"/>
      <color theme="3"/>
      <name val="Calibri"/>
      <family val="2"/>
      <scheme val="minor"/>
    </font>
    <font>
      <b/>
      <sz val="11"/>
      <color theme="3"/>
      <name val="Calibri"/>
      <family val="2"/>
      <scheme val="minor"/>
    </font>
    <font>
      <b/>
      <sz val="28"/>
      <color theme="1"/>
      <name val="Calibri"/>
      <family val="2"/>
      <scheme val="minor"/>
    </font>
    <font>
      <sz val="18"/>
      <color theme="3"/>
      <name val="Calibri Light"/>
      <family val="2"/>
      <scheme val="major"/>
    </font>
    <font>
      <sz val="12"/>
      <name val="Arial"/>
      <family val="2"/>
    </font>
    <font>
      <sz val="14"/>
      <color theme="1"/>
      <name val="Arial"/>
      <family val="2"/>
    </font>
    <font>
      <b/>
      <u/>
      <sz val="11"/>
      <color rgb="FF0070C0"/>
      <name val="Arial"/>
      <family val="2"/>
    </font>
    <font>
      <sz val="14"/>
      <color theme="5" tint="0.79998168889431442"/>
      <name val="Arial"/>
      <family val="2"/>
    </font>
    <font>
      <b/>
      <sz val="14"/>
      <color rgb="FF000000"/>
      <name val="Arial"/>
      <family val="2"/>
    </font>
    <font>
      <sz val="11"/>
      <color theme="1"/>
      <name val="Arial"/>
      <family val="2"/>
    </font>
    <font>
      <b/>
      <sz val="20"/>
      <color theme="3"/>
      <name val="Arial"/>
      <family val="2"/>
    </font>
    <font>
      <sz val="14"/>
      <name val="Arial"/>
      <family val="2"/>
    </font>
    <font>
      <b/>
      <sz val="14"/>
      <name val="Arial"/>
      <family val="2"/>
    </font>
    <font>
      <sz val="16"/>
      <color theme="1"/>
      <name val="Arial"/>
      <family val="2"/>
    </font>
    <font>
      <b/>
      <sz val="22"/>
      <name val="Arial"/>
      <family val="2"/>
    </font>
    <font>
      <sz val="12"/>
      <color rgb="FF000000"/>
      <name val="Arial"/>
      <family val="2"/>
    </font>
    <font>
      <b/>
      <sz val="28"/>
      <name val="Arial"/>
      <family val="2"/>
    </font>
    <font>
      <b/>
      <sz val="12"/>
      <name val="Arial"/>
      <family val="2"/>
    </font>
    <font>
      <b/>
      <sz val="12"/>
      <color rgb="FF000000"/>
      <name val="Arial"/>
      <family val="2"/>
    </font>
    <font>
      <u/>
      <sz val="12"/>
      <color rgb="FF104F75"/>
      <name val="Arial"/>
      <family val="2"/>
    </font>
    <font>
      <b/>
      <sz val="12"/>
      <color theme="1"/>
      <name val="Arial"/>
      <family val="2"/>
    </font>
    <font>
      <b/>
      <sz val="12"/>
      <color rgb="FFFF0000"/>
      <name val="Arial"/>
      <family val="2"/>
    </font>
    <font>
      <sz val="28"/>
      <color theme="1"/>
      <name val="Arial"/>
      <family val="2"/>
    </font>
    <font>
      <b/>
      <sz val="22"/>
      <color rgb="FF000000"/>
      <name val="Arial"/>
      <family val="2"/>
    </font>
    <font>
      <sz val="22"/>
      <color theme="1"/>
      <name val="Arial"/>
      <family val="2"/>
    </font>
    <font>
      <b/>
      <sz val="36"/>
      <name val="Arial"/>
      <family val="2"/>
    </font>
    <font>
      <sz val="14"/>
      <color rgb="FFFF0000"/>
      <name val="Arial"/>
      <family val="2"/>
    </font>
    <font>
      <sz val="28"/>
      <name val="Arial"/>
      <family val="2"/>
    </font>
    <font>
      <b/>
      <sz val="28"/>
      <color theme="1"/>
      <name val="Arial"/>
      <family val="2"/>
    </font>
    <font>
      <u/>
      <sz val="14"/>
      <color theme="10"/>
      <name val="Arial"/>
      <family val="2"/>
    </font>
    <font>
      <b/>
      <sz val="14"/>
      <color theme="1"/>
      <name val="Arial"/>
      <family val="2"/>
    </font>
    <font>
      <sz val="11"/>
      <name val="Arial"/>
      <family val="2"/>
    </font>
    <font>
      <i/>
      <sz val="11"/>
      <color theme="1"/>
      <name val="Arial"/>
      <family val="2"/>
    </font>
    <font>
      <sz val="12"/>
      <color rgb="FFFF0000"/>
      <name val="Arial"/>
      <family val="2"/>
    </font>
    <font>
      <sz val="12"/>
      <color rgb="FF0B0C0C"/>
      <name val="Arial"/>
      <family val="2"/>
    </font>
    <font>
      <strike/>
      <sz val="12"/>
      <color rgb="FFFF0000"/>
      <name val="Arial"/>
      <family val="2"/>
    </font>
    <font>
      <b/>
      <sz val="12"/>
      <color rgb="FF8A2529"/>
      <name val="Arial"/>
      <family val="2"/>
    </font>
    <font>
      <b/>
      <sz val="13"/>
      <color theme="3"/>
      <name val="Arial"/>
      <family val="2"/>
    </font>
    <font>
      <sz val="10"/>
      <color theme="1"/>
      <name val="Arial"/>
      <family val="2"/>
    </font>
    <font>
      <sz val="12"/>
      <color theme="1" tint="0.14999847407452621"/>
      <name val="Arial"/>
      <family val="2"/>
    </font>
    <font>
      <sz val="22"/>
      <name val="Arial"/>
      <family val="2"/>
    </font>
    <font>
      <i/>
      <u/>
      <sz val="11"/>
      <color rgb="FF104F75"/>
      <name val="Arial"/>
      <family val="2"/>
    </font>
    <font>
      <u/>
      <sz val="12"/>
      <color rgb="FF0070C0"/>
      <name val="Calibri"/>
      <family val="2"/>
      <scheme val="minor"/>
    </font>
    <font>
      <b/>
      <sz val="11"/>
      <color theme="1"/>
      <name val="Arial"/>
      <family val="2"/>
    </font>
    <font>
      <b/>
      <sz val="12"/>
      <color theme="1" tint="0.14999847407452621"/>
      <name val="Arial"/>
      <family val="2"/>
    </font>
    <font>
      <sz val="11"/>
      <color rgb="FF000000"/>
      <name val="Arial"/>
      <family val="2"/>
    </font>
    <font>
      <u/>
      <sz val="12"/>
      <color rgb="FF0070C0"/>
      <name val="Arial"/>
      <family val="2"/>
    </font>
    <font>
      <strike/>
      <sz val="11"/>
      <color rgb="FFFF0000"/>
      <name val="Arial"/>
      <family val="2"/>
    </font>
    <font>
      <sz val="11"/>
      <color rgb="FFFF0000"/>
      <name val="Arial"/>
      <family val="2"/>
    </font>
    <font>
      <sz val="14"/>
      <color theme="1"/>
      <name val="Arial"/>
      <family val="2"/>
    </font>
    <font>
      <sz val="11"/>
      <color theme="1"/>
      <name val="Arial"/>
      <family val="2"/>
    </font>
    <font>
      <sz val="28"/>
      <color theme="1"/>
      <name val="Arial"/>
      <family val="2"/>
    </font>
    <font>
      <b/>
      <sz val="12"/>
      <color rgb="FF004712"/>
      <name val="Arial"/>
      <family val="2"/>
    </font>
    <font>
      <i/>
      <sz val="12"/>
      <name val="Arial"/>
      <family val="2"/>
    </font>
    <font>
      <b/>
      <sz val="16"/>
      <name val="Arial"/>
      <family val="2"/>
    </font>
    <font>
      <i/>
      <u/>
      <sz val="12"/>
      <color rgb="FF104F75"/>
      <name val="Arial"/>
      <family val="2"/>
    </font>
    <font>
      <sz val="22"/>
      <name val="Calibri"/>
      <family val="2"/>
      <scheme val="minor"/>
    </font>
    <font>
      <sz val="22"/>
      <color theme="1"/>
      <name val="Calibri"/>
      <family val="2"/>
      <scheme val="minor"/>
    </font>
    <font>
      <b/>
      <sz val="22"/>
      <color theme="1"/>
      <name val="Calibri"/>
      <family val="2"/>
      <scheme val="minor"/>
    </font>
    <font>
      <b/>
      <sz val="16"/>
      <color theme="1"/>
      <name val="Arial"/>
      <family val="2"/>
    </font>
    <font>
      <i/>
      <sz val="11"/>
      <name val="Arial"/>
      <family val="2"/>
    </font>
    <font>
      <sz val="8"/>
      <color rgb="FF000000"/>
      <name val="Segoe UI"/>
      <family val="2"/>
    </font>
    <font>
      <sz val="11"/>
      <color rgb="FF000000"/>
      <name val="Calibri"/>
      <family val="2"/>
    </font>
    <font>
      <b/>
      <sz val="12"/>
      <color rgb="FF0B0C0C"/>
      <name val="Arial"/>
      <family val="2"/>
    </font>
    <font>
      <i/>
      <sz val="12"/>
      <color rgb="FF000000"/>
      <name val="Arial"/>
      <family val="2"/>
    </font>
    <font>
      <sz val="11"/>
      <color rgb="FF104F75"/>
      <name val="Calibri"/>
      <family val="2"/>
      <scheme val="minor"/>
    </font>
    <font>
      <sz val="12"/>
      <color rgb="FF104F75"/>
      <name val="Arial"/>
      <family val="2"/>
    </font>
    <font>
      <sz val="8"/>
      <color theme="1"/>
      <name val="Arial"/>
      <family val="2"/>
    </font>
    <font>
      <sz val="8"/>
      <color rgb="FF000000"/>
      <name val="Arial"/>
      <family val="2"/>
    </font>
    <font>
      <sz val="10"/>
      <color rgb="FF000000"/>
      <name val="Arial"/>
      <family val="2"/>
    </font>
    <font>
      <b/>
      <sz val="11"/>
      <color rgb="FF000000"/>
      <name val="Arial"/>
      <family val="2"/>
    </font>
    <font>
      <b/>
      <sz val="10"/>
      <color rgb="FF000000"/>
      <name val="Arial"/>
      <family val="2"/>
    </font>
    <font>
      <i/>
      <sz val="8"/>
      <color rgb="FF000000"/>
      <name val="Arial"/>
      <family val="2"/>
    </font>
    <font>
      <b/>
      <sz val="8"/>
      <color rgb="FF000000"/>
      <name val="Arial"/>
      <family val="2"/>
    </font>
    <font>
      <sz val="28"/>
      <color theme="3"/>
      <name val="Arial"/>
      <family val="2"/>
    </font>
    <font>
      <b/>
      <sz val="11"/>
      <color rgb="FFFF0000"/>
      <name val="Calibri"/>
      <family val="2"/>
      <scheme val="minor"/>
    </font>
    <font>
      <i/>
      <sz val="12"/>
      <color theme="1"/>
      <name val="Arial"/>
      <family val="2"/>
    </font>
    <font>
      <i/>
      <sz val="12"/>
      <color rgb="FF104F75"/>
      <name val="Arial"/>
      <family val="2"/>
    </font>
    <font>
      <i/>
      <u/>
      <sz val="12"/>
      <color theme="10"/>
      <name val="Arial"/>
      <family val="2"/>
    </font>
    <font>
      <sz val="11"/>
      <color rgb="FF000000"/>
      <name val="Calibri"/>
      <family val="2"/>
      <scheme val="minor"/>
    </font>
    <font>
      <sz val="12"/>
      <color theme="1"/>
      <name val="Arial"/>
      <family val="2"/>
    </font>
    <font>
      <u/>
      <sz val="11"/>
      <color rgb="FF104F75"/>
      <name val="Calibri"/>
      <family val="2"/>
      <scheme val="minor"/>
    </font>
    <font>
      <sz val="12"/>
      <color theme="0"/>
      <name val="Arial"/>
      <family val="2"/>
    </font>
    <font>
      <b/>
      <i/>
      <sz val="12"/>
      <color theme="1"/>
      <name val="Arial"/>
      <family val="2"/>
    </font>
    <font>
      <b/>
      <sz val="24"/>
      <name val="Arial"/>
      <family val="2"/>
    </font>
    <font>
      <sz val="11"/>
      <name val="Arial"/>
      <family val="2"/>
    </font>
    <font>
      <b/>
      <u/>
      <sz val="12"/>
      <color rgb="FF104F75"/>
      <name val="Arial"/>
      <family val="2"/>
    </font>
    <font>
      <sz val="12"/>
      <name val="Arial"/>
      <family val="2"/>
    </font>
    <font>
      <b/>
      <sz val="12"/>
      <color theme="1"/>
      <name val="Arial"/>
      <family val="2"/>
    </font>
    <font>
      <b/>
      <i/>
      <sz val="12"/>
      <name val="Arial"/>
      <family val="2"/>
    </font>
  </fonts>
  <fills count="14">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9FB9C8"/>
        <bgColor indexed="64"/>
      </patternFill>
    </fill>
    <fill>
      <patternFill patternType="solid">
        <fgColor rgb="FFF3ECCD"/>
        <bgColor indexed="64"/>
      </patternFill>
    </fill>
    <fill>
      <patternFill patternType="solid">
        <fgColor rgb="FFFFFFFF"/>
        <bgColor indexed="64"/>
      </patternFill>
    </fill>
    <fill>
      <patternFill patternType="solid">
        <fgColor rgb="FFFFFF00"/>
        <bgColor indexed="64"/>
      </patternFill>
    </fill>
    <fill>
      <patternFill patternType="solid">
        <fgColor rgb="FFFAE5D2"/>
        <bgColor indexed="64"/>
      </patternFill>
    </fill>
    <fill>
      <patternFill patternType="solid">
        <fgColor rgb="FFCFDCE3"/>
        <bgColor indexed="64"/>
      </patternFill>
    </fill>
    <fill>
      <patternFill patternType="solid">
        <fgColor theme="5" tint="0.79998168889431442"/>
        <bgColor indexed="64"/>
      </patternFill>
    </fill>
    <fill>
      <patternFill patternType="solid">
        <fgColor rgb="FFD4CEDE"/>
        <bgColor indexed="64"/>
      </patternFill>
    </fill>
    <fill>
      <patternFill patternType="solid">
        <fgColor rgb="FFD0A8A9"/>
        <bgColor indexed="64"/>
      </patternFill>
    </fill>
    <fill>
      <patternFill patternType="solid">
        <fgColor rgb="FFF3ECCD"/>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rgb="FF000000"/>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s>
  <cellStyleXfs count="21">
    <xf numFmtId="0" fontId="0" fillId="0" borderId="0"/>
    <xf numFmtId="43" fontId="2"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8" fillId="0" borderId="0" applyNumberForma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0" fillId="0" borderId="0" applyNumberFormat="0" applyFill="0" applyBorder="0" applyAlignment="0" applyProtection="0"/>
    <xf numFmtId="0" fontId="13" fillId="0" borderId="12" applyNumberFormat="0" applyFill="0" applyAlignment="0" applyProtection="0"/>
    <xf numFmtId="0" fontId="14" fillId="0" borderId="13" applyNumberFormat="0" applyFill="0" applyAlignment="0" applyProtection="0"/>
    <xf numFmtId="0" fontId="15" fillId="0" borderId="14" applyNumberFormat="0" applyFill="0" applyAlignment="0" applyProtection="0"/>
    <xf numFmtId="0" fontId="17" fillId="0" borderId="0" applyNumberFormat="0" applyFill="0" applyBorder="0" applyAlignment="0" applyProtection="0"/>
    <xf numFmtId="9" fontId="2" fillId="0" borderId="0" applyFont="0" applyFill="0" applyBorder="0" applyAlignment="0" applyProtection="0"/>
    <xf numFmtId="0" fontId="1" fillId="0" borderId="0"/>
  </cellStyleXfs>
  <cellXfs count="669">
    <xf numFmtId="0" fontId="0" fillId="0" borderId="0" xfId="0"/>
    <xf numFmtId="0" fontId="3" fillId="0" borderId="0" xfId="0" applyFont="1"/>
    <xf numFmtId="0" fontId="5" fillId="0" borderId="0" xfId="0" applyFont="1" applyAlignment="1">
      <alignment wrapText="1"/>
    </xf>
    <xf numFmtId="0" fontId="3" fillId="0" borderId="0" xfId="0" applyFont="1" applyAlignment="1">
      <alignment wrapText="1"/>
    </xf>
    <xf numFmtId="0" fontId="7" fillId="0" borderId="0" xfId="0" applyFont="1" applyAlignment="1">
      <alignment horizontal="left" vertical="top" wrapText="1"/>
    </xf>
    <xf numFmtId="0" fontId="0" fillId="0" borderId="0" xfId="0" applyAlignment="1" applyProtection="1">
      <alignment vertical="center"/>
      <protection locked="0"/>
    </xf>
    <xf numFmtId="0" fontId="3" fillId="0" borderId="0" xfId="0" applyFont="1" applyAlignment="1">
      <alignment horizontal="center" vertical="top"/>
    </xf>
    <xf numFmtId="0" fontId="16" fillId="0" borderId="0" xfId="0" applyFont="1" applyAlignment="1">
      <alignment vertical="center"/>
    </xf>
    <xf numFmtId="0" fontId="19" fillId="0" borderId="0" xfId="0" applyFont="1"/>
    <xf numFmtId="0" fontId="19" fillId="0" borderId="0" xfId="0" applyFont="1" applyAlignment="1">
      <alignment horizontal="center" vertical="center"/>
    </xf>
    <xf numFmtId="0" fontId="19" fillId="0" borderId="0" xfId="0" applyFont="1" applyAlignment="1">
      <alignment vertical="center" wrapText="1"/>
    </xf>
    <xf numFmtId="0" fontId="20" fillId="0" borderId="0" xfId="6" applyFont="1" applyAlignment="1">
      <alignment horizontal="right" vertical="top"/>
    </xf>
    <xf numFmtId="0" fontId="19" fillId="0" borderId="0" xfId="0" applyFont="1" applyAlignment="1">
      <alignment horizontal="left" vertical="top" wrapText="1"/>
    </xf>
    <xf numFmtId="0" fontId="19" fillId="0" borderId="0" xfId="0" applyFont="1" applyAlignment="1">
      <alignment wrapText="1"/>
    </xf>
    <xf numFmtId="0" fontId="22" fillId="0" borderId="0" xfId="0" applyFont="1" applyAlignment="1">
      <alignment horizontal="left" vertical="center" wrapText="1"/>
    </xf>
    <xf numFmtId="0" fontId="19" fillId="0" borderId="0" xfId="0" applyFont="1" applyAlignment="1">
      <alignment vertical="center"/>
    </xf>
    <xf numFmtId="0" fontId="23" fillId="0" borderId="0" xfId="0" applyFont="1" applyAlignment="1">
      <alignment horizontal="left" vertical="center"/>
    </xf>
    <xf numFmtId="0" fontId="24" fillId="0" borderId="0" xfId="15" applyFont="1" applyBorder="1" applyAlignment="1"/>
    <xf numFmtId="0" fontId="23" fillId="0" borderId="0" xfId="0" applyFont="1" applyAlignment="1">
      <alignment vertical="center" wrapText="1"/>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center" vertical="top"/>
    </xf>
    <xf numFmtId="0" fontId="28" fillId="0" borderId="0" xfId="16" applyFont="1" applyBorder="1" applyAlignment="1"/>
    <xf numFmtId="0" fontId="28" fillId="0" borderId="0" xfId="15" applyFont="1" applyBorder="1" applyAlignment="1"/>
    <xf numFmtId="0" fontId="30" fillId="0" borderId="0" xfId="18" applyFont="1" applyBorder="1" applyAlignment="1">
      <alignment vertical="top"/>
    </xf>
    <xf numFmtId="0" fontId="18" fillId="0" borderId="6" xfId="0"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center"/>
    </xf>
    <xf numFmtId="0" fontId="18" fillId="0" borderId="0" xfId="0" applyFont="1" applyAlignment="1">
      <alignment vertical="top"/>
    </xf>
    <xf numFmtId="0" fontId="29" fillId="0" borderId="1" xfId="0" applyFont="1" applyBorder="1" applyAlignment="1">
      <alignment wrapText="1"/>
    </xf>
    <xf numFmtId="0" fontId="33" fillId="0" borderId="0" xfId="0" quotePrefix="1" applyFont="1" applyAlignment="1">
      <alignment horizontal="right" vertical="top"/>
    </xf>
    <xf numFmtId="0" fontId="23" fillId="0" borderId="0" xfId="0" applyFont="1"/>
    <xf numFmtId="0" fontId="34" fillId="0" borderId="0" xfId="0" applyFont="1"/>
    <xf numFmtId="0" fontId="4" fillId="0" borderId="0" xfId="0" applyFont="1"/>
    <xf numFmtId="0" fontId="31" fillId="0" borderId="1" xfId="2" applyFont="1" applyBorder="1" applyAlignment="1">
      <alignment horizontal="center" wrapText="1"/>
    </xf>
    <xf numFmtId="0" fontId="4" fillId="0" borderId="0" xfId="0" applyFont="1" applyAlignment="1">
      <alignment vertical="center"/>
    </xf>
    <xf numFmtId="0" fontId="4" fillId="0" borderId="7" xfId="2" applyBorder="1" applyAlignment="1">
      <alignment horizontal="center" vertical="center"/>
    </xf>
    <xf numFmtId="0" fontId="4" fillId="0" borderId="7" xfId="2" applyBorder="1" applyAlignment="1">
      <alignment horizontal="left" vertical="top" wrapText="1"/>
    </xf>
    <xf numFmtId="0" fontId="4" fillId="0" borderId="7" xfId="2" applyBorder="1" applyAlignment="1">
      <alignment horizontal="center" vertical="center" wrapText="1"/>
    </xf>
    <xf numFmtId="0" fontId="34" fillId="0" borderId="0" xfId="0" applyFont="1" applyAlignment="1">
      <alignment vertical="center"/>
    </xf>
    <xf numFmtId="0" fontId="35" fillId="0" borderId="0" xfId="0" applyFont="1" applyAlignment="1" applyProtection="1">
      <alignment horizontal="left"/>
      <protection locked="0"/>
    </xf>
    <xf numFmtId="0" fontId="35" fillId="3" borderId="0" xfId="0" applyFont="1" applyFill="1"/>
    <xf numFmtId="0" fontId="18" fillId="0" borderId="16" xfId="2" applyFont="1" applyBorder="1" applyAlignment="1">
      <alignment horizontal="left" vertical="center"/>
    </xf>
    <xf numFmtId="0" fontId="32" fillId="0" borderId="1" xfId="2" applyFont="1" applyBorder="1" applyAlignment="1">
      <alignment horizontal="left" vertical="center" wrapText="1"/>
    </xf>
    <xf numFmtId="0" fontId="32" fillId="0" borderId="1" xfId="2" applyFont="1" applyBorder="1" applyAlignment="1">
      <alignment horizontal="center" vertical="center" wrapText="1"/>
    </xf>
    <xf numFmtId="0" fontId="32" fillId="0" borderId="1" xfId="2" applyFont="1" applyBorder="1" applyAlignment="1">
      <alignment horizontal="center" vertical="center"/>
    </xf>
    <xf numFmtId="0" fontId="36" fillId="0" borderId="0" xfId="0" applyFont="1" applyAlignment="1">
      <alignment horizontal="center"/>
    </xf>
    <xf numFmtId="0" fontId="36" fillId="0" borderId="0" xfId="0" applyFont="1" applyAlignment="1">
      <alignment wrapText="1"/>
    </xf>
    <xf numFmtId="0" fontId="36" fillId="0" borderId="0" xfId="0" applyFont="1"/>
    <xf numFmtId="0" fontId="38" fillId="0" borderId="0" xfId="0" applyFont="1" applyAlignment="1">
      <alignment horizontal="center" vertical="top"/>
    </xf>
    <xf numFmtId="0" fontId="38" fillId="0" borderId="0" xfId="0" applyFont="1" applyAlignment="1">
      <alignment vertical="top" wrapText="1"/>
    </xf>
    <xf numFmtId="0" fontId="38" fillId="0" borderId="0" xfId="0" applyFont="1" applyAlignment="1">
      <alignment vertical="top"/>
    </xf>
    <xf numFmtId="0" fontId="0" fillId="5" borderId="1" xfId="0" applyFill="1" applyBorder="1" applyProtection="1">
      <protection locked="0"/>
    </xf>
    <xf numFmtId="0" fontId="18" fillId="0" borderId="5" xfId="0" applyFont="1" applyBorder="1" applyAlignment="1">
      <alignment vertical="top"/>
    </xf>
    <xf numFmtId="0" fontId="18" fillId="0" borderId="17" xfId="0" applyFont="1" applyBorder="1" applyAlignment="1">
      <alignment vertical="top"/>
    </xf>
    <xf numFmtId="0" fontId="18" fillId="0" borderId="2" xfId="0" applyFont="1" applyBorder="1" applyAlignment="1">
      <alignment vertical="top"/>
    </xf>
    <xf numFmtId="0" fontId="39" fillId="0" borderId="0" xfId="18" applyFont="1" applyBorder="1" applyAlignment="1">
      <alignment vertical="top"/>
    </xf>
    <xf numFmtId="0" fontId="40" fillId="0" borderId="0" xfId="0" applyFont="1" applyAlignment="1">
      <alignment vertical="top"/>
    </xf>
    <xf numFmtId="0" fontId="41" fillId="0" borderId="0" xfId="2" applyFont="1" applyAlignment="1">
      <alignment horizontal="left" vertical="center"/>
    </xf>
    <xf numFmtId="0" fontId="36" fillId="0" borderId="0" xfId="0" applyFont="1" applyAlignment="1">
      <alignment vertical="center" wrapText="1"/>
    </xf>
    <xf numFmtId="165" fontId="19" fillId="0" borderId="0" xfId="4" applyNumberFormat="1" applyFont="1" applyFill="1" applyBorder="1" applyAlignment="1" applyProtection="1">
      <alignment horizontal="right"/>
    </xf>
    <xf numFmtId="0" fontId="19" fillId="0" borderId="0" xfId="2" applyFont="1"/>
    <xf numFmtId="0" fontId="41" fillId="0" borderId="0" xfId="0" applyFont="1" applyAlignment="1">
      <alignment vertical="center" wrapText="1"/>
    </xf>
    <xf numFmtId="0" fontId="42" fillId="0" borderId="0" xfId="0" applyFont="1" applyAlignment="1">
      <alignment vertical="center"/>
    </xf>
    <xf numFmtId="0" fontId="42" fillId="0" borderId="0" xfId="0" applyFont="1" applyAlignment="1">
      <alignment horizontal="center" vertical="center"/>
    </xf>
    <xf numFmtId="0" fontId="25" fillId="0" borderId="0" xfId="0" applyFont="1" applyAlignment="1">
      <alignment wrapText="1"/>
    </xf>
    <xf numFmtId="0" fontId="19" fillId="0" borderId="0" xfId="0" applyFont="1" applyAlignment="1">
      <alignment horizontal="center"/>
    </xf>
    <xf numFmtId="0" fontId="19" fillId="0" borderId="0" xfId="2" applyFont="1" applyAlignment="1">
      <alignment horizontal="left" wrapText="1"/>
    </xf>
    <xf numFmtId="0" fontId="19" fillId="0" borderId="0" xfId="2" applyFont="1" applyAlignment="1">
      <alignment wrapText="1"/>
    </xf>
    <xf numFmtId="0" fontId="19" fillId="0" borderId="0" xfId="2" applyFont="1" applyAlignment="1">
      <alignment horizontal="center"/>
    </xf>
    <xf numFmtId="164" fontId="19" fillId="0" borderId="0" xfId="1" applyNumberFormat="1" applyFont="1" applyBorder="1" applyAlignment="1">
      <alignment horizontal="left" vertical="top" wrapText="1"/>
    </xf>
    <xf numFmtId="0" fontId="19" fillId="0" borderId="0" xfId="1" applyNumberFormat="1" applyFont="1" applyBorder="1" applyAlignment="1">
      <alignment horizontal="left" vertical="top" wrapText="1"/>
    </xf>
    <xf numFmtId="0" fontId="44" fillId="0" borderId="0" xfId="2" applyFont="1" applyAlignment="1">
      <alignment vertical="center" wrapText="1"/>
    </xf>
    <xf numFmtId="0" fontId="44" fillId="0" borderId="0" xfId="2" applyFont="1" applyAlignment="1">
      <alignment wrapText="1"/>
    </xf>
    <xf numFmtId="165" fontId="44" fillId="0" borderId="0" xfId="4" applyNumberFormat="1" applyFont="1" applyFill="1" applyBorder="1"/>
    <xf numFmtId="164" fontId="19" fillId="0" borderId="0" xfId="1" applyNumberFormat="1" applyFont="1" applyFill="1" applyBorder="1"/>
    <xf numFmtId="164" fontId="19" fillId="0" borderId="0" xfId="1" applyNumberFormat="1" applyFont="1" applyFill="1" applyBorder="1" applyAlignment="1">
      <alignment horizontal="left" vertical="top" wrapText="1"/>
    </xf>
    <xf numFmtId="0" fontId="25" fillId="0" borderId="0" xfId="2" applyFont="1" applyAlignment="1">
      <alignment horizontal="center" vertical="center"/>
    </xf>
    <xf numFmtId="0" fontId="25" fillId="0" borderId="0" xfId="0" applyFont="1" applyAlignment="1">
      <alignment vertical="center" wrapText="1"/>
    </xf>
    <xf numFmtId="164" fontId="19" fillId="0" borderId="0" xfId="2" applyNumberFormat="1" applyFont="1"/>
    <xf numFmtId="164" fontId="44" fillId="0" borderId="0" xfId="2" applyNumberFormat="1" applyFont="1"/>
    <xf numFmtId="164" fontId="19" fillId="0" borderId="0" xfId="2" applyNumberFormat="1" applyFont="1" applyAlignment="1">
      <alignment horizontal="right"/>
    </xf>
    <xf numFmtId="164" fontId="19" fillId="0" borderId="0" xfId="1" applyNumberFormat="1" applyFont="1" applyBorder="1" applyAlignment="1">
      <alignment horizontal="center" vertical="center"/>
    </xf>
    <xf numFmtId="164" fontId="19" fillId="0" borderId="0" xfId="1" applyNumberFormat="1" applyFont="1" applyFill="1" applyBorder="1" applyAlignment="1">
      <alignment horizontal="center" vertical="center"/>
    </xf>
    <xf numFmtId="0" fontId="25" fillId="0" borderId="0" xfId="0" applyFont="1"/>
    <xf numFmtId="164" fontId="19" fillId="0" borderId="0" xfId="1" applyNumberFormat="1" applyFont="1" applyFill="1" applyBorder="1" applyAlignment="1" applyProtection="1">
      <alignment horizontal="left" vertical="top" wrapText="1"/>
    </xf>
    <xf numFmtId="164" fontId="19" fillId="0" borderId="0" xfId="1" applyNumberFormat="1" applyFont="1" applyFill="1" applyBorder="1" applyAlignment="1" applyProtection="1">
      <alignment horizontal="center" vertical="center"/>
    </xf>
    <xf numFmtId="0" fontId="40" fillId="0" borderId="0" xfId="0" applyFont="1" applyAlignment="1">
      <alignment vertical="center" wrapText="1"/>
    </xf>
    <xf numFmtId="165" fontId="19" fillId="0" borderId="0" xfId="4" applyNumberFormat="1" applyFont="1" applyFill="1" applyBorder="1" applyProtection="1">
      <protection locked="0"/>
    </xf>
    <xf numFmtId="164" fontId="19" fillId="0" borderId="0" xfId="1" applyNumberFormat="1" applyFont="1" applyFill="1" applyBorder="1" applyProtection="1"/>
    <xf numFmtId="0" fontId="26" fillId="0" borderId="0" xfId="2" applyFont="1" applyAlignment="1">
      <alignment horizontal="center" vertical="center"/>
    </xf>
    <xf numFmtId="165" fontId="44" fillId="0" borderId="0" xfId="2" applyNumberFormat="1" applyFont="1"/>
    <xf numFmtId="165" fontId="19" fillId="0" borderId="0" xfId="4" applyNumberFormat="1" applyFont="1" applyBorder="1" applyAlignment="1">
      <alignment horizontal="right"/>
    </xf>
    <xf numFmtId="165" fontId="44" fillId="0" borderId="0" xfId="2" applyNumberFormat="1" applyFont="1" applyAlignment="1">
      <alignment horizontal="right"/>
    </xf>
    <xf numFmtId="0" fontId="45" fillId="0" borderId="0" xfId="0" applyFont="1" applyAlignment="1">
      <alignment horizontal="left" vertical="center" wrapText="1"/>
    </xf>
    <xf numFmtId="0" fontId="45" fillId="0" borderId="0" xfId="0" applyFont="1"/>
    <xf numFmtId="0" fontId="45"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top"/>
    </xf>
    <xf numFmtId="0" fontId="26" fillId="0" borderId="6" xfId="2" applyFont="1" applyBorder="1" applyAlignment="1">
      <alignment wrapText="1"/>
    </xf>
    <xf numFmtId="0" fontId="26" fillId="0" borderId="0" xfId="2" applyFont="1" applyAlignment="1">
      <alignment wrapText="1"/>
    </xf>
    <xf numFmtId="0" fontId="23" fillId="0" borderId="0" xfId="0" applyFont="1" applyAlignment="1">
      <alignment horizontal="center"/>
    </xf>
    <xf numFmtId="165" fontId="19" fillId="0" borderId="0" xfId="5" applyNumberFormat="1" applyFont="1" applyBorder="1" applyAlignment="1">
      <alignment horizontal="center"/>
    </xf>
    <xf numFmtId="165" fontId="19" fillId="0" borderId="0" xfId="5" applyNumberFormat="1" applyFont="1" applyBorder="1"/>
    <xf numFmtId="0" fontId="19" fillId="0" borderId="0" xfId="3" applyFont="1"/>
    <xf numFmtId="165" fontId="44" fillId="0" borderId="0" xfId="3" applyNumberFormat="1" applyFont="1"/>
    <xf numFmtId="165" fontId="44" fillId="0" borderId="0" xfId="3" applyNumberFormat="1" applyFont="1" applyAlignment="1">
      <alignment horizontal="right"/>
    </xf>
    <xf numFmtId="0" fontId="26" fillId="0" borderId="0" xfId="3" applyFont="1" applyAlignment="1">
      <alignment horizontal="right"/>
    </xf>
    <xf numFmtId="0" fontId="26" fillId="0" borderId="0" xfId="3" applyFont="1" applyAlignment="1">
      <alignment horizontal="center"/>
    </xf>
    <xf numFmtId="0" fontId="44" fillId="0" borderId="0" xfId="3" applyFont="1" applyAlignment="1">
      <alignment horizontal="right"/>
    </xf>
    <xf numFmtId="0" fontId="44" fillId="0" borderId="0" xfId="3" applyFont="1" applyAlignment="1">
      <alignment horizontal="center"/>
    </xf>
    <xf numFmtId="0" fontId="46" fillId="0" borderId="0" xfId="0" applyFont="1"/>
    <xf numFmtId="0" fontId="31" fillId="0" borderId="1" xfId="2" applyFont="1" applyBorder="1" applyAlignment="1">
      <alignment horizontal="center" vertical="center" wrapText="1"/>
    </xf>
    <xf numFmtId="0" fontId="31" fillId="0" borderId="1" xfId="0" applyFont="1" applyBorder="1" applyAlignment="1">
      <alignment vertical="center" wrapText="1"/>
    </xf>
    <xf numFmtId="165" fontId="31" fillId="0" borderId="1" xfId="9" applyNumberFormat="1" applyFont="1" applyFill="1" applyBorder="1" applyAlignment="1" applyProtection="1">
      <alignment horizontal="center" wrapText="1"/>
    </xf>
    <xf numFmtId="0" fontId="31" fillId="0" borderId="1" xfId="2" applyFont="1" applyBorder="1" applyAlignment="1">
      <alignment horizontal="center" vertical="top" wrapText="1"/>
    </xf>
    <xf numFmtId="0" fontId="34" fillId="0" borderId="0" xfId="0" applyFont="1" applyAlignment="1">
      <alignment vertical="center" wrapText="1"/>
    </xf>
    <xf numFmtId="0" fontId="34" fillId="0" borderId="0" xfId="0" applyFont="1" applyAlignment="1">
      <alignment horizontal="center"/>
    </xf>
    <xf numFmtId="0" fontId="31" fillId="0" borderId="2" xfId="0" applyFont="1" applyBorder="1" applyAlignment="1">
      <alignment vertical="center" wrapText="1"/>
    </xf>
    <xf numFmtId="0" fontId="18" fillId="0" borderId="0" xfId="0" applyFont="1" applyAlignment="1">
      <alignment horizontal="center"/>
    </xf>
    <xf numFmtId="0" fontId="18" fillId="0" borderId="0" xfId="0" applyFont="1" applyAlignment="1">
      <alignment horizontal="center" vertical="center"/>
    </xf>
    <xf numFmtId="0" fontId="47" fillId="0" borderId="0" xfId="0" applyFont="1" applyAlignment="1">
      <alignment horizontal="center"/>
    </xf>
    <xf numFmtId="0" fontId="18" fillId="0" borderId="0" xfId="2" applyFont="1" applyAlignment="1">
      <alignment horizontal="left" vertical="center" wrapText="1"/>
    </xf>
    <xf numFmtId="0" fontId="18" fillId="0" borderId="0" xfId="2"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34" fillId="2" borderId="1" xfId="2" applyFont="1" applyFill="1" applyBorder="1" applyAlignment="1">
      <alignment horizontal="center" wrapText="1"/>
    </xf>
    <xf numFmtId="0" fontId="18" fillId="0" borderId="1" xfId="0" applyFont="1" applyBorder="1" applyAlignment="1">
      <alignment vertical="center" wrapText="1"/>
    </xf>
    <xf numFmtId="0" fontId="18" fillId="0" borderId="1" xfId="2" applyFont="1" applyBorder="1" applyAlignment="1">
      <alignment vertical="center" wrapText="1"/>
    </xf>
    <xf numFmtId="0" fontId="18" fillId="0" borderId="7" xfId="0" applyFont="1" applyBorder="1" applyAlignment="1">
      <alignment vertical="center" wrapText="1"/>
    </xf>
    <xf numFmtId="0" fontId="18" fillId="0" borderId="1" xfId="2" applyFont="1" applyBorder="1" applyAlignment="1">
      <alignment horizontal="center" vertical="center"/>
    </xf>
    <xf numFmtId="0" fontId="34" fillId="0" borderId="0" xfId="2" applyFont="1" applyAlignment="1">
      <alignment vertical="center" wrapText="1"/>
    </xf>
    <xf numFmtId="0" fontId="34" fillId="0" borderId="0" xfId="2" applyFont="1" applyAlignment="1">
      <alignment wrapText="1"/>
    </xf>
    <xf numFmtId="0" fontId="18" fillId="0" borderId="0" xfId="0" applyFont="1" applyAlignment="1">
      <alignment wrapText="1"/>
    </xf>
    <xf numFmtId="0" fontId="31" fillId="0" borderId="2" xfId="2" applyFont="1" applyBorder="1" applyAlignment="1">
      <alignment horizontal="center" vertical="center"/>
    </xf>
    <xf numFmtId="0" fontId="31" fillId="0" borderId="0" xfId="2" applyFont="1" applyAlignment="1">
      <alignment horizontal="center" wrapText="1"/>
    </xf>
    <xf numFmtId="0" fontId="31" fillId="0" borderId="0" xfId="2" applyFont="1" applyAlignment="1">
      <alignment horizontal="center"/>
    </xf>
    <xf numFmtId="0" fontId="49" fillId="0" borderId="0" xfId="0" applyFont="1"/>
    <xf numFmtId="0" fontId="31" fillId="0" borderId="1" xfId="2" applyFont="1" applyBorder="1" applyAlignment="1">
      <alignment horizontal="center" vertical="center"/>
    </xf>
    <xf numFmtId="0" fontId="47" fillId="0" borderId="0" xfId="0" applyFont="1" applyAlignment="1">
      <alignment vertical="center" wrapText="1"/>
    </xf>
    <xf numFmtId="0" fontId="4" fillId="0" borderId="0" xfId="2"/>
    <xf numFmtId="0" fontId="34" fillId="0" borderId="0" xfId="2" applyFont="1" applyAlignment="1">
      <alignment horizontal="center"/>
    </xf>
    <xf numFmtId="0" fontId="18" fillId="0" borderId="1" xfId="2" applyFont="1" applyBorder="1" applyAlignment="1">
      <alignment horizontal="left" vertical="center" wrapText="1"/>
    </xf>
    <xf numFmtId="0" fontId="18" fillId="0" borderId="6" xfId="2" applyFont="1" applyBorder="1" applyAlignment="1">
      <alignment horizontal="left" vertical="center" wrapText="1"/>
    </xf>
    <xf numFmtId="0" fontId="18" fillId="0" borderId="6" xfId="2" applyFont="1" applyBorder="1" applyAlignment="1">
      <alignment horizontal="center" vertical="center"/>
    </xf>
    <xf numFmtId="0" fontId="18" fillId="0" borderId="7" xfId="2" applyFont="1" applyBorder="1" applyAlignment="1">
      <alignment horizontal="left" vertical="center" wrapText="1"/>
    </xf>
    <xf numFmtId="0" fontId="18" fillId="0" borderId="7" xfId="2" applyFont="1" applyBorder="1" applyAlignment="1">
      <alignment horizontal="center" vertical="center"/>
    </xf>
    <xf numFmtId="0" fontId="31" fillId="0" borderId="1" xfId="2" applyFont="1" applyBorder="1" applyAlignment="1">
      <alignment horizontal="left" vertical="center" wrapText="1"/>
    </xf>
    <xf numFmtId="0" fontId="18" fillId="0" borderId="16" xfId="2" applyFont="1" applyBorder="1" applyAlignment="1">
      <alignment horizontal="left" vertical="center" wrapText="1"/>
    </xf>
    <xf numFmtId="0" fontId="18" fillId="0" borderId="16" xfId="2" applyFont="1" applyBorder="1" applyAlignment="1">
      <alignment horizontal="center" vertical="center"/>
    </xf>
    <xf numFmtId="0" fontId="31" fillId="0" borderId="17" xfId="2" applyFont="1" applyBorder="1" applyAlignment="1">
      <alignment horizontal="center" vertical="center"/>
    </xf>
    <xf numFmtId="0" fontId="18" fillId="0" borderId="17" xfId="2" applyFont="1" applyBorder="1" applyAlignment="1">
      <alignment horizontal="center" vertical="center"/>
    </xf>
    <xf numFmtId="0" fontId="31" fillId="0" borderId="1" xfId="2" applyFont="1" applyBorder="1" applyAlignment="1">
      <alignment horizontal="left" vertical="center"/>
    </xf>
    <xf numFmtId="0" fontId="23" fillId="5" borderId="1" xfId="0" applyFont="1" applyFill="1" applyBorder="1" applyProtection="1">
      <protection locked="0"/>
    </xf>
    <xf numFmtId="166" fontId="4" fillId="5" borderId="1" xfId="2" applyNumberFormat="1" applyFill="1" applyBorder="1" applyAlignment="1" applyProtection="1">
      <alignment horizontal="left"/>
      <protection locked="0"/>
    </xf>
    <xf numFmtId="0" fontId="51" fillId="0" borderId="0" xfId="16" applyFont="1" applyBorder="1" applyAlignment="1"/>
    <xf numFmtId="0" fontId="52" fillId="0" borderId="0" xfId="2" applyFont="1" applyAlignment="1" applyProtection="1">
      <alignment horizontal="left"/>
      <protection locked="0"/>
    </xf>
    <xf numFmtId="0" fontId="52" fillId="0" borderId="0" xfId="0" applyFont="1"/>
    <xf numFmtId="0" fontId="23" fillId="0" borderId="1" xfId="0" applyFont="1" applyBorder="1"/>
    <xf numFmtId="0" fontId="23" fillId="0" borderId="1" xfId="0" applyFont="1" applyBorder="1" applyAlignment="1">
      <alignment wrapText="1"/>
    </xf>
    <xf numFmtId="0" fontId="23" fillId="0" borderId="0" xfId="0" quotePrefix="1" applyFont="1"/>
    <xf numFmtId="0" fontId="0" fillId="6" borderId="0" xfId="0" applyFill="1"/>
    <xf numFmtId="0" fontId="19" fillId="6" borderId="0" xfId="0" applyFont="1" applyFill="1" applyAlignment="1">
      <alignment horizontal="center" vertical="center"/>
    </xf>
    <xf numFmtId="0" fontId="4" fillId="0" borderId="0" xfId="2" applyAlignment="1">
      <alignment vertical="center"/>
    </xf>
    <xf numFmtId="0" fontId="4" fillId="0" borderId="0" xfId="2" applyAlignment="1">
      <alignment wrapText="1"/>
    </xf>
    <xf numFmtId="0" fontId="29" fillId="0" borderId="0" xfId="0" applyFont="1" applyAlignment="1">
      <alignment wrapText="1"/>
    </xf>
    <xf numFmtId="0" fontId="43" fillId="0" borderId="0" xfId="6" applyFont="1" applyFill="1" applyBorder="1" applyAlignment="1">
      <alignment wrapText="1"/>
    </xf>
    <xf numFmtId="0" fontId="34" fillId="0" borderId="0" xfId="2" applyFont="1" applyAlignment="1">
      <alignment horizontal="center" vertical="center" wrapText="1"/>
    </xf>
    <xf numFmtId="0" fontId="19" fillId="0" borderId="0" xfId="2" applyFont="1" applyAlignment="1" applyProtection="1">
      <alignment vertical="center"/>
      <protection locked="0" hidden="1"/>
    </xf>
    <xf numFmtId="0" fontId="34" fillId="0" borderId="0" xfId="2" applyFont="1" applyAlignment="1">
      <alignment horizontal="left" vertical="center"/>
    </xf>
    <xf numFmtId="0" fontId="23" fillId="0" borderId="0" xfId="0" applyFont="1" applyAlignment="1">
      <alignment vertical="top"/>
    </xf>
    <xf numFmtId="0" fontId="23" fillId="6" borderId="0" xfId="0" applyFont="1" applyFill="1" applyAlignment="1">
      <alignment vertical="top"/>
    </xf>
    <xf numFmtId="0" fontId="54" fillId="6" borderId="0" xfId="0" applyFont="1" applyFill="1" applyAlignment="1">
      <alignment vertical="center" wrapText="1"/>
    </xf>
    <xf numFmtId="0" fontId="38" fillId="6" borderId="0" xfId="0" applyFont="1" applyFill="1" applyAlignment="1">
      <alignment vertical="top"/>
    </xf>
    <xf numFmtId="0" fontId="38" fillId="0" borderId="0" xfId="0" applyFont="1" applyAlignment="1">
      <alignment vertical="center"/>
    </xf>
    <xf numFmtId="0" fontId="34" fillId="0" borderId="2" xfId="2" applyFont="1" applyBorder="1" applyAlignment="1">
      <alignment horizontal="center" vertical="center" wrapText="1"/>
    </xf>
    <xf numFmtId="0" fontId="34" fillId="0" borderId="1" xfId="2" applyFont="1" applyBorder="1" applyAlignment="1">
      <alignment horizontal="center" vertical="center" wrapText="1"/>
    </xf>
    <xf numFmtId="164" fontId="34" fillId="0" borderId="1" xfId="1" applyNumberFormat="1" applyFont="1" applyFill="1" applyBorder="1" applyAlignment="1">
      <alignment horizontal="center" vertical="center" wrapText="1"/>
    </xf>
    <xf numFmtId="0" fontId="34" fillId="0" borderId="1" xfId="2" applyFont="1" applyBorder="1" applyAlignment="1">
      <alignment horizontal="left" vertical="center" wrapText="1"/>
    </xf>
    <xf numFmtId="0" fontId="44" fillId="0" borderId="0" xfId="2" applyFont="1" applyAlignment="1">
      <alignment vertical="top" wrapText="1"/>
    </xf>
    <xf numFmtId="0" fontId="48" fillId="0" borderId="5" xfId="0" applyFont="1" applyBorder="1" applyAlignment="1">
      <alignment vertical="top" wrapText="1"/>
    </xf>
    <xf numFmtId="0" fontId="48" fillId="0" borderId="1" xfId="0" applyFont="1" applyBorder="1" applyAlignment="1">
      <alignment vertical="top" wrapText="1"/>
    </xf>
    <xf numFmtId="0" fontId="48" fillId="0" borderId="1" xfId="0" applyFont="1" applyBorder="1" applyAlignment="1">
      <alignment vertical="top"/>
    </xf>
    <xf numFmtId="0" fontId="48" fillId="0" borderId="8" xfId="0" applyFont="1" applyBorder="1" applyAlignment="1">
      <alignment vertical="top" wrapText="1"/>
    </xf>
    <xf numFmtId="0" fontId="19" fillId="0" borderId="8" xfId="1" applyNumberFormat="1" applyFont="1" applyBorder="1" applyAlignment="1">
      <alignment horizontal="left" vertical="top" wrapText="1"/>
    </xf>
    <xf numFmtId="0" fontId="28" fillId="0" borderId="0" xfId="16" applyFont="1" applyBorder="1"/>
    <xf numFmtId="0" fontId="55" fillId="6" borderId="0" xfId="6" applyFont="1" applyFill="1" applyAlignment="1">
      <alignment horizontal="right" vertical="top"/>
    </xf>
    <xf numFmtId="0" fontId="56" fillId="6" borderId="0" xfId="6" applyFont="1" applyFill="1" applyAlignment="1">
      <alignment horizontal="right" vertical="top"/>
    </xf>
    <xf numFmtId="0" fontId="19" fillId="0" borderId="0" xfId="2" applyFont="1" applyAlignment="1">
      <alignment vertical="center" wrapText="1"/>
    </xf>
    <xf numFmtId="0" fontId="18" fillId="0" borderId="1" xfId="2" applyFont="1" applyBorder="1" applyAlignment="1">
      <alignment horizontal="left" wrapText="1"/>
    </xf>
    <xf numFmtId="164" fontId="19" fillId="0" borderId="1" xfId="1" applyNumberFormat="1" applyFont="1" applyFill="1" applyBorder="1" applyAlignment="1" applyProtection="1"/>
    <xf numFmtId="0" fontId="31" fillId="0" borderId="1" xfId="17" applyFont="1" applyBorder="1" applyAlignment="1">
      <alignment horizontal="left" vertical="center" wrapText="1"/>
    </xf>
    <xf numFmtId="0" fontId="34" fillId="0" borderId="5" xfId="2" applyFont="1" applyBorder="1" applyAlignment="1">
      <alignment horizontal="left" vertical="center" wrapText="1"/>
    </xf>
    <xf numFmtId="0" fontId="18" fillId="0" borderId="0" xfId="2" applyFont="1" applyAlignment="1">
      <alignment horizontal="left" wrapText="1"/>
    </xf>
    <xf numFmtId="164" fontId="18" fillId="0" borderId="0" xfId="1" applyNumberFormat="1" applyFont="1" applyFill="1" applyBorder="1" applyAlignment="1">
      <alignment horizontal="left"/>
    </xf>
    <xf numFmtId="164" fontId="18" fillId="0" borderId="0" xfId="1" applyNumberFormat="1" applyFont="1" applyFill="1" applyBorder="1" applyAlignment="1" applyProtection="1">
      <alignment horizontal="left"/>
    </xf>
    <xf numFmtId="164" fontId="18" fillId="0" borderId="0" xfId="1" applyNumberFormat="1" applyFont="1" applyFill="1" applyBorder="1" applyAlignment="1" applyProtection="1">
      <alignment horizontal="left" wrapText="1"/>
    </xf>
    <xf numFmtId="0" fontId="34" fillId="0" borderId="1" xfId="0" applyFont="1" applyBorder="1" applyAlignment="1">
      <alignment wrapText="1"/>
    </xf>
    <xf numFmtId="0" fontId="58" fillId="0" borderId="1" xfId="2" applyFont="1" applyBorder="1" applyAlignment="1">
      <alignment wrapText="1"/>
    </xf>
    <xf numFmtId="0" fontId="34" fillId="0" borderId="1" xfId="0" applyFont="1" applyBorder="1"/>
    <xf numFmtId="0" fontId="29" fillId="0" borderId="0" xfId="0" applyFont="1" applyAlignment="1">
      <alignment vertical="center" wrapText="1"/>
    </xf>
    <xf numFmtId="0" fontId="31" fillId="0" borderId="7" xfId="2" applyFont="1" applyBorder="1" applyAlignment="1">
      <alignment horizontal="center" vertical="center"/>
    </xf>
    <xf numFmtId="0" fontId="53" fillId="0" borderId="1" xfId="2" applyFont="1" applyBorder="1" applyAlignment="1">
      <alignment vertical="center" wrapText="1"/>
    </xf>
    <xf numFmtId="0" fontId="18" fillId="0" borderId="5" xfId="2" applyFont="1" applyBorder="1" applyAlignment="1">
      <alignment horizontal="center" vertical="center"/>
    </xf>
    <xf numFmtId="0" fontId="53" fillId="0" borderId="1" xfId="2" applyFont="1" applyBorder="1" applyAlignment="1">
      <alignment horizontal="left" vertical="center" wrapText="1"/>
    </xf>
    <xf numFmtId="0" fontId="28" fillId="0" borderId="0" xfId="15" applyFont="1" applyBorder="1"/>
    <xf numFmtId="0" fontId="55" fillId="6" borderId="0" xfId="6" applyFont="1" applyFill="1" applyAlignment="1">
      <alignment horizontal="left"/>
    </xf>
    <xf numFmtId="0" fontId="60" fillId="6" borderId="0" xfId="6" applyFont="1" applyFill="1" applyAlignment="1">
      <alignment horizontal="right" vertical="top"/>
    </xf>
    <xf numFmtId="165" fontId="31" fillId="0" borderId="1" xfId="1" applyNumberFormat="1" applyFont="1" applyFill="1" applyBorder="1" applyProtection="1"/>
    <xf numFmtId="165" fontId="34" fillId="0" borderId="1" xfId="1" applyNumberFormat="1" applyFont="1" applyFill="1" applyBorder="1" applyProtection="1"/>
    <xf numFmtId="0" fontId="51" fillId="0" borderId="0" xfId="16" applyFont="1" applyBorder="1"/>
    <xf numFmtId="0" fontId="19" fillId="0" borderId="0" xfId="0" applyFont="1" applyAlignment="1" applyProtection="1">
      <alignment vertical="center" wrapText="1"/>
      <protection locked="0" hidden="1"/>
    </xf>
    <xf numFmtId="0" fontId="27" fillId="0" borderId="0" xfId="0" applyFont="1" applyAlignment="1">
      <alignment vertical="center"/>
    </xf>
    <xf numFmtId="0" fontId="19" fillId="0" borderId="0" xfId="0" applyFont="1" applyAlignment="1" applyProtection="1">
      <alignment wrapText="1"/>
      <protection locked="0" hidden="1"/>
    </xf>
    <xf numFmtId="0" fontId="19" fillId="0" borderId="0" xfId="0" applyFont="1" applyAlignment="1" applyProtection="1">
      <alignment vertical="center"/>
      <protection locked="0" hidden="1"/>
    </xf>
    <xf numFmtId="0" fontId="21" fillId="0" borderId="0" xfId="0" applyFont="1" applyProtection="1">
      <protection locked="0" hidden="1"/>
    </xf>
    <xf numFmtId="0" fontId="27" fillId="0" borderId="0" xfId="0" applyFont="1"/>
    <xf numFmtId="0" fontId="55" fillId="0" borderId="1" xfId="6" applyFont="1" applyFill="1" applyBorder="1" applyAlignment="1">
      <alignment horizontal="left" vertical="center" wrapText="1"/>
    </xf>
    <xf numFmtId="0" fontId="23" fillId="5" borderId="1" xfId="0" applyFont="1" applyFill="1" applyBorder="1" applyAlignment="1" applyProtection="1">
      <alignment horizontal="left"/>
      <protection locked="0"/>
    </xf>
    <xf numFmtId="0" fontId="18" fillId="0" borderId="5" xfId="0" applyFont="1" applyBorder="1" applyAlignment="1">
      <alignment vertical="center"/>
    </xf>
    <xf numFmtId="0" fontId="34" fillId="0" borderId="1" xfId="2" applyFont="1" applyBorder="1" applyAlignment="1">
      <alignment horizontal="center" wrapText="1"/>
    </xf>
    <xf numFmtId="164" fontId="18" fillId="0" borderId="1" xfId="1" applyNumberFormat="1" applyFont="1" applyFill="1" applyBorder="1" applyAlignment="1" applyProtection="1">
      <alignment horizontal="left" vertical="center"/>
    </xf>
    <xf numFmtId="0" fontId="33" fillId="6" borderId="19" xfId="6" applyFont="1" applyFill="1" applyBorder="1" applyAlignment="1">
      <alignment horizontal="left" vertical="center" wrapText="1"/>
    </xf>
    <xf numFmtId="0" fontId="18" fillId="0" borderId="1" xfId="0" applyFont="1" applyBorder="1" applyAlignment="1">
      <alignment horizontal="center" wrapText="1"/>
    </xf>
    <xf numFmtId="0" fontId="18" fillId="0" borderId="1" xfId="0" applyFont="1" applyBorder="1" applyAlignment="1">
      <alignment horizontal="left" wrapText="1"/>
    </xf>
    <xf numFmtId="0" fontId="63" fillId="0" borderId="0" xfId="0" applyFont="1" applyAlignment="1">
      <alignment vertical="top"/>
    </xf>
    <xf numFmtId="0" fontId="63" fillId="0" borderId="0" xfId="0" applyFont="1" applyAlignment="1">
      <alignment horizontal="center" vertical="top"/>
    </xf>
    <xf numFmtId="0" fontId="64" fillId="0" borderId="0" xfId="0" applyFont="1"/>
    <xf numFmtId="0" fontId="64" fillId="3" borderId="0" xfId="0" applyFont="1" applyFill="1"/>
    <xf numFmtId="0" fontId="65" fillId="0" borderId="0" xfId="0" applyFont="1"/>
    <xf numFmtId="0" fontId="67" fillId="0" borderId="0" xfId="0" applyFont="1"/>
    <xf numFmtId="0" fontId="29" fillId="0" borderId="5" xfId="0" applyFont="1" applyBorder="1" applyAlignment="1">
      <alignment wrapText="1"/>
    </xf>
    <xf numFmtId="0" fontId="29" fillId="0" borderId="7" xfId="0" applyFont="1" applyBorder="1" applyAlignment="1">
      <alignment wrapText="1"/>
    </xf>
    <xf numFmtId="0" fontId="19" fillId="6" borderId="0" xfId="0" applyFont="1" applyFill="1" applyAlignment="1">
      <alignment horizontal="center" vertical="top"/>
    </xf>
    <xf numFmtId="0" fontId="36" fillId="6" borderId="0" xfId="0" applyFont="1" applyFill="1" applyAlignment="1">
      <alignment horizontal="center"/>
    </xf>
    <xf numFmtId="0" fontId="4" fillId="0" borderId="0" xfId="0" applyFont="1" applyAlignment="1">
      <alignment vertical="top"/>
    </xf>
    <xf numFmtId="0" fontId="23" fillId="3" borderId="0" xfId="0" applyFont="1" applyFill="1"/>
    <xf numFmtId="0" fontId="19" fillId="6" borderId="0" xfId="0" applyFont="1" applyFill="1" applyAlignment="1">
      <alignment horizontal="center" vertical="top" wrapText="1"/>
    </xf>
    <xf numFmtId="0" fontId="18" fillId="0" borderId="0" xfId="0" applyFont="1"/>
    <xf numFmtId="0" fontId="34" fillId="0" borderId="1" xfId="0" applyFont="1" applyBorder="1" applyAlignment="1">
      <alignment vertical="center"/>
    </xf>
    <xf numFmtId="0" fontId="8" fillId="0" borderId="0" xfId="6"/>
    <xf numFmtId="0" fontId="0" fillId="0" borderId="0" xfId="0" applyAlignment="1">
      <alignment vertical="center"/>
    </xf>
    <xf numFmtId="0" fontId="55" fillId="6" borderId="0" xfId="6" applyFont="1" applyFill="1" applyAlignment="1">
      <alignment horizontal="left" vertical="top"/>
    </xf>
    <xf numFmtId="0" fontId="68" fillId="0" borderId="0" xfId="16" applyFont="1" applyBorder="1" applyAlignment="1"/>
    <xf numFmtId="0" fontId="0" fillId="3" borderId="0" xfId="0" applyFill="1"/>
    <xf numFmtId="0" fontId="3" fillId="3" borderId="0" xfId="0" applyFont="1" applyFill="1" applyAlignment="1">
      <alignment horizontal="center" vertical="top"/>
    </xf>
    <xf numFmtId="0" fontId="5" fillId="3" borderId="0" xfId="0" applyFont="1" applyFill="1" applyAlignment="1">
      <alignment wrapText="1"/>
    </xf>
    <xf numFmtId="165" fontId="19" fillId="0" borderId="0" xfId="5" applyNumberFormat="1" applyFont="1" applyFill="1" applyBorder="1"/>
    <xf numFmtId="0" fontId="29" fillId="8" borderId="0" xfId="0" applyFont="1" applyFill="1" applyAlignment="1">
      <alignment wrapText="1"/>
    </xf>
    <xf numFmtId="0" fontId="29" fillId="8" borderId="1" xfId="0" applyFont="1" applyFill="1" applyBorder="1" applyAlignment="1">
      <alignment horizontal="center" vertical="center" wrapText="1"/>
    </xf>
    <xf numFmtId="0" fontId="18" fillId="8" borderId="0" xfId="0" applyFont="1" applyFill="1"/>
    <xf numFmtId="0" fontId="18" fillId="8" borderId="1" xfId="0" applyFont="1" applyFill="1" applyBorder="1" applyAlignment="1">
      <alignment vertical="center" wrapText="1"/>
    </xf>
    <xf numFmtId="0" fontId="38" fillId="0" borderId="0" xfId="0" applyFont="1"/>
    <xf numFmtId="167" fontId="32" fillId="9" borderId="1" xfId="2" applyNumberFormat="1" applyFont="1" applyFill="1" applyBorder="1"/>
    <xf numFmtId="0" fontId="3" fillId="0" borderId="0" xfId="0" applyFont="1" applyAlignment="1">
      <alignment horizontal="left" vertical="center" wrapText="1"/>
    </xf>
    <xf numFmtId="0" fontId="25" fillId="0" borderId="0" xfId="2" applyFont="1" applyAlignment="1">
      <alignment horizontal="left" vertical="top" wrapText="1"/>
    </xf>
    <xf numFmtId="0" fontId="27" fillId="0" borderId="0" xfId="2" applyFont="1"/>
    <xf numFmtId="0" fontId="31" fillId="0" borderId="0" xfId="2" applyFont="1" applyAlignment="1">
      <alignment horizontal="left" vertical="center" wrapText="1"/>
    </xf>
    <xf numFmtId="0" fontId="31" fillId="0" borderId="1" xfId="0" applyFont="1" applyBorder="1" applyAlignment="1">
      <alignment horizontal="center" vertical="center" wrapText="1"/>
    </xf>
    <xf numFmtId="0" fontId="25" fillId="0" borderId="1" xfId="0" applyFont="1" applyBorder="1" applyAlignment="1">
      <alignment vertical="center" wrapText="1"/>
    </xf>
    <xf numFmtId="0" fontId="28" fillId="0" borderId="0" xfId="16" applyFont="1" applyBorder="1" applyAlignment="1">
      <alignment wrapText="1"/>
    </xf>
    <xf numFmtId="167" fontId="32" fillId="9" borderId="0" xfId="2" applyNumberFormat="1" applyFont="1" applyFill="1"/>
    <xf numFmtId="0" fontId="18" fillId="0" borderId="0" xfId="15" applyFont="1" applyFill="1" applyBorder="1" applyAlignment="1">
      <alignment wrapText="1"/>
    </xf>
    <xf numFmtId="0" fontId="38" fillId="0" borderId="0" xfId="0" applyFont="1" applyAlignment="1">
      <alignment horizontal="center"/>
    </xf>
    <xf numFmtId="0" fontId="33" fillId="0" borderId="0" xfId="6" applyFont="1" applyAlignment="1">
      <alignment vertical="center"/>
    </xf>
    <xf numFmtId="0" fontId="33" fillId="0" borderId="0" xfId="6" applyFont="1" applyAlignment="1">
      <alignment vertical="center" wrapText="1"/>
    </xf>
    <xf numFmtId="167" fontId="32" fillId="9" borderId="1" xfId="2" applyNumberFormat="1" applyFont="1" applyFill="1" applyBorder="1" applyAlignment="1">
      <alignment horizontal="center"/>
    </xf>
    <xf numFmtId="0" fontId="19" fillId="0" borderId="1" xfId="0" applyFont="1" applyBorder="1" applyAlignment="1">
      <alignment horizontal="center"/>
    </xf>
    <xf numFmtId="0" fontId="31" fillId="0" borderId="7" xfId="2" applyFont="1" applyBorder="1" applyAlignment="1">
      <alignment horizontal="center" wrapText="1"/>
    </xf>
    <xf numFmtId="0" fontId="31" fillId="0" borderId="1" xfId="0" applyFont="1" applyBorder="1" applyAlignment="1">
      <alignment wrapText="1"/>
    </xf>
    <xf numFmtId="0" fontId="3" fillId="0" borderId="0" xfId="0" applyFont="1" applyAlignment="1" applyProtection="1">
      <alignment vertical="center"/>
      <protection locked="0"/>
    </xf>
    <xf numFmtId="167" fontId="29" fillId="0" borderId="1" xfId="2" applyNumberFormat="1" applyFont="1" applyBorder="1" applyAlignment="1">
      <alignment vertical="center"/>
    </xf>
    <xf numFmtId="0" fontId="18" fillId="0" borderId="1" xfId="1" applyNumberFormat="1" applyFont="1" applyFill="1" applyBorder="1" applyAlignment="1">
      <alignment horizontal="left" vertical="center" wrapText="1"/>
    </xf>
    <xf numFmtId="0" fontId="18" fillId="0" borderId="2" xfId="2" applyFont="1" applyBorder="1" applyAlignment="1">
      <alignment horizontal="left" vertical="center" wrapText="1"/>
    </xf>
    <xf numFmtId="0" fontId="28" fillId="0" borderId="0" xfId="15" applyFont="1" applyBorder="1" applyAlignment="1">
      <alignment wrapText="1"/>
    </xf>
    <xf numFmtId="0" fontId="53" fillId="0" borderId="7" xfId="2" applyFont="1" applyBorder="1" applyAlignment="1">
      <alignment vertical="center" wrapText="1"/>
    </xf>
    <xf numFmtId="0" fontId="69" fillId="6" borderId="0" xfId="6" applyFont="1" applyFill="1" applyAlignment="1">
      <alignment horizontal="right" vertical="top"/>
    </xf>
    <xf numFmtId="0" fontId="30" fillId="0" borderId="0" xfId="18" applyFont="1" applyBorder="1" applyAlignment="1">
      <alignment vertical="top" wrapText="1"/>
    </xf>
    <xf numFmtId="0" fontId="48" fillId="0" borderId="1" xfId="0" applyFont="1" applyBorder="1" applyAlignment="1">
      <alignment vertical="center" wrapText="1"/>
    </xf>
    <xf numFmtId="0" fontId="33" fillId="6" borderId="1" xfId="6" applyFont="1" applyFill="1" applyBorder="1" applyAlignment="1">
      <alignment horizontal="left" vertical="center" wrapText="1"/>
    </xf>
    <xf numFmtId="0" fontId="18" fillId="0" borderId="5" xfId="1" applyNumberFormat="1" applyFont="1" applyFill="1" applyBorder="1" applyAlignment="1">
      <alignment horizontal="left" vertical="center" wrapText="1"/>
    </xf>
    <xf numFmtId="0" fontId="18" fillId="0" borderId="5" xfId="0" applyFont="1" applyBorder="1" applyAlignment="1">
      <alignment horizontal="left" vertical="center" wrapText="1"/>
    </xf>
    <xf numFmtId="0" fontId="48" fillId="0" borderId="5" xfId="0" applyFont="1" applyBorder="1" applyAlignment="1">
      <alignment vertical="center" wrapText="1"/>
    </xf>
    <xf numFmtId="164" fontId="18" fillId="0" borderId="1" xfId="1" applyNumberFormat="1" applyFont="1" applyFill="1" applyBorder="1" applyAlignment="1">
      <alignment horizontal="left" vertical="center" wrapText="1"/>
    </xf>
    <xf numFmtId="0" fontId="30" fillId="0" borderId="0" xfId="15" applyFont="1" applyBorder="1" applyAlignment="1">
      <alignment vertical="top"/>
    </xf>
    <xf numFmtId="0" fontId="70" fillId="3" borderId="0" xfId="0" applyFont="1" applyFill="1" applyAlignment="1">
      <alignment wrapText="1"/>
    </xf>
    <xf numFmtId="0" fontId="70" fillId="0" borderId="0" xfId="0" applyFont="1" applyAlignment="1">
      <alignment wrapText="1"/>
    </xf>
    <xf numFmtId="0" fontId="72" fillId="0" borderId="0" xfId="0" applyFont="1" applyAlignment="1">
      <alignment vertical="center"/>
    </xf>
    <xf numFmtId="0" fontId="71" fillId="0" borderId="0" xfId="0" applyFont="1"/>
    <xf numFmtId="0" fontId="37" fillId="0" borderId="0" xfId="15" applyFont="1" applyBorder="1" applyAlignment="1"/>
    <xf numFmtId="0" fontId="46" fillId="0" borderId="0" xfId="0" applyFont="1" applyAlignment="1">
      <alignment wrapText="1"/>
    </xf>
    <xf numFmtId="169" fontId="32" fillId="9" borderId="1" xfId="2" applyNumberFormat="1" applyFont="1" applyFill="1" applyBorder="1"/>
    <xf numFmtId="169" fontId="32" fillId="9" borderId="1" xfId="2" applyNumberFormat="1" applyFont="1" applyFill="1" applyBorder="1" applyAlignment="1">
      <alignment horizontal="right"/>
    </xf>
    <xf numFmtId="0" fontId="18" fillId="8" borderId="9" xfId="0" applyFont="1" applyFill="1" applyBorder="1" applyAlignment="1">
      <alignment vertical="top" wrapText="1"/>
    </xf>
    <xf numFmtId="0" fontId="34" fillId="0" borderId="1" xfId="0" applyFont="1" applyBorder="1" applyAlignment="1">
      <alignment horizontal="center"/>
    </xf>
    <xf numFmtId="0" fontId="28" fillId="0" borderId="0" xfId="16" applyFont="1" applyFill="1" applyBorder="1"/>
    <xf numFmtId="0" fontId="4" fillId="0" borderId="0" xfId="3"/>
    <xf numFmtId="0" fontId="4" fillId="0" borderId="0" xfId="3" applyAlignment="1">
      <alignment horizontal="center" vertical="center" wrapText="1"/>
    </xf>
    <xf numFmtId="0" fontId="33" fillId="0" borderId="0" xfId="0" quotePrefix="1" applyFont="1" applyAlignment="1">
      <alignment horizontal="left"/>
    </xf>
    <xf numFmtId="165" fontId="57" fillId="3" borderId="0" xfId="1" applyNumberFormat="1" applyFont="1" applyFill="1" applyBorder="1"/>
    <xf numFmtId="0" fontId="53" fillId="0" borderId="5" xfId="2" applyFont="1" applyBorder="1" applyAlignment="1">
      <alignment vertical="center" wrapText="1"/>
    </xf>
    <xf numFmtId="0" fontId="19" fillId="11" borderId="7" xfId="0" applyFont="1" applyFill="1" applyBorder="1" applyAlignment="1">
      <alignment horizontal="center"/>
    </xf>
    <xf numFmtId="9" fontId="23" fillId="5" borderId="1" xfId="19" applyFont="1" applyFill="1" applyBorder="1" applyProtection="1">
      <protection locked="0"/>
    </xf>
    <xf numFmtId="0" fontId="33" fillId="0" borderId="0" xfId="6" applyFont="1" applyFill="1" applyAlignment="1">
      <alignment vertical="center" wrapText="1"/>
    </xf>
    <xf numFmtId="0" fontId="18" fillId="7" borderId="1" xfId="0" applyFont="1" applyFill="1" applyBorder="1" applyAlignment="1">
      <alignment vertical="center" wrapText="1"/>
    </xf>
    <xf numFmtId="0" fontId="18" fillId="9" borderId="0" xfId="0" applyFont="1" applyFill="1" applyAlignment="1">
      <alignment vertical="center"/>
    </xf>
    <xf numFmtId="168" fontId="32" fillId="0" borderId="1" xfId="2" applyNumberFormat="1" applyFont="1" applyBorder="1"/>
    <xf numFmtId="168" fontId="32" fillId="3" borderId="1" xfId="2" applyNumberFormat="1" applyFont="1" applyFill="1" applyBorder="1"/>
    <xf numFmtId="0" fontId="38" fillId="3" borderId="0" xfId="0" applyFont="1" applyFill="1" applyAlignment="1">
      <alignment vertical="top" wrapText="1"/>
    </xf>
    <xf numFmtId="0" fontId="68" fillId="0" borderId="0" xfId="16" applyFont="1" applyBorder="1"/>
    <xf numFmtId="0" fontId="4" fillId="0" borderId="0" xfId="0" applyFont="1" applyAlignment="1">
      <alignment horizontal="left"/>
    </xf>
    <xf numFmtId="0" fontId="69" fillId="6" borderId="0" xfId="6" applyFont="1" applyFill="1" applyAlignment="1">
      <alignment horizontal="left" vertical="top"/>
    </xf>
    <xf numFmtId="0" fontId="33" fillId="3" borderId="0" xfId="0" quotePrefix="1" applyFont="1" applyFill="1" applyAlignment="1">
      <alignment horizontal="left" vertical="top"/>
    </xf>
    <xf numFmtId="0" fontId="18"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19" fillId="0" borderId="0" xfId="2" applyFont="1" applyAlignment="1">
      <alignment horizontal="center" vertical="center" wrapText="1"/>
    </xf>
    <xf numFmtId="0" fontId="19" fillId="0" borderId="0" xfId="2" applyFont="1" applyAlignment="1">
      <alignment horizontal="center" vertical="center"/>
    </xf>
    <xf numFmtId="0" fontId="18" fillId="3" borderId="1" xfId="2" applyFont="1" applyFill="1" applyBorder="1" applyAlignment="1">
      <alignment horizontal="left" vertical="center" wrapText="1"/>
    </xf>
    <xf numFmtId="0" fontId="33" fillId="3" borderId="0" xfId="0" quotePrefix="1" applyFont="1" applyFill="1" applyAlignment="1">
      <alignment horizontal="left"/>
    </xf>
    <xf numFmtId="3" fontId="1" fillId="5" borderId="1" xfId="0" applyNumberFormat="1" applyFont="1" applyFill="1" applyBorder="1" applyProtection="1">
      <protection locked="0"/>
    </xf>
    <xf numFmtId="165" fontId="31" fillId="0" borderId="1" xfId="9" applyNumberFormat="1" applyFont="1" applyBorder="1" applyAlignment="1">
      <alignment horizontal="center" wrapText="1"/>
    </xf>
    <xf numFmtId="0" fontId="1" fillId="0" borderId="2" xfId="1" applyNumberFormat="1" applyFont="1" applyBorder="1" applyAlignment="1">
      <alignment horizontal="left" vertical="top" wrapText="1"/>
    </xf>
    <xf numFmtId="0" fontId="1" fillId="0" borderId="1" xfId="1" applyNumberFormat="1" applyFont="1" applyBorder="1" applyAlignment="1">
      <alignment horizontal="left" vertical="top" wrapText="1"/>
    </xf>
    <xf numFmtId="3" fontId="1" fillId="5" borderId="1" xfId="0" applyNumberFormat="1" applyFont="1" applyFill="1" applyBorder="1" applyAlignment="1" applyProtection="1">
      <alignment horizontal="center"/>
      <protection locked="0"/>
    </xf>
    <xf numFmtId="0" fontId="1" fillId="5" borderId="1" xfId="0" applyFont="1" applyFill="1" applyBorder="1" applyAlignment="1" applyProtection="1">
      <alignment vertical="center"/>
      <protection locked="0"/>
    </xf>
    <xf numFmtId="0" fontId="34" fillId="3" borderId="1" xfId="0" applyFont="1" applyFill="1" applyBorder="1" applyAlignment="1">
      <alignment horizontal="left" vertical="center" wrapText="1"/>
    </xf>
    <xf numFmtId="165" fontId="57" fillId="3" borderId="0" xfId="1" applyNumberFormat="1" applyFont="1" applyFill="1" applyBorder="1" applyAlignment="1">
      <alignment horizontal="left"/>
    </xf>
    <xf numFmtId="0" fontId="71" fillId="0" borderId="0" xfId="0" applyFont="1" applyAlignment="1">
      <alignment horizontal="left" wrapText="1"/>
    </xf>
    <xf numFmtId="0" fontId="5" fillId="0" borderId="0" xfId="0" applyFont="1" applyAlignment="1">
      <alignment horizontal="left" wrapText="1"/>
    </xf>
    <xf numFmtId="0" fontId="34" fillId="0" borderId="1" xfId="0" applyFont="1" applyBorder="1" applyAlignment="1">
      <alignment horizontal="left" vertical="center"/>
    </xf>
    <xf numFmtId="164" fontId="1" fillId="0" borderId="1" xfId="1" applyNumberFormat="1" applyFont="1" applyFill="1" applyBorder="1" applyAlignment="1" applyProtection="1">
      <alignment horizontal="center" vertical="center" wrapText="1"/>
    </xf>
    <xf numFmtId="164" fontId="18" fillId="0" borderId="6" xfId="1" applyNumberFormat="1" applyFont="1" applyFill="1" applyBorder="1" applyAlignment="1" applyProtection="1">
      <alignment horizontal="left" vertical="center"/>
    </xf>
    <xf numFmtId="164" fontId="1" fillId="0" borderId="1" xfId="1" applyNumberFormat="1" applyFont="1" applyFill="1" applyBorder="1" applyAlignment="1">
      <alignment vertical="center"/>
    </xf>
    <xf numFmtId="0" fontId="18" fillId="0" borderId="0" xfId="0" applyFont="1" applyAlignment="1">
      <alignment vertical="top" wrapText="1"/>
    </xf>
    <xf numFmtId="0" fontId="1" fillId="0" borderId="0" xfId="0" applyFont="1" applyAlignment="1">
      <alignment horizontal="left" vertical="center"/>
    </xf>
    <xf numFmtId="0" fontId="0" fillId="7" borderId="0" xfId="0" applyFill="1"/>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xf numFmtId="0" fontId="1" fillId="0" borderId="0" xfId="0" applyFont="1" applyAlignment="1">
      <alignment vertical="center" wrapText="1"/>
    </xf>
    <xf numFmtId="165" fontId="1" fillId="0" borderId="0" xfId="4" applyNumberFormat="1" applyFont="1" applyBorder="1" applyProtection="1"/>
    <xf numFmtId="165" fontId="1" fillId="0" borderId="0" xfId="4" applyNumberFormat="1" applyFont="1" applyFill="1" applyBorder="1" applyProtection="1"/>
    <xf numFmtId="165" fontId="1" fillId="0" borderId="0" xfId="4" applyNumberFormat="1" applyFont="1" applyFill="1" applyBorder="1" applyAlignment="1" applyProtection="1">
      <alignment horizontal="right"/>
    </xf>
    <xf numFmtId="0" fontId="1" fillId="0" borderId="1" xfId="0" applyFont="1" applyBorder="1" applyAlignment="1">
      <alignment horizontal="center" vertical="center"/>
    </xf>
    <xf numFmtId="0" fontId="1" fillId="0" borderId="0" xfId="2" applyFont="1"/>
    <xf numFmtId="0" fontId="1" fillId="0" borderId="0" xfId="2" applyFont="1" applyAlignment="1">
      <alignment horizontal="left" wrapText="1"/>
    </xf>
    <xf numFmtId="0" fontId="1" fillId="0" borderId="8" xfId="0" applyFont="1" applyBorder="1"/>
    <xf numFmtId="164" fontId="1" fillId="0" borderId="1" xfId="1" applyNumberFormat="1" applyFont="1" applyBorder="1" applyAlignment="1">
      <alignment horizontal="left" vertical="center" wrapText="1"/>
    </xf>
    <xf numFmtId="0" fontId="1" fillId="0" borderId="6" xfId="1" applyNumberFormat="1" applyFont="1" applyBorder="1" applyAlignment="1">
      <alignment horizontal="left" vertical="top" wrapText="1"/>
    </xf>
    <xf numFmtId="164" fontId="1" fillId="0" borderId="0" xfId="1" applyNumberFormat="1" applyFont="1" applyBorder="1" applyAlignment="1">
      <alignment horizontal="left" vertical="top" wrapText="1"/>
    </xf>
    <xf numFmtId="164" fontId="1" fillId="0" borderId="0" xfId="1" applyNumberFormat="1" applyFont="1" applyFill="1" applyBorder="1"/>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xf>
    <xf numFmtId="164" fontId="1" fillId="0" borderId="1" xfId="1" applyNumberFormat="1" applyFont="1" applyFill="1" applyBorder="1" applyAlignment="1"/>
    <xf numFmtId="164" fontId="1" fillId="0" borderId="1" xfId="1" applyNumberFormat="1" applyFont="1" applyBorder="1" applyAlignment="1">
      <alignment horizontal="left" wrapText="1"/>
    </xf>
    <xf numFmtId="164" fontId="1" fillId="0" borderId="0" xfId="1" applyNumberFormat="1" applyFont="1" applyBorder="1" applyAlignment="1" applyProtection="1">
      <alignment horizontal="center" vertical="center"/>
    </xf>
    <xf numFmtId="164" fontId="1" fillId="0" borderId="0" xfId="1" applyNumberFormat="1" applyFont="1" applyBorder="1" applyAlignment="1" applyProtection="1">
      <alignment horizontal="left" vertical="top" wrapText="1"/>
    </xf>
    <xf numFmtId="164" fontId="1" fillId="0" borderId="0" xfId="1" applyNumberFormat="1" applyFont="1" applyFill="1" applyBorder="1" applyAlignment="1" applyProtection="1">
      <alignment horizontal="left" vertical="top" wrapText="1"/>
    </xf>
    <xf numFmtId="0" fontId="1" fillId="0" borderId="1" xfId="1" applyNumberFormat="1" applyFont="1" applyBorder="1" applyAlignment="1">
      <alignment horizontal="left" vertical="center" wrapText="1"/>
    </xf>
    <xf numFmtId="0" fontId="1" fillId="0" borderId="0" xfId="2" applyFont="1" applyAlignment="1">
      <alignment horizontal="left" vertical="top" wrapText="1"/>
    </xf>
    <xf numFmtId="0" fontId="1" fillId="0" borderId="0" xfId="2" applyFont="1" applyAlignment="1">
      <alignment vertical="top" wrapText="1"/>
    </xf>
    <xf numFmtId="164" fontId="1" fillId="0" borderId="0" xfId="1" applyNumberFormat="1" applyFont="1" applyBorder="1" applyAlignment="1">
      <alignment horizontal="left" vertical="center" wrapText="1"/>
    </xf>
    <xf numFmtId="0" fontId="1" fillId="0" borderId="8" xfId="1" applyNumberFormat="1" applyFont="1" applyBorder="1" applyAlignment="1">
      <alignment horizontal="left" vertical="top" wrapText="1"/>
    </xf>
    <xf numFmtId="164" fontId="1" fillId="0" borderId="6" xfId="1" applyNumberFormat="1" applyFont="1" applyFill="1" applyBorder="1" applyAlignment="1">
      <alignment vertical="center"/>
    </xf>
    <xf numFmtId="0" fontId="1" fillId="0" borderId="1" xfId="2" applyFont="1" applyBorder="1" applyAlignment="1">
      <alignment horizontal="center" vertical="center"/>
    </xf>
    <xf numFmtId="164" fontId="1" fillId="0" borderId="1" xfId="1" applyNumberFormat="1" applyFont="1" applyFill="1" applyBorder="1" applyAlignment="1" applyProtection="1">
      <alignment horizontal="center" vertical="center"/>
    </xf>
    <xf numFmtId="164" fontId="1" fillId="0" borderId="1" xfId="1" applyNumberFormat="1" applyFont="1" applyFill="1" applyBorder="1" applyAlignment="1">
      <alignment horizontal="left" vertical="center" wrapText="1"/>
    </xf>
    <xf numFmtId="164" fontId="1" fillId="0" borderId="0" xfId="1" applyNumberFormat="1" applyFont="1" applyFill="1" applyBorder="1" applyAlignment="1">
      <alignment vertical="center"/>
    </xf>
    <xf numFmtId="164" fontId="1" fillId="0" borderId="0" xfId="1" applyNumberFormat="1" applyFont="1" applyFill="1" applyBorder="1" applyAlignment="1" applyProtection="1">
      <alignment horizontal="center" vertical="center"/>
    </xf>
    <xf numFmtId="164" fontId="1" fillId="0" borderId="0" xfId="1" applyNumberFormat="1" applyFont="1" applyFill="1" applyBorder="1" applyAlignment="1" applyProtection="1">
      <alignment vertical="center" wrapText="1"/>
    </xf>
    <xf numFmtId="0" fontId="1" fillId="0" borderId="1" xfId="1" applyNumberFormat="1" applyFont="1" applyFill="1" applyBorder="1" applyAlignment="1">
      <alignment horizontal="left" vertical="center" wrapText="1"/>
    </xf>
    <xf numFmtId="164" fontId="1" fillId="0" borderId="1" xfId="1" applyNumberFormat="1" applyFont="1" applyBorder="1" applyAlignment="1">
      <alignment horizontal="center" vertical="center"/>
    </xf>
    <xf numFmtId="0" fontId="1" fillId="0" borderId="1" xfId="0" applyFont="1" applyBorder="1" applyAlignment="1">
      <alignment vertical="center"/>
    </xf>
    <xf numFmtId="164" fontId="1" fillId="0" borderId="0" xfId="1" applyNumberFormat="1"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64" fontId="1" fillId="0" borderId="0" xfId="1" applyNumberFormat="1" applyFont="1" applyFill="1" applyBorder="1" applyAlignment="1">
      <alignment horizontal="left" vertical="top" wrapText="1"/>
    </xf>
    <xf numFmtId="0" fontId="1" fillId="0" borderId="0" xfId="2" applyFont="1" applyAlignment="1">
      <alignment horizontal="center" vertical="center"/>
    </xf>
    <xf numFmtId="0" fontId="1" fillId="0" borderId="0" xfId="2" applyFont="1" applyAlignment="1">
      <alignment wrapText="1"/>
    </xf>
    <xf numFmtId="0" fontId="1" fillId="0" borderId="5" xfId="1" applyNumberFormat="1" applyFont="1" applyBorder="1" applyAlignment="1">
      <alignment horizontal="left" vertical="center" wrapText="1"/>
    </xf>
    <xf numFmtId="0" fontId="1" fillId="0" borderId="5" xfId="1" applyNumberFormat="1" applyFont="1" applyBorder="1" applyAlignment="1">
      <alignment vertical="center" wrapText="1"/>
    </xf>
    <xf numFmtId="164" fontId="1" fillId="0" borderId="1" xfId="1" applyNumberFormat="1" applyFont="1" applyBorder="1" applyAlignment="1">
      <alignment vertical="center" wrapText="1"/>
    </xf>
    <xf numFmtId="0" fontId="1" fillId="0" borderId="0" xfId="2" applyFont="1" applyAlignment="1">
      <alignment vertical="center" wrapText="1"/>
    </xf>
    <xf numFmtId="164" fontId="1" fillId="0" borderId="0" xfId="1" applyNumberFormat="1" applyFont="1" applyBorder="1" applyAlignment="1">
      <alignment vertical="center"/>
    </xf>
    <xf numFmtId="164" fontId="1" fillId="0" borderId="0" xfId="1" applyNumberFormat="1" applyFont="1" applyBorder="1" applyAlignment="1">
      <alignment vertical="center" wrapText="1"/>
    </xf>
    <xf numFmtId="164" fontId="1" fillId="0" borderId="1" xfId="1" applyNumberFormat="1" applyFont="1" applyFill="1" applyBorder="1" applyAlignment="1" applyProtection="1">
      <alignment vertical="center"/>
    </xf>
    <xf numFmtId="0" fontId="1" fillId="0" borderId="5" xfId="1" applyNumberFormat="1" applyFont="1" applyFill="1" applyBorder="1" applyAlignment="1">
      <alignment horizontal="left" vertical="center" wrapText="1"/>
    </xf>
    <xf numFmtId="0" fontId="1" fillId="0" borderId="5" xfId="1" applyNumberFormat="1" applyFont="1" applyBorder="1" applyAlignment="1">
      <alignment horizontal="left" vertical="top" wrapText="1"/>
    </xf>
    <xf numFmtId="165" fontId="1" fillId="0" borderId="0" xfId="4" applyNumberFormat="1" applyFont="1" applyBorder="1" applyAlignment="1" applyProtection="1">
      <alignment vertical="center"/>
      <protection locked="0"/>
    </xf>
    <xf numFmtId="165" fontId="1" fillId="0" borderId="0" xfId="4" applyNumberFormat="1" applyFont="1" applyBorder="1" applyProtection="1">
      <protection locked="0"/>
    </xf>
    <xf numFmtId="0" fontId="1" fillId="0" borderId="0" xfId="0" applyFont="1" applyAlignment="1">
      <alignment wrapText="1"/>
    </xf>
    <xf numFmtId="164" fontId="1" fillId="0" borderId="1" xfId="1" applyNumberFormat="1" applyFont="1" applyFill="1" applyBorder="1" applyAlignment="1">
      <alignment vertical="center" wrapText="1"/>
    </xf>
    <xf numFmtId="164" fontId="1" fillId="0" borderId="1" xfId="1" applyNumberFormat="1" applyFont="1" applyFill="1" applyBorder="1" applyAlignment="1" applyProtection="1"/>
    <xf numFmtId="164" fontId="1" fillId="0" borderId="1" xfId="1" applyNumberFormat="1" applyFont="1" applyFill="1" applyBorder="1" applyAlignment="1">
      <alignment horizontal="center" vertical="center"/>
    </xf>
    <xf numFmtId="0" fontId="1" fillId="0" borderId="2" xfId="2" applyFont="1" applyBorder="1" applyAlignment="1">
      <alignment horizontal="center" vertical="center" wrapText="1"/>
    </xf>
    <xf numFmtId="164" fontId="1" fillId="0" borderId="1" xfId="1" applyNumberFormat="1" applyFont="1" applyBorder="1" applyAlignment="1">
      <alignment vertical="center"/>
    </xf>
    <xf numFmtId="0" fontId="1" fillId="0" borderId="1" xfId="0" applyFont="1" applyBorder="1" applyAlignment="1">
      <alignment vertical="center" wrapText="1"/>
    </xf>
    <xf numFmtId="3" fontId="44" fillId="0" borderId="1" xfId="0" applyNumberFormat="1" applyFont="1" applyBorder="1" applyAlignment="1">
      <alignment vertical="center"/>
    </xf>
    <xf numFmtId="0" fontId="30" fillId="0" borderId="0" xfId="15" applyFont="1" applyFill="1" applyBorder="1" applyAlignment="1">
      <alignment vertical="top"/>
    </xf>
    <xf numFmtId="0" fontId="33" fillId="3" borderId="0" xfId="0" quotePrefix="1" applyFont="1" applyFill="1" applyAlignment="1">
      <alignment horizontal="right" vertical="top"/>
    </xf>
    <xf numFmtId="0" fontId="32" fillId="0" borderId="5" xfId="3" applyFont="1" applyBorder="1" applyAlignment="1">
      <alignment vertical="center" wrapText="1"/>
    </xf>
    <xf numFmtId="0" fontId="18" fillId="0" borderId="1" xfId="0" applyFont="1" applyBorder="1" applyAlignment="1">
      <alignment horizontal="center" vertical="center"/>
    </xf>
    <xf numFmtId="0" fontId="18" fillId="0" borderId="7" xfId="0" applyFont="1" applyBorder="1" applyAlignment="1">
      <alignment horizontal="center" vertical="center"/>
    </xf>
    <xf numFmtId="3" fontId="1" fillId="5" borderId="1" xfId="0" applyNumberFormat="1" applyFont="1" applyFill="1" applyBorder="1" applyAlignment="1" applyProtection="1">
      <alignment horizontal="center" vertical="center"/>
      <protection locked="0"/>
    </xf>
    <xf numFmtId="0" fontId="1" fillId="10" borderId="0" xfId="0" applyFont="1" applyFill="1" applyAlignment="1">
      <alignment wrapText="1"/>
    </xf>
    <xf numFmtId="0" fontId="1" fillId="0" borderId="0" xfId="0" applyFont="1" applyAlignment="1">
      <alignment horizontal="left" vertical="center" wrapText="1"/>
    </xf>
    <xf numFmtId="0" fontId="1" fillId="0" borderId="0" xfId="0" applyFont="1" applyAlignment="1">
      <alignment vertical="top" wrapText="1"/>
    </xf>
    <xf numFmtId="0" fontId="1" fillId="8" borderId="0" xfId="0" applyFont="1" applyFill="1" applyAlignment="1">
      <alignment wrapText="1"/>
    </xf>
    <xf numFmtId="0" fontId="1" fillId="5"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wrapText="1"/>
      <protection locked="0"/>
    </xf>
    <xf numFmtId="14" fontId="1" fillId="5" borderId="1" xfId="0" applyNumberFormat="1" applyFont="1" applyFill="1" applyBorder="1" applyProtection="1">
      <protection locked="0"/>
    </xf>
    <xf numFmtId="0" fontId="1" fillId="5" borderId="1" xfId="0" applyFont="1" applyFill="1" applyBorder="1" applyProtection="1">
      <protection locked="0"/>
    </xf>
    <xf numFmtId="0" fontId="1" fillId="8" borderId="0" xfId="0" applyFont="1" applyFill="1" applyAlignment="1">
      <alignment vertical="center" wrapText="1"/>
    </xf>
    <xf numFmtId="165" fontId="1" fillId="3" borderId="0" xfId="1" applyNumberFormat="1" applyFont="1" applyFill="1" applyBorder="1"/>
    <xf numFmtId="0" fontId="1"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3" borderId="0" xfId="0" applyFont="1" applyFill="1" applyAlignment="1">
      <alignment horizontal="left"/>
    </xf>
    <xf numFmtId="0" fontId="1" fillId="9" borderId="20" xfId="0" applyFont="1" applyFill="1" applyBorder="1" applyAlignment="1">
      <alignment horizontal="left" wrapText="1"/>
    </xf>
    <xf numFmtId="0" fontId="1" fillId="9" borderId="20" xfId="0" applyFont="1" applyFill="1" applyBorder="1" applyAlignment="1">
      <alignment horizontal="left"/>
    </xf>
    <xf numFmtId="0" fontId="1" fillId="0" borderId="1" xfId="0" applyFont="1" applyBorder="1" applyAlignment="1">
      <alignment horizontal="left"/>
    </xf>
    <xf numFmtId="0" fontId="1" fillId="3" borderId="1" xfId="0" applyFont="1" applyFill="1" applyBorder="1" applyAlignment="1">
      <alignment horizontal="left"/>
    </xf>
    <xf numFmtId="0" fontId="34" fillId="6" borderId="1" xfId="0" applyFont="1" applyFill="1" applyBorder="1" applyAlignment="1">
      <alignment horizontal="center" vertical="center"/>
    </xf>
    <xf numFmtId="0" fontId="31" fillId="6" borderId="1" xfId="2" applyFont="1" applyFill="1" applyBorder="1" applyAlignment="1">
      <alignment horizontal="left" vertical="center" wrapText="1"/>
    </xf>
    <xf numFmtId="0" fontId="18" fillId="6" borderId="1" xfId="0" applyFont="1" applyFill="1" applyBorder="1" applyAlignment="1">
      <alignment horizontal="center" vertical="center"/>
    </xf>
    <xf numFmtId="0" fontId="69" fillId="6" borderId="0" xfId="6" applyFont="1" applyFill="1" applyAlignment="1">
      <alignment horizontal="left" vertical="top" wrapText="1"/>
    </xf>
    <xf numFmtId="0" fontId="18" fillId="8" borderId="0" xfId="0" applyFont="1" applyFill="1" applyAlignment="1">
      <alignment wrapText="1"/>
    </xf>
    <xf numFmtId="0" fontId="69" fillId="0" borderId="0" xfId="6" applyFont="1"/>
    <xf numFmtId="0" fontId="69" fillId="6" borderId="1" xfId="6" applyFont="1" applyFill="1" applyBorder="1" applyAlignment="1">
      <alignment horizontal="left" vertical="top" wrapText="1"/>
    </xf>
    <xf numFmtId="0" fontId="69" fillId="0" borderId="2" xfId="2" applyFont="1" applyBorder="1" applyAlignment="1">
      <alignment horizontal="center" vertical="center"/>
    </xf>
    <xf numFmtId="0" fontId="69" fillId="6" borderId="1" xfId="6" applyFont="1" applyFill="1" applyBorder="1" applyAlignment="1">
      <alignment horizontal="left" vertical="center" wrapText="1"/>
    </xf>
    <xf numFmtId="0" fontId="77" fillId="0" borderId="0" xfId="0" applyFont="1"/>
    <xf numFmtId="0" fontId="29" fillId="0" borderId="1" xfId="0" applyFont="1" applyBorder="1" applyAlignment="1">
      <alignment vertical="center" wrapText="1"/>
    </xf>
    <xf numFmtId="0" fontId="1" fillId="3" borderId="0" xfId="0" applyFont="1" applyFill="1" applyAlignment="1">
      <alignment vertical="center" wrapText="1"/>
    </xf>
    <xf numFmtId="0" fontId="18" fillId="6" borderId="0" xfId="0" applyFont="1" applyFill="1"/>
    <xf numFmtId="165" fontId="44" fillId="0" borderId="0" xfId="4" applyNumberFormat="1" applyFont="1" applyFill="1" applyBorder="1" applyAlignment="1">
      <alignment horizontal="left"/>
    </xf>
    <xf numFmtId="0" fontId="25" fillId="0" borderId="0" xfId="2" applyFont="1" applyAlignment="1">
      <alignment horizontal="left" vertical="center"/>
    </xf>
    <xf numFmtId="0" fontId="25" fillId="0" borderId="0" xfId="0" applyFont="1" applyAlignment="1">
      <alignment horizontal="left"/>
    </xf>
    <xf numFmtId="0" fontId="31" fillId="0" borderId="2" xfId="2" applyFont="1" applyBorder="1" applyAlignment="1">
      <alignment horizontal="left" vertical="center"/>
    </xf>
    <xf numFmtId="0" fontId="31" fillId="0" borderId="1" xfId="2" applyFont="1" applyBorder="1" applyAlignment="1">
      <alignment vertical="center"/>
    </xf>
    <xf numFmtId="0" fontId="18" fillId="6" borderId="0" xfId="0" applyFont="1" applyFill="1" applyAlignment="1">
      <alignment vertical="top" wrapText="1"/>
    </xf>
    <xf numFmtId="0" fontId="3" fillId="3"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167" fontId="32" fillId="0" borderId="0" xfId="2" applyNumberFormat="1" applyFont="1"/>
    <xf numFmtId="0" fontId="4" fillId="0" borderId="0" xfId="0" applyFont="1" applyAlignment="1">
      <alignment wrapText="1"/>
    </xf>
    <xf numFmtId="0" fontId="69" fillId="6" borderId="0" xfId="6" applyFont="1" applyFill="1" applyAlignment="1">
      <alignment horizontal="left"/>
    </xf>
    <xf numFmtId="0" fontId="1" fillId="0" borderId="1" xfId="2" applyFont="1" applyBorder="1" applyAlignment="1">
      <alignment vertical="center" wrapText="1"/>
    </xf>
    <xf numFmtId="0" fontId="53" fillId="0" borderId="0" xfId="2" applyFont="1" applyAlignment="1">
      <alignment vertical="center" wrapText="1"/>
    </xf>
    <xf numFmtId="0" fontId="53" fillId="0" borderId="1" xfId="2" applyFont="1" applyBorder="1" applyAlignment="1">
      <alignment wrapText="1"/>
    </xf>
    <xf numFmtId="0" fontId="19" fillId="12" borderId="0" xfId="0" applyFont="1" applyFill="1"/>
    <xf numFmtId="3" fontId="1" fillId="0" borderId="1" xfId="0" applyNumberFormat="1" applyFont="1" applyBorder="1" applyProtection="1">
      <protection locked="0"/>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6" borderId="1" xfId="0" applyFont="1" applyFill="1" applyBorder="1" applyAlignment="1">
      <alignment horizontal="center" vertical="center"/>
    </xf>
    <xf numFmtId="0" fontId="1" fillId="0" borderId="16" xfId="0" applyFont="1" applyBorder="1" applyAlignment="1">
      <alignment horizontal="center" vertical="center"/>
    </xf>
    <xf numFmtId="0" fontId="69" fillId="6" borderId="0" xfId="0" quotePrefix="1" applyFont="1" applyFill="1" applyAlignment="1">
      <alignment horizontal="left" vertical="top"/>
    </xf>
    <xf numFmtId="0" fontId="69" fillId="6" borderId="0" xfId="0" quotePrefix="1" applyFont="1" applyFill="1" applyAlignment="1">
      <alignment horizontal="left"/>
    </xf>
    <xf numFmtId="0" fontId="31" fillId="0" borderId="0" xfId="0" applyFont="1"/>
    <xf numFmtId="0" fontId="18" fillId="6" borderId="0" xfId="0" applyFont="1" applyFill="1" applyAlignment="1">
      <alignment wrapText="1"/>
    </xf>
    <xf numFmtId="0" fontId="0" fillId="0" borderId="0" xfId="0" applyAlignment="1">
      <alignment horizontal="center"/>
    </xf>
    <xf numFmtId="0" fontId="19" fillId="0" borderId="0" xfId="0" applyFont="1" applyAlignment="1">
      <alignment horizontal="center" vertical="center" wrapText="1"/>
    </xf>
    <xf numFmtId="167" fontId="32" fillId="9" borderId="0" xfId="2" applyNumberFormat="1" applyFont="1" applyFill="1" applyAlignment="1">
      <alignment horizontal="left"/>
    </xf>
    <xf numFmtId="0" fontId="19" fillId="0" borderId="0" xfId="0" applyFont="1" applyAlignment="1">
      <alignment horizontal="left" vertical="top"/>
    </xf>
    <xf numFmtId="0" fontId="19" fillId="0" borderId="0" xfId="0" applyFont="1" applyProtection="1">
      <protection locked="0" hidden="1"/>
    </xf>
    <xf numFmtId="0" fontId="18" fillId="0" borderId="0" xfId="15" applyFont="1" applyFill="1" applyBorder="1" applyAlignment="1"/>
    <xf numFmtId="0" fontId="19" fillId="0" borderId="0" xfId="0" applyFont="1" applyAlignment="1">
      <alignment horizontal="left" vertical="center"/>
    </xf>
    <xf numFmtId="0" fontId="21" fillId="0" borderId="0" xfId="0" applyFont="1" applyAlignment="1" applyProtection="1">
      <alignment vertical="center"/>
      <protection locked="0" hidden="1"/>
    </xf>
    <xf numFmtId="0" fontId="36" fillId="0" borderId="0" xfId="0" applyFont="1" applyAlignment="1">
      <alignment horizontal="center" vertical="center" wrapText="1"/>
    </xf>
    <xf numFmtId="0" fontId="19" fillId="0" borderId="0" xfId="0" applyFont="1" applyAlignment="1">
      <alignment horizontal="center" wrapText="1"/>
    </xf>
    <xf numFmtId="165" fontId="44" fillId="0" borderId="0" xfId="4" applyNumberFormat="1" applyFont="1" applyFill="1" applyBorder="1" applyAlignment="1">
      <alignment horizontal="center"/>
    </xf>
    <xf numFmtId="0" fontId="73" fillId="0" borderId="0" xfId="16" applyFont="1" applyBorder="1" applyAlignment="1">
      <alignment horizontal="center"/>
    </xf>
    <xf numFmtId="0" fontId="23" fillId="0" borderId="5" xfId="0" applyFont="1" applyBorder="1" applyAlignment="1" applyProtection="1">
      <alignment horizontal="center"/>
      <protection locked="0"/>
    </xf>
    <xf numFmtId="0" fontId="23" fillId="0" borderId="2" xfId="0" applyFont="1" applyBorder="1" applyAlignment="1" applyProtection="1">
      <alignment horizontal="center"/>
      <protection locked="0"/>
    </xf>
    <xf numFmtId="0" fontId="34" fillId="0" borderId="0" xfId="0" applyFont="1" applyAlignment="1">
      <alignment wrapText="1"/>
    </xf>
    <xf numFmtId="167" fontId="32" fillId="4" borderId="1" xfId="2" applyNumberFormat="1" applyFont="1" applyFill="1" applyBorder="1"/>
    <xf numFmtId="0" fontId="68" fillId="0" borderId="0" xfId="16" applyFont="1" applyBorder="1" applyAlignment="1">
      <alignment horizontal="center"/>
    </xf>
    <xf numFmtId="0" fontId="18" fillId="0" borderId="0" xfId="15" applyFont="1" applyBorder="1"/>
    <xf numFmtId="0" fontId="33" fillId="0" borderId="0" xfId="0" quotePrefix="1" applyFont="1" applyAlignment="1">
      <alignment horizontal="left" vertical="top"/>
    </xf>
    <xf numFmtId="0" fontId="33" fillId="6" borderId="0" xfId="6" applyFont="1" applyFill="1" applyBorder="1" applyAlignment="1">
      <alignment horizontal="left" vertical="center" wrapText="1"/>
    </xf>
    <xf numFmtId="0" fontId="34" fillId="0" borderId="0" xfId="0" applyFont="1" applyAlignment="1">
      <alignment horizontal="center" vertical="center"/>
    </xf>
    <xf numFmtId="0" fontId="47" fillId="0" borderId="0" xfId="0" applyFont="1" applyAlignment="1">
      <alignment vertical="top"/>
    </xf>
    <xf numFmtId="0" fontId="29" fillId="0" borderId="1" xfId="2" applyFont="1" applyBorder="1" applyAlignment="1">
      <alignment wrapText="1"/>
    </xf>
    <xf numFmtId="0" fontId="88" fillId="6" borderId="0" xfId="18" applyFont="1" applyFill="1" applyAlignment="1"/>
    <xf numFmtId="0" fontId="1" fillId="6" borderId="1" xfId="0" applyFont="1" applyFill="1" applyBorder="1" applyAlignment="1">
      <alignment vertical="center" wrapText="1"/>
    </xf>
    <xf numFmtId="0" fontId="28" fillId="6" borderId="0" xfId="16" applyFont="1" applyFill="1" applyBorder="1" applyAlignment="1"/>
    <xf numFmtId="0" fontId="45" fillId="0" borderId="0" xfId="0" applyFont="1" applyAlignment="1">
      <alignment wrapText="1"/>
    </xf>
    <xf numFmtId="0" fontId="89" fillId="6" borderId="0" xfId="0" applyFont="1" applyFill="1"/>
    <xf numFmtId="0" fontId="89" fillId="6" borderId="0" xfId="0" applyFont="1" applyFill="1" applyAlignment="1">
      <alignment wrapText="1"/>
    </xf>
    <xf numFmtId="0" fontId="18" fillId="6" borderId="0" xfId="0" applyFont="1" applyFill="1" applyAlignment="1">
      <alignment vertical="top"/>
    </xf>
    <xf numFmtId="0" fontId="18" fillId="0" borderId="0" xfId="18" applyFont="1" applyAlignment="1">
      <alignment vertical="top" wrapText="1"/>
    </xf>
    <xf numFmtId="0" fontId="29" fillId="0" borderId="0" xfId="0" applyFont="1" applyAlignment="1">
      <alignment vertical="top" wrapText="1"/>
    </xf>
    <xf numFmtId="0" fontId="53" fillId="0" borderId="0" xfId="2" applyFont="1" applyAlignment="1">
      <alignment vertical="top" wrapText="1"/>
    </xf>
    <xf numFmtId="0" fontId="28" fillId="0" borderId="0" xfId="15" applyFont="1" applyBorder="1" applyAlignment="1">
      <alignment vertical="top"/>
    </xf>
    <xf numFmtId="0" fontId="29" fillId="0" borderId="0" xfId="0" applyFont="1" applyAlignment="1">
      <alignment horizontal="left" vertical="top" wrapText="1"/>
    </xf>
    <xf numFmtId="0" fontId="0" fillId="0" borderId="0" xfId="0" applyAlignment="1">
      <alignment vertical="top"/>
    </xf>
    <xf numFmtId="0" fontId="29" fillId="8" borderId="0" xfId="0" applyFont="1" applyFill="1" applyAlignment="1">
      <alignment horizontal="left" vertical="center" wrapText="1"/>
    </xf>
    <xf numFmtId="170" fontId="32" fillId="9" borderId="0" xfId="19" applyNumberFormat="1" applyFont="1" applyFill="1" applyAlignment="1">
      <alignment horizontal="left" vertical="center"/>
    </xf>
    <xf numFmtId="0" fontId="66" fillId="3" borderId="0" xfId="0" applyFont="1" applyFill="1" applyAlignment="1">
      <alignment vertical="center" wrapText="1"/>
    </xf>
    <xf numFmtId="0" fontId="50" fillId="3" borderId="0" xfId="0" applyFont="1" applyFill="1" applyAlignment="1">
      <alignment vertical="center" wrapText="1"/>
    </xf>
    <xf numFmtId="166" fontId="1" fillId="5" borderId="1" xfId="2" applyNumberFormat="1" applyFont="1" applyFill="1" applyBorder="1" applyAlignment="1" applyProtection="1">
      <alignment horizontal="left"/>
      <protection locked="0"/>
    </xf>
    <xf numFmtId="1" fontId="4" fillId="5" borderId="1" xfId="2" applyNumberFormat="1" applyFill="1" applyBorder="1" applyAlignment="1" applyProtection="1">
      <alignment horizontal="left"/>
      <protection locked="0"/>
    </xf>
    <xf numFmtId="0" fontId="55" fillId="0" borderId="0" xfId="6" applyFont="1" applyFill="1" applyAlignment="1">
      <alignment horizontal="left"/>
    </xf>
    <xf numFmtId="0" fontId="10" fillId="6" borderId="1" xfId="6" applyFont="1" applyFill="1" applyBorder="1" applyAlignment="1">
      <alignment horizontal="left" vertical="center" wrapText="1"/>
    </xf>
    <xf numFmtId="0" fontId="18" fillId="6" borderId="1" xfId="6" applyFont="1" applyFill="1" applyBorder="1" applyAlignment="1">
      <alignment horizontal="left" vertical="center" wrapText="1"/>
    </xf>
    <xf numFmtId="0" fontId="29" fillId="8" borderId="0" xfId="0" applyFont="1" applyFill="1" applyAlignment="1">
      <alignment vertical="center" wrapText="1"/>
    </xf>
    <xf numFmtId="0" fontId="28" fillId="0" borderId="0" xfId="15" applyFont="1" applyBorder="1" applyAlignment="1">
      <alignment vertical="center" wrapText="1"/>
    </xf>
    <xf numFmtId="0" fontId="69" fillId="6" borderId="0" xfId="6" applyFont="1" applyFill="1" applyAlignment="1">
      <alignment horizontal="left" wrapText="1"/>
    </xf>
    <xf numFmtId="0" fontId="30" fillId="0" borderId="0" xfId="18" applyFont="1" applyBorder="1" applyAlignment="1" applyProtection="1">
      <alignment vertical="top" wrapText="1"/>
    </xf>
    <xf numFmtId="0" fontId="55" fillId="6" borderId="0" xfId="6" applyFont="1" applyFill="1" applyAlignment="1" applyProtection="1">
      <alignment horizontal="right" vertical="top"/>
    </xf>
    <xf numFmtId="0" fontId="1" fillId="8" borderId="0" xfId="0" applyFont="1" applyFill="1" applyAlignment="1">
      <alignment vertical="top" wrapText="1"/>
    </xf>
    <xf numFmtId="0" fontId="79" fillId="6" borderId="0" xfId="0" applyFont="1" applyFill="1"/>
    <xf numFmtId="0" fontId="28" fillId="0" borderId="0" xfId="15" applyFont="1" applyBorder="1" applyAlignment="1" applyProtection="1"/>
    <xf numFmtId="0" fontId="25" fillId="0" borderId="15" xfId="0" applyFont="1" applyBorder="1" applyAlignment="1">
      <alignment wrapText="1"/>
    </xf>
    <xf numFmtId="0" fontId="25" fillId="6" borderId="15" xfId="0" applyFont="1" applyFill="1" applyBorder="1" applyAlignment="1">
      <alignment wrapText="1"/>
    </xf>
    <xf numFmtId="0" fontId="80" fillId="6" borderId="0" xfId="0" applyFont="1" applyFill="1" applyAlignment="1">
      <alignment wrapText="1"/>
    </xf>
    <xf numFmtId="0" fontId="31" fillId="0" borderId="1" xfId="16" applyFont="1" applyBorder="1" applyAlignment="1" applyProtection="1"/>
    <xf numFmtId="0" fontId="91" fillId="6" borderId="0" xfId="0" applyFont="1" applyFill="1" applyAlignment="1">
      <alignment wrapText="1"/>
    </xf>
    <xf numFmtId="0" fontId="92" fillId="6" borderId="0" xfId="6" applyFont="1" applyFill="1" applyAlignment="1" applyProtection="1">
      <alignment horizontal="left" vertical="center" wrapText="1"/>
    </xf>
    <xf numFmtId="0" fontId="69" fillId="6" borderId="0" xfId="6" applyFont="1" applyFill="1" applyAlignment="1" applyProtection="1">
      <alignment horizontal="left" vertical="center"/>
    </xf>
    <xf numFmtId="0" fontId="55" fillId="6" borderId="0" xfId="6" applyFont="1" applyFill="1" applyAlignment="1" applyProtection="1">
      <alignment horizontal="left" vertical="center"/>
    </xf>
    <xf numFmtId="0" fontId="79" fillId="0" borderId="0" xfId="0" applyFont="1"/>
    <xf numFmtId="0" fontId="18" fillId="6" borderId="0" xfId="6" applyFont="1" applyFill="1" applyAlignment="1" applyProtection="1">
      <alignment horizontal="left" vertical="center" wrapText="1"/>
    </xf>
    <xf numFmtId="0" fontId="69" fillId="0" borderId="0" xfId="6" applyFont="1" applyProtection="1"/>
    <xf numFmtId="167" fontId="32" fillId="9" borderId="15" xfId="2" applyNumberFormat="1" applyFont="1" applyFill="1" applyBorder="1"/>
    <xf numFmtId="0" fontId="55" fillId="10" borderId="0" xfId="6" applyFont="1" applyFill="1" applyBorder="1" applyAlignment="1">
      <alignment vertical="center" wrapText="1"/>
    </xf>
    <xf numFmtId="0" fontId="32" fillId="13" borderId="21" xfId="0" applyFont="1" applyFill="1" applyBorder="1" applyProtection="1">
      <protection locked="0"/>
    </xf>
    <xf numFmtId="0" fontId="82" fillId="13" borderId="21" xfId="0" applyFont="1" applyFill="1" applyBorder="1" applyAlignment="1" applyProtection="1">
      <alignment horizontal="left"/>
      <protection locked="0"/>
    </xf>
    <xf numFmtId="0" fontId="82" fillId="13" borderId="21" xfId="0" applyFont="1" applyFill="1" applyBorder="1" applyAlignment="1" applyProtection="1">
      <alignment horizontal="center" vertical="center"/>
      <protection locked="0"/>
    </xf>
    <xf numFmtId="0" fontId="82" fillId="13" borderId="0" xfId="0" applyFont="1" applyFill="1" applyAlignment="1" applyProtection="1">
      <alignment wrapText="1"/>
      <protection locked="0"/>
    </xf>
    <xf numFmtId="0" fontId="82" fillId="13" borderId="0" xfId="0" applyFont="1" applyFill="1" applyAlignment="1" applyProtection="1">
      <alignment horizontal="center" vertical="center" wrapText="1"/>
      <protection locked="0"/>
    </xf>
    <xf numFmtId="0" fontId="83" fillId="13" borderId="0" xfId="0" applyFont="1" applyFill="1" applyAlignment="1" applyProtection="1">
      <alignment wrapText="1"/>
      <protection locked="0"/>
    </xf>
    <xf numFmtId="0" fontId="84" fillId="13" borderId="0" xfId="0" applyFont="1" applyFill="1" applyAlignment="1" applyProtection="1">
      <alignment wrapText="1"/>
      <protection locked="0"/>
    </xf>
    <xf numFmtId="0" fontId="82" fillId="13" borderId="0" xfId="0" applyFont="1" applyFill="1" applyAlignment="1" applyProtection="1">
      <alignment vertical="center"/>
      <protection locked="0"/>
    </xf>
    <xf numFmtId="0" fontId="82" fillId="13" borderId="0" xfId="0" applyFont="1" applyFill="1" applyAlignment="1" applyProtection="1">
      <alignment vertical="center" wrapText="1"/>
      <protection locked="0"/>
    </xf>
    <xf numFmtId="0" fontId="85" fillId="13" borderId="0" xfId="0" applyFont="1" applyFill="1" applyAlignment="1" applyProtection="1">
      <alignment horizontal="right" wrapText="1"/>
      <protection locked="0"/>
    </xf>
    <xf numFmtId="0" fontId="82" fillId="13" borderId="0" xfId="0" applyFont="1" applyFill="1" applyAlignment="1" applyProtection="1">
      <alignment horizontal="left" wrapText="1"/>
      <protection locked="0"/>
    </xf>
    <xf numFmtId="0" fontId="82" fillId="13" borderId="0" xfId="0" applyFont="1" applyFill="1" applyProtection="1">
      <protection locked="0"/>
    </xf>
    <xf numFmtId="0" fontId="83" fillId="13" borderId="0" xfId="0" applyFont="1" applyFill="1" applyAlignment="1" applyProtection="1">
      <alignment horizontal="right" wrapText="1"/>
      <protection locked="0"/>
    </xf>
    <xf numFmtId="0" fontId="85" fillId="13" borderId="0" xfId="0" applyFont="1" applyFill="1" applyAlignment="1" applyProtection="1">
      <alignment horizontal="left" wrapText="1"/>
      <protection locked="0"/>
    </xf>
    <xf numFmtId="0" fontId="87" fillId="13" borderId="0" xfId="0" applyFont="1" applyFill="1" applyAlignment="1" applyProtection="1">
      <alignment horizontal="center" vertical="center" wrapText="1"/>
      <protection locked="0"/>
    </xf>
    <xf numFmtId="0" fontId="87" fillId="13" borderId="0" xfId="0" applyFont="1" applyFill="1" applyAlignment="1" applyProtection="1">
      <alignment vertical="center" wrapText="1"/>
      <protection locked="0"/>
    </xf>
    <xf numFmtId="0" fontId="82" fillId="13" borderId="0" xfId="0" applyFont="1" applyFill="1" applyAlignment="1" applyProtection="1">
      <alignment horizontal="right" vertical="center" wrapText="1"/>
      <protection locked="0"/>
    </xf>
    <xf numFmtId="0" fontId="83" fillId="13" borderId="0" xfId="0" applyFont="1" applyFill="1" applyAlignment="1" applyProtection="1">
      <alignment horizontal="left" wrapText="1"/>
      <protection locked="0"/>
    </xf>
    <xf numFmtId="0" fontId="85" fillId="13" borderId="0" xfId="0" applyFont="1" applyFill="1" applyAlignment="1" applyProtection="1">
      <alignment wrapText="1"/>
      <protection locked="0"/>
    </xf>
    <xf numFmtId="0" fontId="85" fillId="13" borderId="0" xfId="0" applyFont="1" applyFill="1" applyAlignment="1" applyProtection="1">
      <alignment horizontal="left" vertical="center" wrapText="1"/>
      <protection locked="0"/>
    </xf>
    <xf numFmtId="0" fontId="82" fillId="13" borderId="0" xfId="0" applyFont="1" applyFill="1" applyAlignment="1" applyProtection="1">
      <alignment horizontal="left" vertical="center" wrapText="1"/>
      <protection locked="0"/>
    </xf>
    <xf numFmtId="0" fontId="83" fillId="13" borderId="0" xfId="0" applyFont="1" applyFill="1" applyAlignment="1" applyProtection="1">
      <alignment horizontal="left" vertical="center" wrapText="1"/>
      <protection locked="0"/>
    </xf>
    <xf numFmtId="0" fontId="83" fillId="13" borderId="0" xfId="0" applyFont="1" applyFill="1" applyAlignment="1" applyProtection="1">
      <alignment vertical="center" wrapText="1"/>
      <protection locked="0"/>
    </xf>
    <xf numFmtId="0" fontId="85" fillId="13" borderId="0" xfId="0" applyFont="1" applyFill="1" applyAlignment="1" applyProtection="1">
      <alignment vertical="center" wrapText="1"/>
      <protection locked="0"/>
    </xf>
    <xf numFmtId="15" fontId="87" fillId="13" borderId="0" xfId="0" applyNumberFormat="1" applyFont="1" applyFill="1" applyAlignment="1" applyProtection="1">
      <alignment vertical="center" wrapText="1"/>
      <protection locked="0"/>
    </xf>
    <xf numFmtId="0" fontId="86" fillId="13" borderId="0" xfId="0" applyFont="1" applyFill="1" applyAlignment="1" applyProtection="1">
      <alignment horizontal="left" wrapText="1"/>
      <protection locked="0"/>
    </xf>
    <xf numFmtId="0" fontId="87" fillId="13" borderId="0" xfId="0" applyFont="1" applyFill="1" applyAlignment="1" applyProtection="1">
      <alignment horizontal="left" vertical="top" wrapText="1"/>
      <protection locked="0"/>
    </xf>
    <xf numFmtId="0" fontId="84" fillId="13" borderId="0" xfId="0" applyFont="1" applyFill="1" applyAlignment="1" applyProtection="1">
      <alignment horizontal="left" vertical="center" wrapText="1"/>
      <protection locked="0"/>
    </xf>
    <xf numFmtId="15" fontId="87" fillId="13" borderId="0" xfId="0" applyNumberFormat="1" applyFont="1" applyFill="1" applyAlignment="1" applyProtection="1">
      <alignment horizontal="center" vertical="center" wrapText="1"/>
      <protection locked="0"/>
    </xf>
    <xf numFmtId="0" fontId="29" fillId="13" borderId="0" xfId="0" applyFont="1" applyFill="1" applyProtection="1">
      <protection locked="0"/>
    </xf>
    <xf numFmtId="0" fontId="82" fillId="13" borderId="0" xfId="0" applyFont="1" applyFill="1" applyAlignment="1" applyProtection="1">
      <alignment vertical="top" wrapText="1"/>
      <protection locked="0"/>
    </xf>
    <xf numFmtId="0" fontId="86" fillId="13" borderId="0" xfId="0" applyFont="1" applyFill="1" applyAlignment="1" applyProtection="1">
      <alignment vertical="center" wrapText="1"/>
      <protection locked="0"/>
    </xf>
    <xf numFmtId="0" fontId="87" fillId="13" borderId="0" xfId="0" applyFont="1" applyFill="1" applyAlignment="1" applyProtection="1">
      <alignment horizontal="right" vertical="center" wrapText="1"/>
      <protection locked="0"/>
    </xf>
    <xf numFmtId="0" fontId="83" fillId="13" borderId="0" xfId="0" applyFont="1" applyFill="1" applyAlignment="1" applyProtection="1">
      <alignment horizontal="right" vertical="center" wrapText="1"/>
      <protection locked="0"/>
    </xf>
    <xf numFmtId="0" fontId="85" fillId="13" borderId="0" xfId="0" applyFont="1" applyFill="1" applyAlignment="1" applyProtection="1">
      <alignment horizontal="left" vertical="top" wrapText="1"/>
      <protection locked="0"/>
    </xf>
    <xf numFmtId="0" fontId="82" fillId="13" borderId="0" xfId="0" applyFont="1" applyFill="1" applyAlignment="1" applyProtection="1">
      <alignment horizontal="right" vertical="top" wrapText="1"/>
      <protection locked="0"/>
    </xf>
    <xf numFmtId="0" fontId="82" fillId="13" borderId="0" xfId="0" applyFont="1" applyFill="1" applyAlignment="1" applyProtection="1">
      <alignment horizontal="left" vertical="top" wrapText="1"/>
      <protection locked="0"/>
    </xf>
    <xf numFmtId="0" fontId="93" fillId="13" borderId="0" xfId="0" applyFont="1" applyFill="1" applyAlignment="1" applyProtection="1">
      <alignment vertical="top" wrapText="1"/>
      <protection locked="0"/>
    </xf>
    <xf numFmtId="0" fontId="87" fillId="13" borderId="0" xfId="0" applyFont="1" applyFill="1" applyAlignment="1" applyProtection="1">
      <alignment horizontal="center" vertical="top" wrapText="1"/>
      <protection locked="0"/>
    </xf>
    <xf numFmtId="0" fontId="87" fillId="13" borderId="0" xfId="0" applyFont="1" applyFill="1" applyAlignment="1" applyProtection="1">
      <alignment vertical="top" wrapText="1"/>
      <protection locked="0"/>
    </xf>
    <xf numFmtId="0" fontId="30" fillId="0" borderId="0" xfId="18" applyFont="1" applyBorder="1" applyAlignment="1" applyProtection="1">
      <alignment vertical="top"/>
    </xf>
    <xf numFmtId="0" fontId="8" fillId="5" borderId="1" xfId="6" quotePrefix="1" applyFill="1" applyBorder="1" applyAlignment="1" applyProtection="1">
      <alignment horizontal="left"/>
      <protection locked="0"/>
    </xf>
    <xf numFmtId="0" fontId="94" fillId="5" borderId="1" xfId="0" applyFont="1" applyFill="1" applyBorder="1" applyAlignment="1" applyProtection="1">
      <alignment vertical="center"/>
      <protection locked="0"/>
    </xf>
    <xf numFmtId="0" fontId="0" fillId="0" borderId="0" xfId="0" applyProtection="1">
      <protection locked="0"/>
    </xf>
    <xf numFmtId="0" fontId="55" fillId="0" borderId="0" xfId="6" applyFont="1" applyFill="1" applyAlignment="1" applyProtection="1">
      <alignment horizontal="left" vertical="center"/>
      <protection locked="0"/>
    </xf>
    <xf numFmtId="0" fontId="0" fillId="3" borderId="0" xfId="0" applyFill="1" applyAlignment="1">
      <alignment horizontal="left" vertical="top" wrapText="1"/>
    </xf>
    <xf numFmtId="0" fontId="4" fillId="5" borderId="1" xfId="2" applyFill="1" applyBorder="1" applyAlignment="1" applyProtection="1">
      <alignment horizontal="left"/>
      <protection locked="0"/>
    </xf>
    <xf numFmtId="9" fontId="1" fillId="5" borderId="1" xfId="19" applyFont="1" applyFill="1" applyBorder="1" applyAlignment="1" applyProtection="1">
      <alignment horizontal="center" vertical="center"/>
      <protection locked="0"/>
    </xf>
    <xf numFmtId="0" fontId="69" fillId="6" borderId="0" xfId="6" applyFont="1" applyFill="1" applyAlignment="1" applyProtection="1">
      <alignment horizontal="left" vertical="center" wrapText="1"/>
    </xf>
    <xf numFmtId="0" fontId="55" fillId="6" borderId="0" xfId="6" applyFont="1" applyFill="1" applyAlignment="1" applyProtection="1">
      <alignment horizontal="left"/>
    </xf>
    <xf numFmtId="0" fontId="83" fillId="0" borderId="0" xfId="0" applyFont="1" applyAlignment="1" applyProtection="1">
      <alignment horizontal="left" wrapText="1"/>
      <protection locked="0"/>
    </xf>
    <xf numFmtId="0" fontId="82" fillId="0" borderId="0" xfId="0" applyFont="1" applyAlignment="1" applyProtection="1">
      <alignment horizontal="right" vertical="center" wrapText="1"/>
      <protection locked="0"/>
    </xf>
    <xf numFmtId="0" fontId="82" fillId="0" borderId="0" xfId="0" applyFont="1" applyAlignment="1" applyProtection="1">
      <alignment horizontal="left" vertical="center" wrapText="1"/>
      <protection locked="0"/>
    </xf>
    <xf numFmtId="0" fontId="82" fillId="0" borderId="0" xfId="0" applyFont="1" applyAlignment="1" applyProtection="1">
      <alignment horizontal="left" wrapText="1"/>
      <protection locked="0"/>
    </xf>
    <xf numFmtId="0" fontId="52" fillId="0" borderId="0" xfId="0" applyFont="1" applyAlignment="1" applyProtection="1">
      <alignment horizontal="left" wrapText="1"/>
      <protection locked="0"/>
    </xf>
    <xf numFmtId="0" fontId="1" fillId="0" borderId="0" xfId="0" applyFont="1" applyAlignment="1" applyProtection="1">
      <alignment wrapText="1"/>
      <protection locked="0"/>
    </xf>
    <xf numFmtId="0" fontId="81" fillId="0" borderId="0" xfId="0" applyFont="1" applyAlignment="1" applyProtection="1">
      <alignment horizontal="right" vertical="center" wrapText="1"/>
      <protection locked="0"/>
    </xf>
    <xf numFmtId="0" fontId="81" fillId="0" borderId="0" xfId="0" applyFont="1" applyAlignment="1" applyProtection="1">
      <alignment wrapText="1"/>
      <protection locked="0"/>
    </xf>
    <xf numFmtId="167" fontId="32" fillId="9" borderId="0" xfId="20" quotePrefix="1" applyNumberFormat="1" applyFont="1" applyFill="1" applyAlignment="1">
      <alignment horizontal="left"/>
    </xf>
    <xf numFmtId="168" fontId="32" fillId="3" borderId="0" xfId="20" applyNumberFormat="1" applyFont="1" applyFill="1"/>
    <xf numFmtId="0" fontId="33" fillId="0" borderId="0" xfId="0" quotePrefix="1" applyFont="1" applyAlignment="1">
      <alignment horizontal="left" vertical="top" wrapText="1"/>
    </xf>
    <xf numFmtId="0" fontId="1" fillId="8" borderId="1" xfId="0" applyFont="1" applyFill="1" applyBorder="1" applyAlignment="1">
      <alignment wrapText="1"/>
    </xf>
    <xf numFmtId="0" fontId="1" fillId="8" borderId="1" xfId="0" applyFont="1" applyFill="1" applyBorder="1" applyAlignment="1">
      <alignment vertical="center" wrapText="1"/>
    </xf>
    <xf numFmtId="0" fontId="23" fillId="3" borderId="15" xfId="0" applyFont="1" applyFill="1" applyBorder="1" applyProtection="1">
      <protection locked="0"/>
    </xf>
    <xf numFmtId="0" fontId="23" fillId="3" borderId="0" xfId="0" applyFont="1" applyFill="1" applyProtection="1">
      <protection locked="0"/>
    </xf>
    <xf numFmtId="0" fontId="95" fillId="5" borderId="1" xfId="6" quotePrefix="1" applyFont="1" applyFill="1" applyBorder="1" applyAlignment="1" applyProtection="1">
      <alignment horizontal="left"/>
      <protection locked="0"/>
    </xf>
    <xf numFmtId="0" fontId="96" fillId="0" borderId="0" xfId="0" applyFont="1" applyAlignment="1">
      <alignment horizontal="center"/>
    </xf>
    <xf numFmtId="169" fontId="32" fillId="9" borderId="1" xfId="2" applyNumberFormat="1" applyFont="1" applyFill="1" applyBorder="1" applyAlignment="1">
      <alignment horizontal="center"/>
    </xf>
    <xf numFmtId="0" fontId="97" fillId="0" borderId="0" xfId="0" applyFont="1" applyAlignment="1">
      <alignment wrapText="1"/>
    </xf>
    <xf numFmtId="0" fontId="98" fillId="0" borderId="0" xfId="17" applyFont="1" applyBorder="1" applyAlignment="1"/>
    <xf numFmtId="0" fontId="28" fillId="0" borderId="0" xfId="17" applyFont="1" applyBorder="1" applyAlignment="1">
      <alignment wrapText="1"/>
    </xf>
    <xf numFmtId="0" fontId="31" fillId="0" borderId="0" xfId="2" applyFont="1" applyAlignment="1">
      <alignment horizontal="left" vertical="center"/>
    </xf>
    <xf numFmtId="0" fontId="37" fillId="0" borderId="0" xfId="16" applyFont="1" applyBorder="1" applyAlignment="1"/>
    <xf numFmtId="0" fontId="32" fillId="0" borderId="0" xfId="15" applyFont="1" applyBorder="1" applyAlignment="1" applyProtection="1"/>
    <xf numFmtId="0" fontId="1" fillId="3" borderId="0" xfId="0" applyFont="1" applyFill="1" applyAlignment="1">
      <alignment horizontal="center"/>
    </xf>
    <xf numFmtId="0" fontId="32" fillId="0" borderId="0" xfId="15" applyFont="1" applyBorder="1" applyAlignment="1"/>
    <xf numFmtId="0" fontId="0" fillId="6" borderId="0" xfId="0" applyFill="1" applyProtection="1">
      <protection locked="0"/>
    </xf>
    <xf numFmtId="0" fontId="55" fillId="6" borderId="0" xfId="6" applyFont="1" applyFill="1" applyAlignment="1" applyProtection="1">
      <alignment horizontal="left" vertical="center"/>
      <protection locked="0"/>
    </xf>
    <xf numFmtId="0" fontId="11" fillId="0" borderId="7" xfId="0" applyFont="1" applyBorder="1" applyProtection="1">
      <protection locked="0"/>
      <extLst>
        <ext xmlns:xfpb="http://schemas.microsoft.com/office/spreadsheetml/2022/featurepropertybag" uri="{C7286773-470A-42A8-94C5-96B5CB345126}">
          <xfpb:xfComplement i="0"/>
        </ext>
      </extLst>
    </xf>
    <xf numFmtId="0" fontId="11" fillId="0" borderId="16" xfId="0" applyFont="1" applyBorder="1" applyProtection="1">
      <protection locked="0"/>
      <extLst>
        <ext xmlns:xfpb="http://schemas.microsoft.com/office/spreadsheetml/2022/featurepropertybag" uri="{C7286773-470A-42A8-94C5-96B5CB345126}">
          <xfpb:xfComplement i="0"/>
        </ext>
      </extLst>
    </xf>
    <xf numFmtId="0" fontId="11" fillId="0" borderId="6" xfId="0" applyFont="1" applyBorder="1" applyProtection="1">
      <protection locked="0"/>
      <extLst>
        <ext xmlns:xfpb="http://schemas.microsoft.com/office/spreadsheetml/2022/featurepropertybag" uri="{C7286773-470A-42A8-94C5-96B5CB345126}">
          <xfpb:xfComplement i="0"/>
        </ext>
      </extLst>
    </xf>
    <xf numFmtId="0" fontId="11" fillId="0" borderId="1" xfId="0" applyFont="1" applyBorder="1" applyProtection="1">
      <protection locked="0"/>
      <extLst>
        <ext xmlns:xfpb="http://schemas.microsoft.com/office/spreadsheetml/2022/featurepropertybag" uri="{C7286773-470A-42A8-94C5-96B5CB345126}">
          <xfpb:xfComplement i="0"/>
        </ext>
      </extLst>
    </xf>
    <xf numFmtId="0" fontId="27"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6" fillId="0" borderId="0" xfId="0" applyFont="1" applyAlignment="1" applyProtection="1">
      <alignment horizontal="center"/>
      <protection locked="0"/>
    </xf>
    <xf numFmtId="0" fontId="30" fillId="0" borderId="0" xfId="15" applyFont="1" applyBorder="1" applyAlignment="1" applyProtection="1">
      <alignment vertical="top"/>
    </xf>
    <xf numFmtId="0" fontId="60" fillId="6" borderId="0" xfId="6" applyFont="1" applyFill="1" applyAlignment="1" applyProtection="1">
      <alignment horizontal="right" vertical="top"/>
    </xf>
    <xf numFmtId="165" fontId="1" fillId="3" borderId="0" xfId="1" applyNumberFormat="1" applyFont="1" applyFill="1" applyBorder="1" applyAlignment="1" applyProtection="1">
      <alignment horizontal="left"/>
    </xf>
    <xf numFmtId="0" fontId="19" fillId="0" borderId="0" xfId="0" applyFont="1" applyAlignment="1">
      <alignment horizontal="center" vertical="top" wrapText="1"/>
    </xf>
    <xf numFmtId="165" fontId="57" fillId="3" borderId="0" xfId="1" applyNumberFormat="1" applyFont="1" applyFill="1" applyBorder="1" applyProtection="1"/>
    <xf numFmtId="0" fontId="57" fillId="0" borderId="0" xfId="0" applyFont="1"/>
    <xf numFmtId="0" fontId="34" fillId="0" borderId="1" xfId="2" applyFont="1" applyBorder="1" applyAlignment="1">
      <alignment horizontal="left"/>
    </xf>
    <xf numFmtId="0" fontId="18" fillId="0" borderId="18" xfId="2" applyFont="1" applyBorder="1" applyAlignment="1">
      <alignment horizontal="left"/>
    </xf>
    <xf numFmtId="3" fontId="1" fillId="0" borderId="1" xfId="0" applyNumberFormat="1" applyFont="1" applyBorder="1"/>
    <xf numFmtId="165" fontId="1" fillId="0" borderId="11" xfId="1" applyNumberFormat="1" applyFont="1" applyFill="1" applyBorder="1" applyProtection="1"/>
    <xf numFmtId="0" fontId="18" fillId="0" borderId="10" xfId="2" applyFont="1" applyBorder="1" applyAlignment="1">
      <alignment horizontal="left"/>
    </xf>
    <xf numFmtId="0" fontId="18" fillId="0" borderId="3" xfId="2" applyFont="1" applyBorder="1" applyAlignment="1">
      <alignment horizontal="left"/>
    </xf>
    <xf numFmtId="165" fontId="1" fillId="0" borderId="4" xfId="1" applyNumberFormat="1" applyFont="1" applyFill="1" applyBorder="1" applyProtection="1"/>
    <xf numFmtId="0" fontId="61" fillId="0" borderId="0" xfId="0" applyFont="1"/>
    <xf numFmtId="0" fontId="18" fillId="0" borderId="3" xfId="2" applyFont="1" applyBorder="1" applyAlignment="1">
      <alignment horizontal="left" vertical="top"/>
    </xf>
    <xf numFmtId="0" fontId="4" fillId="0" borderId="3" xfId="2" applyBorder="1" applyAlignment="1">
      <alignment horizontal="left"/>
    </xf>
    <xf numFmtId="0" fontId="62" fillId="0" borderId="0" xfId="0" applyFont="1"/>
    <xf numFmtId="165" fontId="1" fillId="0" borderId="4" xfId="4" applyNumberFormat="1" applyFont="1" applyFill="1" applyBorder="1" applyProtection="1"/>
    <xf numFmtId="0" fontId="4" fillId="0" borderId="3" xfId="3" applyBorder="1" applyAlignment="1">
      <alignment horizontal="left"/>
    </xf>
    <xf numFmtId="0" fontId="28" fillId="0" borderId="0" xfId="15" applyFont="1" applyBorder="1" applyAlignment="1" applyProtection="1">
      <alignment horizontal="left"/>
    </xf>
    <xf numFmtId="0" fontId="18" fillId="0" borderId="10" xfId="0" applyFont="1" applyBorder="1" applyAlignment="1">
      <alignment horizontal="left"/>
    </xf>
    <xf numFmtId="165" fontId="18" fillId="0" borderId="11" xfId="1" applyNumberFormat="1" applyFont="1" applyFill="1" applyBorder="1" applyProtection="1"/>
    <xf numFmtId="0" fontId="18" fillId="0" borderId="3" xfId="0" applyFont="1" applyBorder="1" applyAlignment="1">
      <alignment horizontal="left"/>
    </xf>
    <xf numFmtId="165" fontId="18" fillId="0" borderId="4" xfId="1" applyNumberFormat="1" applyFont="1" applyFill="1" applyBorder="1" applyProtection="1"/>
    <xf numFmtId="165" fontId="18" fillId="0" borderId="1" xfId="1" applyNumberFormat="1" applyFont="1" applyFill="1" applyBorder="1" applyProtection="1"/>
    <xf numFmtId="0" fontId="18" fillId="0" borderId="3" xfId="0" applyFont="1" applyBorder="1" applyAlignment="1">
      <alignment horizontal="left" wrapText="1"/>
    </xf>
    <xf numFmtId="0" fontId="18" fillId="0" borderId="3" xfId="1" applyNumberFormat="1" applyFont="1" applyFill="1" applyBorder="1" applyAlignment="1" applyProtection="1">
      <alignment horizontal="left" wrapText="1"/>
    </xf>
    <xf numFmtId="0" fontId="18" fillId="0" borderId="1" xfId="0" applyFont="1" applyBorder="1" applyAlignment="1">
      <alignment horizontal="left"/>
    </xf>
    <xf numFmtId="0" fontId="69" fillId="6" borderId="0" xfId="0" quotePrefix="1" applyFont="1" applyFill="1"/>
    <xf numFmtId="165" fontId="45" fillId="0" borderId="0" xfId="1" applyNumberFormat="1" applyFont="1" applyFill="1" applyProtection="1"/>
    <xf numFmtId="165" fontId="23" fillId="0" borderId="0" xfId="1" applyNumberFormat="1" applyFont="1" applyFill="1" applyProtection="1"/>
    <xf numFmtId="14" fontId="99" fillId="0" borderId="0" xfId="0" applyNumberFormat="1" applyFont="1"/>
    <xf numFmtId="0" fontId="34" fillId="0" borderId="1" xfId="0" applyFont="1" applyBorder="1" applyAlignment="1">
      <alignment horizontal="center" wrapText="1"/>
    </xf>
    <xf numFmtId="167" fontId="32" fillId="5" borderId="1" xfId="2" applyNumberFormat="1" applyFont="1" applyFill="1" applyBorder="1" applyProtection="1">
      <protection locked="0"/>
    </xf>
    <xf numFmtId="0" fontId="18" fillId="0" borderId="1" xfId="20" applyFont="1" applyBorder="1" applyAlignment="1">
      <alignment horizontal="left" vertical="center" wrapText="1"/>
    </xf>
    <xf numFmtId="3" fontId="57" fillId="5" borderId="1" xfId="19" applyNumberFormat="1" applyFont="1" applyFill="1" applyBorder="1" applyProtection="1">
      <protection locked="0"/>
    </xf>
    <xf numFmtId="0" fontId="100" fillId="6" borderId="1" xfId="6" applyFont="1" applyFill="1" applyBorder="1" applyAlignment="1">
      <alignment horizontal="left" vertical="center" wrapText="1"/>
    </xf>
    <xf numFmtId="0" fontId="18" fillId="8" borderId="0" xfId="0" applyFont="1" applyFill="1" applyAlignment="1">
      <alignment vertical="center" wrapText="1"/>
    </xf>
    <xf numFmtId="0" fontId="69" fillId="0" borderId="0" xfId="6" applyFont="1" applyAlignment="1">
      <alignment vertical="center"/>
    </xf>
    <xf numFmtId="0" fontId="1" fillId="3" borderId="2" xfId="0" applyFont="1" applyFill="1" applyBorder="1" applyAlignment="1">
      <alignment horizontal="center" vertical="center"/>
    </xf>
    <xf numFmtId="0" fontId="101" fillId="0" borderId="1" xfId="0" applyFont="1" applyBorder="1" applyAlignment="1">
      <alignment horizontal="left" wrapText="1"/>
    </xf>
    <xf numFmtId="0" fontId="31" fillId="0" borderId="0" xfId="0" applyFont="1" applyAlignment="1">
      <alignment wrapText="1"/>
    </xf>
    <xf numFmtId="0" fontId="102" fillId="0" borderId="1" xfId="0" applyFont="1" applyBorder="1" applyAlignment="1">
      <alignment horizontal="left" wrapText="1"/>
    </xf>
    <xf numFmtId="0" fontId="102" fillId="0" borderId="1" xfId="0" applyFont="1" applyBorder="1" applyAlignment="1">
      <alignment horizontal="center" wrapText="1"/>
    </xf>
    <xf numFmtId="0" fontId="1" fillId="0" borderId="7" xfId="1" applyNumberFormat="1" applyFont="1" applyFill="1" applyBorder="1" applyAlignment="1">
      <alignment horizontal="left" vertical="center" wrapText="1"/>
    </xf>
    <xf numFmtId="0" fontId="18" fillId="0" borderId="7" xfId="2" applyFont="1" applyBorder="1" applyAlignment="1">
      <alignment horizontal="left" wrapText="1"/>
    </xf>
    <xf numFmtId="164" fontId="1" fillId="0" borderId="7" xfId="1" applyNumberFormat="1" applyFont="1" applyFill="1" applyBorder="1" applyAlignment="1">
      <alignment vertical="center"/>
    </xf>
    <xf numFmtId="164" fontId="1" fillId="0" borderId="7" xfId="1" applyNumberFormat="1" applyFont="1" applyFill="1" applyBorder="1" applyAlignment="1" applyProtection="1">
      <alignment horizontal="center" vertical="center"/>
    </xf>
    <xf numFmtId="0" fontId="18" fillId="0" borderId="0" xfId="0" applyFont="1" applyAlignment="1">
      <alignment horizontal="center" vertical="center" wrapText="1"/>
    </xf>
    <xf numFmtId="0" fontId="1" fillId="0" borderId="0" xfId="1" applyNumberFormat="1" applyFont="1" applyFill="1" applyBorder="1" applyAlignment="1">
      <alignment horizontal="left" vertical="center" wrapText="1"/>
    </xf>
    <xf numFmtId="0" fontId="18" fillId="8" borderId="1" xfId="0" applyFont="1" applyFill="1" applyBorder="1" applyAlignment="1">
      <alignment vertical="top" wrapText="1"/>
    </xf>
    <xf numFmtId="0" fontId="19" fillId="0" borderId="0" xfId="0" applyFont="1" applyAlignment="1">
      <alignment horizontal="center" vertical="center" wrapText="1"/>
    </xf>
  </cellXfs>
  <cellStyles count="21">
    <cellStyle name="Comma" xfId="1" builtinId="3"/>
    <cellStyle name="Comma 2" xfId="4" xr:uid="{00000000-0005-0000-0000-000001000000}"/>
    <cellStyle name="Comma 2 2" xfId="5" xr:uid="{00000000-0005-0000-0000-000002000000}"/>
    <cellStyle name="Comma 2 2 2" xfId="9" xr:uid="{00000000-0005-0000-0000-000003000000}"/>
    <cellStyle name="Comma 2 2 2 2" xfId="13" xr:uid="{DA72E6F0-B7A3-4C8E-B81A-DFE9B1ACCA12}"/>
    <cellStyle name="Comma 2 2 3" xfId="11" xr:uid="{98903AD6-0DF1-4CD5-A536-D23ACD777B35}"/>
    <cellStyle name="Comma 2 3" xfId="8" xr:uid="{00000000-0005-0000-0000-000004000000}"/>
    <cellStyle name="Comma 2 4" xfId="10" xr:uid="{11E3F772-B198-4146-91F7-4991895BA5A2}"/>
    <cellStyle name="Comma 3" xfId="7" xr:uid="{00000000-0005-0000-0000-000005000000}"/>
    <cellStyle name="Comma 4" xfId="12" xr:uid="{96FEABD1-A2A6-415E-8AF6-9C13C5C24EFB}"/>
    <cellStyle name="Heading 1" xfId="15" builtinId="16"/>
    <cellStyle name="Heading 2" xfId="16" builtinId="17"/>
    <cellStyle name="Heading 3" xfId="17" builtinId="18"/>
    <cellStyle name="Hyperlink" xfId="6" builtinId="8"/>
    <cellStyle name="Hyperlink 2" xfId="14" xr:uid="{B22DC174-FBB6-4701-B9F1-8FEB94686CD2}"/>
    <cellStyle name="Normal" xfId="0" builtinId="0"/>
    <cellStyle name="Normal 2" xfId="2" xr:uid="{00000000-0005-0000-0000-000008000000}"/>
    <cellStyle name="Normal 2 2" xfId="3" xr:uid="{00000000-0005-0000-0000-000009000000}"/>
    <cellStyle name="Normal 2 3" xfId="20" xr:uid="{DCFFA42F-8CE1-467E-B621-8E3F033BFB0D}"/>
    <cellStyle name="Per cent" xfId="19" builtinId="5"/>
    <cellStyle name="Title" xfId="18" builtinId="15"/>
  </cellStyles>
  <dxfs count="4039">
    <dxf>
      <font>
        <b val="0"/>
        <i val="0"/>
        <color auto="1"/>
      </font>
    </dxf>
    <dxf>
      <fill>
        <patternFill>
          <bgColor rgb="FFB97C7F"/>
        </patternFill>
      </fill>
    </dxf>
    <dxf>
      <fill>
        <patternFill>
          <bgColor theme="0"/>
        </patternFill>
      </fill>
    </dxf>
    <dxf>
      <fill>
        <patternFill>
          <bgColor rgb="FFD0A8A9"/>
        </patternFill>
      </fill>
    </dxf>
    <dxf>
      <fill>
        <patternFill>
          <bgColor rgb="FFD0A8A9"/>
        </patternFill>
      </fill>
    </dxf>
    <dxf>
      <fill>
        <patternFill>
          <bgColor rgb="FFF3ECCD"/>
        </patternFill>
      </fill>
    </dxf>
    <dxf>
      <fill>
        <patternFill>
          <bgColor theme="0"/>
        </patternFill>
      </fill>
    </dxf>
    <dxf>
      <fill>
        <patternFill>
          <bgColor rgb="FFF3ECCD"/>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color rgb="FFFF0000"/>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8A2529"/>
      </font>
    </dxf>
    <dxf>
      <font>
        <b/>
        <i val="0"/>
        <color auto="1"/>
      </font>
    </dxf>
    <dxf>
      <numFmt numFmtId="33" formatCode="_-* #,##0_-;\-* #,##0_-;_-* &quot;-&quot;_-;_-@_-"/>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val="0"/>
        <i val="0"/>
        <color auto="1"/>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val="0"/>
        <i val="0"/>
        <color auto="1"/>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i val="0"/>
        <color rgb="FFE87D1E"/>
      </font>
    </dxf>
    <dxf>
      <font>
        <b/>
        <i val="0"/>
        <color rgb="FFCDA8A9"/>
      </font>
    </dxf>
    <dxf>
      <font>
        <b/>
        <i val="0"/>
      </font>
    </dxf>
    <dxf>
      <font>
        <b/>
        <i val="0"/>
        <color theme="1"/>
      </font>
    </dxf>
    <dxf>
      <font>
        <b/>
        <i val="0"/>
        <color rgb="FF8A2529"/>
      </font>
    </dxf>
    <dxf>
      <font>
        <color rgb="FF8A2529"/>
      </font>
    </dxf>
    <dxf>
      <font>
        <color rgb="FF8A2529"/>
      </font>
    </dxf>
    <dxf>
      <font>
        <b/>
        <i val="0"/>
        <color rgb="FFE87D1E"/>
      </font>
    </dxf>
    <dxf>
      <font>
        <b/>
        <i val="0"/>
        <color rgb="FFCDA8A9"/>
      </font>
    </dxf>
    <dxf>
      <font>
        <b/>
        <i val="0"/>
      </font>
    </dxf>
    <dxf>
      <font>
        <b/>
        <i val="0"/>
        <color theme="1"/>
      </font>
    </dxf>
    <dxf>
      <font>
        <b/>
        <i val="0"/>
        <color rgb="FF8A2529"/>
      </font>
    </dxf>
    <dxf>
      <font>
        <b val="0"/>
        <i val="0"/>
        <color auto="1"/>
      </font>
    </dxf>
    <dxf>
      <font>
        <b/>
        <i val="0"/>
        <color rgb="FFCDA8A9"/>
      </font>
    </dxf>
    <dxf>
      <font>
        <color rgb="FF8A2529"/>
      </font>
    </dxf>
    <dxf>
      <font>
        <b/>
        <i val="0"/>
        <color rgb="FFE87D1E"/>
      </font>
    </dxf>
    <dxf>
      <font>
        <b/>
        <i val="0"/>
      </font>
    </dxf>
    <dxf>
      <font>
        <b/>
        <i val="0"/>
        <color theme="1"/>
      </font>
    </dxf>
    <dxf>
      <font>
        <b/>
        <i val="0"/>
        <color rgb="FF8A2529"/>
      </font>
    </dxf>
    <dxf>
      <font>
        <color rgb="FF9C0006"/>
      </font>
      <fill>
        <patternFill>
          <bgColor rgb="FFFFC7CE"/>
        </patternFill>
      </fill>
    </dxf>
    <dxf>
      <font>
        <color rgb="FF9C0006"/>
      </font>
      <fill>
        <patternFill>
          <bgColor rgb="FFFFC7CE"/>
        </patternFill>
      </fill>
    </dxf>
    <dxf>
      <font>
        <b/>
        <i val="0"/>
        <color rgb="FF8A2529"/>
      </font>
    </dxf>
    <dxf>
      <font>
        <color rgb="FF8A252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rgb="FFCDA8A9"/>
      </font>
    </dxf>
    <dxf>
      <font>
        <color rgb="FF8A2529"/>
      </font>
    </dxf>
    <dxf>
      <font>
        <b/>
        <i val="0"/>
        <color rgb="FFE87D1E"/>
      </font>
    </dxf>
    <dxf>
      <font>
        <b/>
        <i val="0"/>
        <color rgb="FF8A2529"/>
      </font>
    </dxf>
    <dxf>
      <font>
        <b/>
        <i val="0"/>
        <color rgb="FF8A2529"/>
      </font>
    </dxf>
    <dxf>
      <font>
        <b/>
        <i val="0"/>
        <color rgb="FFCDA8A9"/>
      </font>
    </dxf>
    <dxf>
      <font>
        <b/>
        <i val="0"/>
        <color rgb="FFE87D1E"/>
      </font>
    </dxf>
    <dxf>
      <font>
        <color rgb="FF8A2529"/>
      </font>
    </dxf>
    <dxf>
      <font>
        <b/>
        <i val="0"/>
      </font>
    </dxf>
    <dxf>
      <font>
        <b/>
        <i val="0"/>
        <color theme="1"/>
      </font>
    </dxf>
    <dxf>
      <font>
        <b/>
        <i val="0"/>
        <color rgb="FFCDA8A9"/>
      </font>
    </dxf>
    <dxf>
      <font>
        <b/>
        <i val="0"/>
        <color rgb="FFE87D1E"/>
      </font>
    </dxf>
    <dxf>
      <font>
        <color rgb="FF8A2529"/>
      </font>
    </dxf>
    <dxf>
      <font>
        <b/>
        <i val="0"/>
        <color rgb="FFE87D1E"/>
      </font>
    </dxf>
    <dxf>
      <font>
        <b/>
        <i val="0"/>
        <color rgb="FF8A2529"/>
      </font>
    </dxf>
    <dxf>
      <font>
        <color rgb="FF8A2529"/>
      </font>
    </dxf>
    <dxf>
      <font>
        <b/>
        <i val="0"/>
        <color rgb="FFCDA8A9"/>
      </font>
    </dxf>
    <dxf>
      <font>
        <b/>
        <i val="0"/>
        <color rgb="FF8A2529"/>
      </font>
    </dxf>
    <dxf>
      <font>
        <b/>
        <i val="0"/>
        <color rgb="FF8A2529"/>
      </font>
    </dxf>
    <dxf>
      <font>
        <b/>
        <i val="0"/>
        <color rgb="FFCDA8A9"/>
      </font>
    </dxf>
    <dxf>
      <font>
        <b/>
        <i val="0"/>
      </font>
    </dxf>
    <dxf>
      <font>
        <b/>
        <i val="0"/>
        <color rgb="FFE87D1E"/>
      </font>
    </dxf>
    <dxf>
      <font>
        <b/>
        <i val="0"/>
        <color theme="1"/>
      </font>
    </dxf>
    <dxf>
      <font>
        <color rgb="FF8A2529"/>
      </font>
    </dxf>
    <dxf>
      <font>
        <b/>
        <i val="0"/>
      </font>
    </dxf>
    <dxf>
      <font>
        <b/>
        <i val="0"/>
        <color theme="1"/>
      </font>
    </dxf>
    <dxf>
      <font>
        <color rgb="FF8A2529"/>
      </font>
    </dxf>
    <dxf>
      <font>
        <b/>
        <i val="0"/>
        <color rgb="FF8A2529"/>
      </font>
    </dxf>
    <dxf>
      <font>
        <b/>
        <i val="0"/>
        <color rgb="FFCDA8A9"/>
      </font>
    </dxf>
    <dxf>
      <font>
        <b/>
        <i val="0"/>
        <color rgb="FFE87D1E"/>
      </font>
    </dxf>
    <dxf>
      <font>
        <b/>
        <i val="0"/>
        <color theme="1"/>
      </font>
    </dxf>
    <dxf>
      <font>
        <b/>
        <i val="0"/>
      </font>
    </dxf>
    <dxf>
      <fill>
        <patternFill>
          <bgColor rgb="FFE8D3D4"/>
        </patternFill>
      </fill>
    </dxf>
    <dxf>
      <fill>
        <patternFill>
          <bgColor theme="0"/>
        </patternFill>
      </fill>
    </dxf>
    <dxf>
      <fill>
        <patternFill>
          <bgColor rgb="FFB97C7F"/>
        </patternFill>
      </fill>
    </dxf>
    <dxf>
      <fill>
        <patternFill>
          <bgColor rgb="FFFFC000"/>
        </patternFill>
      </fill>
    </dxf>
    <dxf>
      <fill>
        <patternFill>
          <bgColor rgb="FFD0A8A9"/>
        </patternFill>
      </fill>
    </dxf>
    <dxf>
      <fill>
        <patternFill>
          <bgColor rgb="FF00B050"/>
        </patternFill>
      </fill>
    </dxf>
    <dxf>
      <font>
        <color rgb="FF8A2529"/>
      </font>
    </dxf>
    <dxf>
      <font>
        <b/>
        <i val="0"/>
        <color rgb="FFE87D1E"/>
      </font>
    </dxf>
    <dxf>
      <font>
        <b/>
        <i val="0"/>
        <color rgb="FFCDA8A9"/>
      </font>
    </dxf>
    <dxf>
      <font>
        <b/>
        <i val="0"/>
        <color rgb="FF8A2529"/>
      </font>
    </dxf>
    <dxf>
      <font>
        <b/>
        <i val="0"/>
        <color theme="1"/>
      </font>
    </dxf>
    <dxf>
      <font>
        <b/>
        <i val="0"/>
      </font>
    </dxf>
    <dxf>
      <font>
        <color rgb="FF9C0006"/>
      </font>
      <fill>
        <patternFill>
          <bgColor rgb="FFFFC7CE"/>
        </patternFill>
      </fill>
    </dxf>
    <dxf>
      <font>
        <color rgb="FF9C0006"/>
      </font>
      <fill>
        <patternFill>
          <bgColor rgb="FFFFC7CE"/>
        </patternFill>
      </fill>
    </dxf>
    <dxf>
      <font>
        <b/>
        <i val="0"/>
        <color rgb="FFCDA8A9"/>
      </font>
    </dxf>
    <dxf>
      <font>
        <b/>
        <i val="0"/>
        <color rgb="FF8A2529"/>
      </font>
    </dxf>
    <dxf>
      <font>
        <b/>
        <i val="0"/>
        <color rgb="FFE87D1E"/>
      </font>
    </dxf>
    <dxf>
      <font>
        <color rgb="FF8A2529"/>
      </font>
    </dxf>
    <dxf>
      <font>
        <b/>
        <i val="0"/>
        <color theme="1"/>
      </font>
    </dxf>
    <dxf>
      <font>
        <b/>
        <i val="0"/>
      </font>
    </dxf>
    <dxf>
      <font>
        <b/>
        <i val="0"/>
        <color rgb="FFE87D1E"/>
      </font>
    </dxf>
    <dxf>
      <font>
        <color rgb="FF8A2529"/>
      </font>
    </dxf>
    <dxf>
      <font>
        <b/>
        <i val="0"/>
        <color rgb="FF8A2529"/>
      </font>
    </dxf>
    <dxf>
      <font>
        <b/>
        <i val="0"/>
        <color rgb="FFCDA8A9"/>
      </font>
    </dxf>
    <dxf>
      <fill>
        <patternFill>
          <bgColor rgb="FFD0A8A9"/>
        </patternFill>
      </fill>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theme="1"/>
      </font>
    </dxf>
    <dxf>
      <fill>
        <patternFill>
          <bgColor rgb="FFD0A8A9"/>
        </patternFill>
      </fill>
    </dxf>
    <dxf>
      <font>
        <color rgb="FF8A2529"/>
      </font>
    </dxf>
    <dxf>
      <font>
        <b/>
        <i val="0"/>
        <color rgb="FFE87D1E"/>
      </font>
    </dxf>
    <dxf>
      <font>
        <b/>
        <i val="0"/>
        <color rgb="FFCDA8A9"/>
      </font>
    </dxf>
    <dxf>
      <font>
        <b/>
        <i val="0"/>
        <color rgb="FF8A2529"/>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8A2529"/>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CDA8A9"/>
      </font>
    </dxf>
    <dxf>
      <fill>
        <patternFill>
          <bgColor rgb="FFD0A8A9"/>
        </patternFill>
      </fill>
    </dxf>
    <dxf>
      <font>
        <b/>
        <i val="0"/>
        <color theme="1"/>
      </font>
    </dxf>
    <dxf>
      <font>
        <b/>
        <i val="0"/>
      </font>
    </dxf>
    <dxf>
      <font>
        <b/>
        <i val="0"/>
        <color rgb="FFCDA8A9"/>
      </font>
    </dxf>
    <dxf>
      <font>
        <b/>
        <i val="0"/>
        <color rgb="FFE87D1E"/>
      </font>
    </dxf>
    <dxf>
      <font>
        <b/>
        <i val="0"/>
        <color rgb="FFCDA8A9"/>
      </font>
    </dxf>
    <dxf>
      <font>
        <b/>
        <i val="0"/>
      </font>
    </dxf>
    <dxf>
      <font>
        <b/>
        <i val="0"/>
        <color rgb="FF8A2529"/>
      </font>
    </dxf>
    <dxf>
      <font>
        <color rgb="FF8A2529"/>
      </font>
    </dxf>
    <dxf>
      <font>
        <color rgb="FF8A2529"/>
      </font>
    </dxf>
    <dxf>
      <font>
        <b/>
        <i val="0"/>
        <color rgb="FF8A2529"/>
      </font>
    </dxf>
    <dxf>
      <font>
        <b/>
        <i val="0"/>
        <color rgb="FFCDA8A9"/>
      </font>
    </dxf>
    <dxf>
      <font>
        <b/>
        <i val="0"/>
        <color rgb="FFE87D1E"/>
      </font>
    </dxf>
    <dxf>
      <font>
        <color rgb="FF8A2529"/>
      </font>
    </dxf>
    <dxf>
      <font>
        <b/>
        <i val="0"/>
        <color rgb="FFCDA8A9"/>
      </font>
    </dxf>
    <dxf>
      <font>
        <b/>
        <i val="0"/>
        <color rgb="FFE87D1E"/>
      </font>
    </dxf>
    <dxf>
      <font>
        <b/>
        <i val="0"/>
        <color rgb="FF8A2529"/>
      </font>
    </dxf>
    <dxf>
      <font>
        <b/>
        <i val="0"/>
        <color theme="1"/>
      </font>
    </dxf>
    <dxf>
      <fill>
        <patternFill>
          <bgColor rgb="FFD0A7A8"/>
        </patternFill>
      </fill>
    </dxf>
    <dxf>
      <fill>
        <patternFill>
          <bgColor rgb="FFD0A8A9"/>
        </patternFill>
      </fill>
    </dxf>
    <dxf>
      <fill>
        <patternFill>
          <bgColor theme="0"/>
        </patternFill>
      </fill>
    </dxf>
    <dxf>
      <fill>
        <patternFill>
          <bgColor rgb="FFC00000"/>
        </patternFill>
      </fill>
    </dxf>
    <dxf>
      <fill>
        <patternFill>
          <bgColor rgb="FF00B050"/>
        </patternFill>
      </fill>
    </dxf>
    <dxf>
      <fill>
        <patternFill>
          <bgColor rgb="FF8A2529"/>
        </patternFill>
      </fill>
    </dxf>
    <dxf>
      <fill>
        <patternFill>
          <bgColor rgb="FF99B5A0"/>
        </patternFill>
      </fill>
    </dxf>
    <dxf>
      <fill>
        <patternFill>
          <bgColor rgb="FFB97C7F"/>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b/>
        <i val="0"/>
        <color rgb="FF8A2529"/>
      </font>
    </dxf>
    <dxf>
      <font>
        <b/>
        <i val="0"/>
        <color auto="1"/>
      </font>
    </dxf>
    <dxf>
      <numFmt numFmtId="33" formatCode="_-* #,##0_-;\-* #,##0_-;_-* &quot;-&quot;_-;_-@_-"/>
    </dxf>
    <dxf>
      <numFmt numFmtId="33" formatCode="_-* #,##0_-;\-* #,##0_-;_-* &quot;-&quot;_-;_-@_-"/>
    </dxf>
    <dxf>
      <font>
        <b/>
        <i val="0"/>
        <color rgb="FF8A2529"/>
      </font>
    </dxf>
    <dxf>
      <font>
        <b/>
        <i val="0"/>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ill>
        <patternFill>
          <bgColor rgb="FFD0A8A9"/>
        </patternFill>
      </fill>
    </dxf>
    <dxf>
      <font>
        <color auto="1"/>
      </font>
    </dxf>
    <dxf>
      <font>
        <b val="0"/>
        <i val="0"/>
      </font>
    </dxf>
    <dxf>
      <font>
        <b val="0"/>
        <i val="0"/>
        <color auto="1"/>
      </font>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ill>
        <patternFill>
          <bgColor rgb="FFD0A8A9"/>
        </patternFill>
      </fill>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color rgb="FF8A2529"/>
      </font>
    </dxf>
    <dxf>
      <font>
        <b/>
        <i val="0"/>
        <color rgb="FF8A2529"/>
      </font>
    </dxf>
    <dxf>
      <font>
        <b/>
        <i val="0"/>
        <color rgb="FFE87D1E"/>
      </font>
    </dxf>
    <dxf>
      <font>
        <b/>
        <i val="0"/>
        <color rgb="FFCDA8A9"/>
      </font>
    </dxf>
    <dxf>
      <font>
        <b/>
        <i val="0"/>
        <color rgb="FF8A2529"/>
      </font>
    </dxf>
    <dxf>
      <font>
        <b/>
        <i val="0"/>
        <color theme="1"/>
      </font>
    </dxf>
    <dxf>
      <font>
        <color rgb="FF8A2529"/>
      </font>
    </dxf>
    <dxf>
      <font>
        <b/>
        <i val="0"/>
        <color rgb="FFFF0000"/>
      </font>
    </dxf>
    <dxf>
      <font>
        <b/>
        <i val="0"/>
        <color rgb="FFFF0000"/>
      </font>
    </dxf>
    <dxf>
      <font>
        <b/>
        <i val="0"/>
        <color rgb="FFFF0000"/>
      </font>
    </dxf>
    <dxf>
      <font>
        <b/>
        <i val="0"/>
        <color rgb="FFFF0000"/>
      </font>
    </dxf>
    <dxf>
      <font>
        <color rgb="FF8A2529"/>
      </font>
    </dxf>
    <dxf>
      <font>
        <color rgb="FF8A2529"/>
      </font>
    </dxf>
    <dxf>
      <font>
        <color rgb="FF8A2529"/>
      </font>
    </dxf>
    <dxf>
      <font>
        <color rgb="FF8A2529"/>
      </font>
    </dxf>
    <dxf>
      <font>
        <color rgb="FF8A2529"/>
      </font>
    </dxf>
    <dxf>
      <font>
        <b/>
        <i val="0"/>
        <color rgb="FFE87D1E"/>
      </font>
    </dxf>
    <dxf>
      <font>
        <color rgb="FF8A2529"/>
      </font>
    </dxf>
    <dxf>
      <font>
        <b/>
        <i val="0"/>
        <color rgb="FFCDA8A9"/>
      </font>
    </dxf>
    <dxf>
      <font>
        <b/>
        <i val="0"/>
      </font>
    </dxf>
    <dxf>
      <font>
        <b/>
        <i val="0"/>
        <color theme="1"/>
      </font>
    </dxf>
    <dxf>
      <font>
        <b val="0"/>
        <i val="0"/>
        <color rgb="FF8A2529"/>
      </font>
    </dxf>
    <dxf>
      <font>
        <b val="0"/>
        <i val="0"/>
        <color rgb="FF8A2529"/>
      </font>
    </dxf>
    <dxf>
      <font>
        <color rgb="FF8A2529"/>
      </font>
    </dxf>
    <dxf>
      <font>
        <b/>
        <i val="0"/>
        <color rgb="FFE87D1E"/>
      </font>
    </dxf>
    <dxf>
      <font>
        <b/>
        <i val="0"/>
        <color rgb="FFCDA8A9"/>
      </font>
    </dxf>
    <dxf>
      <font>
        <b/>
        <i val="0"/>
      </font>
    </dxf>
    <dxf>
      <font>
        <b/>
        <i val="0"/>
        <color theme="1"/>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E87D1E"/>
      </font>
    </dxf>
    <dxf>
      <font>
        <b/>
        <i val="0"/>
        <color theme="1"/>
      </font>
    </dxf>
    <dxf>
      <font>
        <b val="0"/>
        <i val="0"/>
        <color rgb="FF8A2529"/>
      </font>
    </dxf>
    <dxf>
      <font>
        <b/>
        <i val="0"/>
        <color rgb="FFCDA8A9"/>
      </font>
    </dxf>
    <dxf>
      <font>
        <b/>
        <i val="0"/>
      </font>
    </dxf>
    <dxf>
      <font>
        <color rgb="FF8A2529"/>
      </font>
    </dxf>
    <dxf>
      <font>
        <b val="0"/>
        <i val="0"/>
        <color rgb="FF8A2529"/>
      </font>
    </dxf>
    <dxf>
      <font>
        <b/>
        <i val="0"/>
        <color rgb="FFE87D1E"/>
      </font>
    </dxf>
    <dxf>
      <font>
        <color rgb="FF8A2529"/>
      </font>
    </dxf>
    <dxf>
      <font>
        <b/>
        <i val="0"/>
      </font>
    </dxf>
    <dxf>
      <font>
        <b/>
        <i val="0"/>
        <color theme="1"/>
      </font>
    </dxf>
    <dxf>
      <font>
        <b/>
        <i val="0"/>
        <color rgb="FFCDA8A9"/>
      </font>
    </dxf>
    <dxf>
      <font>
        <b/>
        <i val="0"/>
      </font>
    </dxf>
    <dxf>
      <font>
        <color rgb="FF8A2529"/>
      </font>
    </dxf>
    <dxf>
      <font>
        <b/>
        <i val="0"/>
        <color rgb="FFE87D1E"/>
      </font>
    </dxf>
    <dxf>
      <font>
        <b/>
        <i val="0"/>
        <color rgb="FFCDA8A9"/>
      </font>
    </dxf>
    <dxf>
      <font>
        <b val="0"/>
        <i val="0"/>
        <color rgb="FF8A2529"/>
      </font>
    </dxf>
    <dxf>
      <font>
        <b/>
        <i val="0"/>
        <color theme="1"/>
      </font>
    </dxf>
    <dxf>
      <font>
        <b/>
        <i val="0"/>
        <color rgb="FFCDA8A9"/>
      </font>
    </dxf>
    <dxf>
      <font>
        <color rgb="FF8A2529"/>
      </font>
    </dxf>
    <dxf>
      <font>
        <b/>
        <i val="0"/>
        <color rgb="FFE87D1E"/>
      </font>
    </dxf>
    <dxf>
      <font>
        <b/>
        <i val="0"/>
      </font>
    </dxf>
    <dxf>
      <font>
        <b/>
        <i val="0"/>
        <color theme="1"/>
      </font>
    </dxf>
    <dxf>
      <font>
        <b val="0"/>
        <i val="0"/>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b val="0"/>
        <i val="0"/>
        <color rgb="FF8A2529"/>
      </font>
    </dxf>
    <dxf>
      <font>
        <b/>
        <i val="0"/>
        <color theme="1"/>
      </font>
    </dxf>
    <dxf>
      <font>
        <b/>
        <i val="0"/>
      </font>
    </dxf>
    <dxf>
      <font>
        <b/>
        <i val="0"/>
        <color rgb="FFCDA8A9"/>
      </font>
    </dxf>
    <dxf>
      <font>
        <color rgb="FF8A2529"/>
      </font>
    </dxf>
    <dxf>
      <font>
        <b/>
        <i val="0"/>
        <color rgb="FFCDA8A9"/>
      </font>
    </dxf>
    <dxf>
      <font>
        <b/>
        <i val="0"/>
        <color theme="1"/>
      </font>
    </dxf>
    <dxf>
      <font>
        <b/>
        <i val="0"/>
        <color rgb="FFE87D1E"/>
      </font>
    </dxf>
    <dxf>
      <font>
        <b/>
        <i val="0"/>
      </font>
    </dxf>
    <dxf>
      <font>
        <color rgb="FF8A2529"/>
      </font>
    </dxf>
    <dxf>
      <font>
        <b val="0"/>
        <i val="0"/>
        <color rgb="FF8A2529"/>
      </font>
    </dxf>
    <dxf>
      <font>
        <b/>
        <i val="0"/>
        <color theme="1"/>
      </font>
    </dxf>
    <dxf>
      <font>
        <b/>
        <i val="0"/>
        <color rgb="FFCDA8A9"/>
      </font>
    </dxf>
    <dxf>
      <font>
        <b/>
        <i val="0"/>
        <color rgb="FFE87D1E"/>
      </font>
    </dxf>
    <dxf>
      <font>
        <color rgb="FF8A2529"/>
      </font>
    </dxf>
    <dxf>
      <font>
        <b/>
        <i val="0"/>
      </font>
    </dxf>
    <dxf>
      <font>
        <b val="0"/>
        <i val="0"/>
        <color rgb="FF8A2529"/>
      </font>
    </dxf>
    <dxf>
      <font>
        <b/>
        <i val="0"/>
      </font>
    </dxf>
    <dxf>
      <font>
        <b/>
        <i val="0"/>
        <color theme="1"/>
      </font>
    </dxf>
    <dxf>
      <font>
        <b val="0"/>
        <i val="0"/>
        <color rgb="FF8A2529"/>
      </font>
    </dxf>
    <dxf>
      <font>
        <color rgb="FF8A2529"/>
      </font>
    </dxf>
    <dxf>
      <font>
        <b/>
        <i val="0"/>
        <color rgb="FFE87D1E"/>
      </font>
    </dxf>
    <dxf>
      <font>
        <b/>
        <i val="0"/>
        <color rgb="FFCDA8A9"/>
      </font>
    </dxf>
    <dxf>
      <font>
        <color rgb="FF8A2529"/>
      </font>
    </dxf>
    <dxf>
      <font>
        <b/>
        <i val="0"/>
        <color rgb="FFE87D1E"/>
      </font>
    </dxf>
    <dxf>
      <font>
        <b/>
        <i val="0"/>
        <color rgb="FFCDA8A9"/>
      </font>
    </dxf>
    <dxf>
      <font>
        <b/>
        <i val="0"/>
      </font>
    </dxf>
    <dxf>
      <font>
        <b/>
        <i val="0"/>
        <color theme="1"/>
      </font>
    </dxf>
    <dxf>
      <font>
        <b val="0"/>
        <i val="0"/>
        <color rgb="FF8A2529"/>
      </font>
    </dxf>
    <dxf>
      <font>
        <color rgb="FF8A2529"/>
      </font>
    </dxf>
    <dxf>
      <font>
        <b/>
        <i val="0"/>
        <color rgb="FFE87D1E"/>
      </font>
    </dxf>
    <dxf>
      <font>
        <b val="0"/>
        <i val="0"/>
        <color rgb="FF8A2529"/>
      </font>
    </dxf>
    <dxf>
      <font>
        <b/>
        <i val="0"/>
        <color theme="1"/>
      </font>
    </dxf>
    <dxf>
      <font>
        <b/>
        <i val="0"/>
      </font>
    </dxf>
    <dxf>
      <font>
        <b/>
        <i val="0"/>
        <color rgb="FFCDA8A9"/>
      </font>
    </dxf>
    <dxf>
      <font>
        <b val="0"/>
        <i val="0"/>
        <color rgb="FF8A2529"/>
      </font>
    </dxf>
    <dxf>
      <font>
        <b/>
        <i val="0"/>
        <color theme="1"/>
      </font>
    </dxf>
    <dxf>
      <font>
        <b/>
        <i val="0"/>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font>
    </dxf>
    <dxf>
      <font>
        <b/>
        <i val="0"/>
        <color theme="1"/>
      </font>
    </dxf>
    <dxf>
      <font>
        <b val="0"/>
        <i val="0"/>
        <color rgb="FF8A2529"/>
      </font>
    </dxf>
    <dxf>
      <font>
        <color rgb="FF8A2529"/>
      </font>
    </dxf>
    <dxf>
      <font>
        <b/>
        <i val="0"/>
        <color rgb="FFE87D1E"/>
      </font>
    </dxf>
    <dxf>
      <font>
        <b/>
        <i val="0"/>
        <color rgb="FFCDA8A9"/>
      </font>
    </dxf>
    <dxf>
      <font>
        <b/>
        <i val="0"/>
      </font>
    </dxf>
    <dxf>
      <font>
        <b/>
        <i val="0"/>
        <color theme="1"/>
      </font>
    </dxf>
    <dxf>
      <font>
        <b val="0"/>
        <i val="0"/>
        <color rgb="FF8A2529"/>
      </font>
    </dxf>
    <dxf>
      <font>
        <color rgb="FFFF0000"/>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rgb="FF8A2529"/>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8A2529"/>
      </font>
    </dxf>
    <dxf>
      <font>
        <color rgb="FFFF0000"/>
      </font>
    </dxf>
    <dxf>
      <font>
        <color rgb="FFFF0000"/>
      </font>
    </dxf>
    <dxf>
      <font>
        <color rgb="FF8A2529"/>
      </font>
    </dxf>
    <dxf>
      <font>
        <color rgb="FFFF0000"/>
      </font>
    </dxf>
    <dxf>
      <font>
        <color rgb="FFFF0000"/>
      </font>
    </dxf>
    <dxf>
      <font>
        <color rgb="FFFF0000"/>
      </font>
    </dxf>
    <dxf>
      <font>
        <b/>
        <i val="0"/>
        <color rgb="FF8A2529"/>
      </font>
    </dxf>
    <dxf>
      <font>
        <b/>
        <i val="0"/>
        <color auto="1"/>
      </font>
    </dxf>
    <dxf>
      <numFmt numFmtId="33" formatCode="_-* #,##0_-;\-* #,##0_-;_-* &quot;-&quot;_-;_-@_-"/>
    </dxf>
    <dxf>
      <font>
        <b val="0"/>
        <i val="0"/>
      </font>
    </dxf>
    <dxf>
      <font>
        <b val="0"/>
        <i val="0"/>
      </font>
    </dxf>
    <dxf>
      <font>
        <b/>
        <i val="0"/>
        <color rgb="FF8A2529"/>
      </font>
    </dxf>
    <dxf>
      <numFmt numFmtId="33" formatCode="_-* #,##0_-;\-* #,##0_-;_-* &quot;-&quot;_-;_-@_-"/>
    </dxf>
    <dxf>
      <font>
        <b val="0"/>
        <i val="0"/>
      </font>
    </dxf>
    <dxf>
      <font>
        <b/>
        <i val="0"/>
        <color auto="1"/>
      </font>
    </dxf>
    <dxf>
      <font>
        <b val="0"/>
        <i val="0"/>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font>
        <b/>
        <i val="0"/>
        <color rgb="FF8A2529"/>
      </font>
    </dxf>
    <dxf>
      <numFmt numFmtId="33" formatCode="_-* #,##0_-;\-* #,##0_-;_-* &quot;-&quot;_-;_-@_-"/>
    </dxf>
    <dxf>
      <font>
        <b/>
        <i val="0"/>
        <color auto="1"/>
      </font>
    </dxf>
    <dxf>
      <numFmt numFmtId="33" formatCode="_-* #,##0_-;\-* #,##0_-;_-* &quot;-&quot;_-;_-@_-"/>
    </dxf>
    <dxf>
      <font>
        <b val="0"/>
        <i val="0"/>
      </font>
    </dxf>
    <dxf>
      <font>
        <b val="0"/>
        <i val="0"/>
      </font>
    </dxf>
    <dxf>
      <font>
        <b/>
        <i val="0"/>
        <color auto="1"/>
      </font>
    </dxf>
    <dxf>
      <font>
        <b/>
        <i val="0"/>
        <color rgb="FF8A2529"/>
      </font>
    </dxf>
    <dxf>
      <font>
        <b/>
        <i val="0"/>
        <color rgb="FFCDA8A9"/>
      </font>
    </dxf>
    <dxf>
      <font>
        <b/>
        <i val="0"/>
        <color auto="1"/>
      </font>
    </dxf>
    <dxf>
      <numFmt numFmtId="33" formatCode="_-* #,##0_-;\-* #,##0_-;_-* &quot;-&quot;_-;_-@_-"/>
    </dxf>
    <dxf>
      <font>
        <b val="0"/>
        <i val="0"/>
      </font>
    </dxf>
    <dxf>
      <font>
        <b val="0"/>
        <i val="0"/>
      </font>
    </dxf>
    <dxf>
      <font>
        <b/>
        <i val="0"/>
        <color rgb="FF8A2529"/>
      </font>
    </dxf>
    <dxf>
      <font>
        <b/>
        <i val="0"/>
        <color rgb="FFCDA8A9"/>
      </font>
    </dxf>
    <dxf>
      <font>
        <b val="0"/>
        <i val="0"/>
      </font>
    </dxf>
    <dxf>
      <font>
        <b val="0"/>
        <i val="0"/>
      </font>
    </dxf>
    <dxf>
      <font>
        <b/>
        <i val="0"/>
        <color auto="1"/>
      </font>
    </dxf>
    <dxf>
      <numFmt numFmtId="33" formatCode="_-* #,##0_-;\-* #,##0_-;_-* &quot;-&quot;_-;_-@_-"/>
    </dxf>
    <dxf>
      <font>
        <b val="0"/>
        <i val="0"/>
      </font>
    </dxf>
    <dxf>
      <font>
        <b/>
        <i val="0"/>
        <color auto="1"/>
      </font>
    </dxf>
    <dxf>
      <numFmt numFmtId="33" formatCode="_-* #,##0_-;\-* #,##0_-;_-* &quot;-&quot;_-;_-@_-"/>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b val="0"/>
        <i val="0"/>
      </font>
    </dxf>
    <dxf>
      <font>
        <b val="0"/>
        <i val="0"/>
      </font>
    </dxf>
    <dxf>
      <numFmt numFmtId="33" formatCode="_-* #,##0_-;\-* #,##0_-;_-* &quot;-&quot;_-;_-@_-"/>
    </dxf>
    <dxf>
      <font>
        <b/>
        <i val="0"/>
        <color auto="1"/>
      </font>
    </dxf>
    <dxf>
      <numFmt numFmtId="33" formatCode="_-* #,##0_-;\-* #,##0_-;_-* &quot;-&quot;_-;_-@_-"/>
    </dxf>
    <dxf>
      <font>
        <b val="0"/>
        <i val="0"/>
      </font>
    </dxf>
    <dxf>
      <font>
        <b/>
        <i val="0"/>
        <color auto="1"/>
      </font>
    </dxf>
    <dxf>
      <font>
        <b val="0"/>
        <i val="0"/>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b/>
        <i val="0"/>
        <color rgb="FF8A2529"/>
      </font>
    </dxf>
    <dxf>
      <font>
        <b/>
        <i val="0"/>
        <color rgb="FFCDA8A9"/>
      </font>
    </dxf>
    <dxf>
      <font>
        <b/>
        <i val="0"/>
        <color rgb="FFE87D1E"/>
      </font>
    </dxf>
    <dxf>
      <font>
        <color rgb="FF8A2529"/>
      </font>
    </dxf>
    <dxf>
      <font>
        <b val="0"/>
        <i val="0"/>
      </font>
    </dxf>
    <dxf>
      <font>
        <b val="0"/>
        <i val="0"/>
      </font>
    </dxf>
    <dxf>
      <font>
        <b/>
        <i val="0"/>
        <color rgb="FF8A2529"/>
      </font>
    </dxf>
    <dxf>
      <numFmt numFmtId="33" formatCode="_-* #,##0_-;\-* #,##0_-;_-* &quot;-&quot;_-;_-@_-"/>
    </dxf>
    <dxf>
      <font>
        <b/>
        <i val="0"/>
        <color auto="1"/>
      </font>
    </dxf>
    <dxf>
      <font>
        <b/>
        <i val="0"/>
        <color rgb="FF8A2529"/>
      </font>
    </dxf>
    <dxf>
      <font>
        <b/>
        <i val="0"/>
        <color rgb="FFCDA8A9"/>
      </font>
    </dxf>
    <dxf>
      <font>
        <b/>
        <i val="0"/>
        <color rgb="FF8A2529"/>
      </font>
    </dxf>
    <dxf>
      <font>
        <b val="0"/>
        <i val="0"/>
      </font>
    </dxf>
    <dxf>
      <font>
        <b val="0"/>
        <i val="0"/>
      </font>
    </dxf>
    <dxf>
      <font>
        <b/>
        <i val="0"/>
        <color auto="1"/>
      </font>
    </dxf>
    <dxf>
      <numFmt numFmtId="33" formatCode="_-* #,##0_-;\-* #,##0_-;_-* &quot;-&quot;_-;_-@_-"/>
    </dxf>
    <dxf>
      <font>
        <b val="0"/>
        <i val="0"/>
      </font>
    </dxf>
    <dxf>
      <font>
        <b/>
        <i val="0"/>
        <color auto="1"/>
      </font>
    </dxf>
    <dxf>
      <numFmt numFmtId="33" formatCode="_-* #,##0_-;\-* #,##0_-;_-* &quot;-&quot;_-;_-@_-"/>
    </dxf>
    <dxf>
      <font>
        <b val="0"/>
        <i val="0"/>
      </font>
    </dxf>
    <dxf>
      <font>
        <b/>
        <i val="0"/>
        <color auto="1"/>
      </font>
    </dxf>
    <dxf>
      <font>
        <b val="0"/>
        <i val="0"/>
      </font>
    </dxf>
    <dxf>
      <font>
        <b val="0"/>
        <i val="0"/>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E87D1E"/>
      </font>
    </dxf>
    <dxf>
      <font>
        <b/>
        <i val="0"/>
      </font>
    </dxf>
    <dxf>
      <font>
        <color rgb="FF8A2529"/>
      </font>
    </dxf>
    <dxf>
      <font>
        <b/>
        <i val="0"/>
        <color theme="1"/>
      </font>
    </dxf>
    <dxf>
      <font>
        <b/>
        <i val="0"/>
        <color rgb="FFCDA8A9"/>
      </font>
    </dxf>
    <dxf>
      <font>
        <b/>
        <i val="0"/>
        <color rgb="FFE87D1E"/>
      </font>
    </dxf>
    <dxf>
      <font>
        <color rgb="FF8A2529"/>
      </font>
    </dxf>
    <dxf>
      <font>
        <b/>
        <i val="0"/>
        <color rgb="FF8A2529"/>
      </font>
    </dxf>
    <dxf>
      <font>
        <b/>
        <i val="0"/>
        <color rgb="FF8A2529"/>
      </font>
    </dxf>
    <dxf>
      <font>
        <b/>
        <i val="0"/>
        <color rgb="FFCDA8A9"/>
      </font>
    </dxf>
    <dxf>
      <font>
        <b/>
        <i val="0"/>
        <color rgb="FFE87D1E"/>
      </font>
    </dxf>
    <dxf>
      <font>
        <b/>
        <i val="0"/>
        <color rgb="FF8A2529"/>
      </font>
    </dxf>
    <dxf>
      <font>
        <color rgb="FF8A2529"/>
      </font>
    </dxf>
    <dxf>
      <font>
        <b/>
        <i val="0"/>
        <color rgb="FFCDA8A9"/>
      </font>
    </dxf>
    <dxf>
      <font>
        <b/>
        <i val="0"/>
      </font>
    </dxf>
    <dxf>
      <font>
        <b/>
        <i val="0"/>
        <color theme="1"/>
      </font>
    </dxf>
    <dxf>
      <font>
        <b/>
        <i val="0"/>
        <color rgb="FF8A2529"/>
      </font>
    </dxf>
    <dxf>
      <font>
        <color rgb="FF8A2529"/>
      </font>
    </dxf>
    <dxf>
      <font>
        <b/>
        <i val="0"/>
        <color rgb="FFE87D1E"/>
      </font>
    </dxf>
    <dxf>
      <font>
        <b/>
        <i val="0"/>
        <color rgb="FFCDA8A9"/>
      </font>
    </dxf>
    <dxf>
      <font>
        <b/>
        <i val="0"/>
        <color theme="1"/>
      </font>
    </dxf>
    <dxf>
      <font>
        <b/>
        <i val="0"/>
        <color rgb="FFE87D1E"/>
      </font>
    </dxf>
    <dxf>
      <font>
        <b/>
        <i val="0"/>
        <color rgb="FF8A2529"/>
      </font>
    </dxf>
    <dxf>
      <font>
        <b/>
        <i val="0"/>
        <color rgb="FFCDA8A9"/>
      </font>
    </dxf>
    <dxf>
      <font>
        <b/>
        <i val="0"/>
      </font>
    </dxf>
    <dxf>
      <font>
        <b/>
        <i val="0"/>
        <color rgb="FF8A2529"/>
      </font>
    </dxf>
    <dxf>
      <font>
        <color rgb="FF8A2529"/>
      </font>
    </dxf>
    <dxf>
      <font>
        <color rgb="FF8A2529"/>
      </font>
    </dxf>
    <dxf>
      <font>
        <b/>
        <i val="0"/>
        <color rgb="FFE87D1E"/>
      </font>
    </dxf>
    <dxf>
      <font>
        <b/>
        <i val="0"/>
        <color rgb="FFCDA8A9"/>
      </font>
    </dxf>
    <dxf>
      <font>
        <b/>
        <i val="0"/>
        <color rgb="FFE87D1E"/>
      </font>
    </dxf>
    <dxf>
      <font>
        <b/>
        <i val="0"/>
        <color rgb="FF8A2529"/>
      </font>
    </dxf>
    <dxf>
      <font>
        <b/>
        <i val="0"/>
        <color theme="1"/>
      </font>
    </dxf>
    <dxf>
      <font>
        <color rgb="FF8A2529"/>
      </font>
    </dxf>
    <dxf>
      <font>
        <color rgb="FF8A2529"/>
      </font>
    </dxf>
    <dxf>
      <font>
        <b/>
        <i val="0"/>
      </font>
    </dxf>
    <dxf>
      <font>
        <b/>
        <i val="0"/>
        <color rgb="FFCDA8A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theme="1"/>
      </font>
    </dxf>
    <dxf>
      <font>
        <b/>
        <i val="0"/>
        <color rgb="FFE87D1E"/>
      </font>
    </dxf>
    <dxf>
      <font>
        <b/>
        <i val="0"/>
        <color rgb="FFCDA8A9"/>
      </font>
    </dxf>
    <dxf>
      <font>
        <b/>
        <i val="0"/>
        <color rgb="FF8A2529"/>
      </font>
    </dxf>
    <dxf>
      <font>
        <b/>
        <i val="0"/>
      </font>
    </dxf>
    <dxf>
      <font>
        <color rgb="FF8A2529"/>
      </font>
    </dxf>
    <dxf>
      <font>
        <b/>
        <i val="0"/>
        <color theme="1"/>
      </font>
    </dxf>
    <dxf>
      <font>
        <b/>
        <i val="0"/>
        <color rgb="FF8A2529"/>
      </font>
    </dxf>
    <dxf>
      <font>
        <color rgb="FF8A2529"/>
      </font>
    </dxf>
    <dxf>
      <font>
        <b/>
        <i val="0"/>
        <color rgb="FFE87D1E"/>
      </font>
    </dxf>
    <dxf>
      <font>
        <b/>
        <i val="0"/>
        <color rgb="FFCDA8A9"/>
      </font>
    </dxf>
    <dxf>
      <font>
        <color rgb="FF8A2529"/>
      </font>
    </dxf>
    <dxf>
      <font>
        <b/>
        <i val="0"/>
        <color rgb="FFE87D1E"/>
      </font>
    </dxf>
    <dxf>
      <font>
        <b/>
        <i val="0"/>
      </font>
    </dxf>
    <dxf>
      <font>
        <b/>
        <i val="0"/>
        <color theme="1"/>
      </font>
    </dxf>
    <dxf>
      <font>
        <b/>
        <i val="0"/>
        <color rgb="FF8A2529"/>
      </font>
    </dxf>
    <dxf>
      <font>
        <color rgb="FF8A2529"/>
      </font>
    </dxf>
    <dxf>
      <font>
        <b/>
        <i val="0"/>
      </font>
    </dxf>
    <dxf>
      <font>
        <color rgb="FF8A2529"/>
      </font>
    </dxf>
    <dxf>
      <font>
        <b/>
        <i val="0"/>
        <color rgb="FFE87D1E"/>
      </font>
    </dxf>
    <dxf>
      <font>
        <b/>
        <i val="0"/>
        <color rgb="FFE87D1E"/>
      </font>
    </dxf>
    <dxf>
      <font>
        <b/>
        <i val="0"/>
        <color rgb="FFCDA8A9"/>
      </font>
    </dxf>
    <dxf>
      <font>
        <color rgb="FF8A2529"/>
      </font>
    </dxf>
    <dxf>
      <font>
        <b/>
        <i val="0"/>
        <color rgb="FFE87D1E"/>
      </font>
    </dxf>
    <dxf>
      <font>
        <b/>
        <i val="0"/>
      </font>
    </dxf>
    <dxf>
      <font>
        <b/>
        <i val="0"/>
        <color theme="1"/>
      </font>
    </dxf>
    <dxf>
      <font>
        <b/>
        <i val="0"/>
        <color rgb="FF8A2529"/>
      </font>
    </dxf>
    <dxf>
      <font>
        <color rgb="FF8A2529"/>
      </font>
    </dxf>
    <dxf>
      <font>
        <b/>
        <i val="0"/>
        <color rgb="FFE87D1E"/>
      </font>
    </dxf>
    <dxf>
      <font>
        <b/>
        <i val="0"/>
        <color rgb="FFCDA8A9"/>
      </font>
    </dxf>
    <dxf>
      <font>
        <b/>
        <i val="0"/>
        <color rgb="FFCDA8A9"/>
      </font>
    </dxf>
    <dxf>
      <font>
        <color rgb="FF8A2529"/>
      </font>
    </dxf>
    <dxf>
      <font>
        <color rgb="FF8A2529"/>
      </font>
    </dxf>
    <dxf>
      <font>
        <b/>
        <i val="0"/>
        <color rgb="FFE87D1E"/>
      </font>
    </dxf>
    <dxf>
      <font>
        <b/>
        <i val="0"/>
        <color rgb="FFCDA8A9"/>
      </font>
    </dxf>
    <dxf>
      <font>
        <b/>
        <i val="0"/>
        <color rgb="FF8A2529"/>
      </font>
    </dxf>
    <dxf>
      <font>
        <b/>
        <i val="0"/>
        <color rgb="FFE87D1E"/>
      </font>
    </dxf>
    <dxf>
      <font>
        <b/>
        <i val="0"/>
        <color rgb="FF8A2529"/>
      </font>
    </dxf>
    <dxf>
      <font>
        <color rgb="FF8A2529"/>
      </font>
    </dxf>
    <dxf>
      <font>
        <b/>
        <i val="0"/>
        <color rgb="FFE87D1E"/>
      </font>
    </dxf>
    <dxf>
      <font>
        <b/>
        <i val="0"/>
        <color rgb="FFCDA8A9"/>
      </font>
    </dxf>
    <dxf>
      <font>
        <b/>
        <i val="0"/>
        <color rgb="FF8A2529"/>
      </font>
    </dxf>
    <dxf>
      <font>
        <b/>
        <i val="0"/>
      </font>
    </dxf>
    <dxf>
      <font>
        <b/>
        <i val="0"/>
        <color theme="1"/>
      </font>
    </dxf>
    <dxf>
      <font>
        <b/>
        <i val="0"/>
        <color rgb="FF8A2529"/>
      </font>
    </dxf>
    <dxf>
      <font>
        <b/>
        <i val="0"/>
        <color rgb="FFCDA8A9"/>
      </font>
    </dxf>
    <dxf>
      <font>
        <color rgb="FF8A2529"/>
      </font>
    </dxf>
    <dxf>
      <font>
        <b/>
        <i val="0"/>
        <color rgb="FFE87D1E"/>
      </font>
    </dxf>
    <dxf>
      <font>
        <b/>
        <i val="0"/>
        <color rgb="FF8A2529"/>
      </font>
    </dxf>
    <dxf>
      <font>
        <b/>
        <i val="0"/>
        <color rgb="FFCDA8A9"/>
      </font>
    </dxf>
    <dxf>
      <font>
        <b/>
        <i val="0"/>
        <color rgb="FFE87D1E"/>
      </font>
    </dxf>
    <dxf>
      <font>
        <color rgb="FF8A2529"/>
      </font>
    </dxf>
    <dxf>
      <font>
        <b/>
        <i val="0"/>
      </font>
    </dxf>
    <dxf>
      <font>
        <b/>
        <i val="0"/>
        <color theme="1"/>
      </font>
    </dxf>
    <dxf>
      <font>
        <b/>
        <i val="0"/>
        <color rgb="FFCDA8A9"/>
      </font>
    </dxf>
    <dxf>
      <font>
        <b/>
        <i val="0"/>
        <color rgb="FFE87D1E"/>
      </font>
    </dxf>
    <dxf>
      <font>
        <color rgb="FF8A2529"/>
      </font>
    </dxf>
    <dxf>
      <font>
        <b/>
        <i val="0"/>
        <color theme="1"/>
      </font>
    </dxf>
    <dxf>
      <font>
        <b/>
        <i val="0"/>
        <color rgb="FFCDA8A9"/>
      </font>
    </dxf>
    <dxf>
      <font>
        <color rgb="FF8A2529"/>
      </font>
    </dxf>
    <dxf>
      <font>
        <b/>
        <i val="0"/>
        <color rgb="FFE87D1E"/>
      </font>
    </dxf>
    <dxf>
      <font>
        <b/>
        <i val="0"/>
      </font>
    </dxf>
    <dxf>
      <font>
        <b/>
        <i val="0"/>
      </font>
    </dxf>
    <dxf>
      <font>
        <b/>
        <i val="0"/>
        <color rgb="FFCDA8A9"/>
      </font>
    </dxf>
    <dxf>
      <font>
        <b/>
        <i val="0"/>
        <color rgb="FFE87D1E"/>
      </font>
    </dxf>
    <dxf>
      <font>
        <color rgb="FF8A2529"/>
      </font>
    </dxf>
    <dxf>
      <font>
        <b/>
        <i val="0"/>
        <color theme="1"/>
      </font>
    </dxf>
    <dxf>
      <font>
        <b/>
        <i val="0"/>
        <color rgb="FF8A2529"/>
      </font>
    </dxf>
    <dxf>
      <font>
        <color rgb="FF8A2529"/>
      </font>
    </dxf>
    <dxf>
      <font>
        <b/>
        <i val="0"/>
        <color theme="1"/>
      </font>
    </dxf>
    <dxf>
      <font>
        <b/>
        <i val="0"/>
      </font>
    </dxf>
    <dxf>
      <font>
        <b/>
        <i val="0"/>
        <color rgb="FFE87D1E"/>
      </font>
    </dxf>
    <dxf>
      <font>
        <b/>
        <i val="0"/>
        <color rgb="FFCDA8A9"/>
      </font>
    </dxf>
    <dxf>
      <font>
        <b/>
        <i val="0"/>
        <color theme="1"/>
      </font>
    </dxf>
    <dxf>
      <font>
        <color rgb="FF8A2529"/>
      </font>
    </dxf>
    <dxf>
      <font>
        <b/>
        <i val="0"/>
        <color rgb="FFCDA8A9"/>
      </font>
    </dxf>
    <dxf>
      <font>
        <b/>
        <i val="0"/>
        <color rgb="FFE87D1E"/>
      </font>
    </dxf>
    <dxf>
      <font>
        <b/>
        <i val="0"/>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color rgb="FF8A2529"/>
      </font>
    </dxf>
    <dxf>
      <font>
        <color rgb="FF8A2529"/>
      </font>
    </dxf>
    <dxf>
      <font>
        <b/>
        <i val="0"/>
      </font>
    </dxf>
    <dxf>
      <font>
        <b/>
        <i val="0"/>
        <color rgb="FFE87D1E"/>
      </font>
    </dxf>
    <dxf>
      <font>
        <b/>
        <i val="0"/>
        <color rgb="FFCDA8A9"/>
      </font>
    </dxf>
    <dxf>
      <font>
        <b/>
        <i val="0"/>
        <color theme="1"/>
      </font>
    </dxf>
    <dxf>
      <font>
        <b/>
        <i val="0"/>
        <color rgb="FF8A2529"/>
      </font>
    </dxf>
    <dxf>
      <font>
        <color rgb="FF8A2529"/>
      </font>
    </dxf>
    <dxf>
      <font>
        <b/>
        <i val="0"/>
        <color rgb="FF8A2529"/>
      </font>
    </dxf>
    <dxf>
      <font>
        <b/>
        <i val="0"/>
        <color rgb="FFCDA8A9"/>
      </font>
    </dxf>
    <dxf>
      <font>
        <b/>
        <i val="0"/>
        <color rgb="FFE87D1E"/>
      </font>
    </dxf>
    <dxf>
      <font>
        <color rgb="FF8A2529"/>
      </font>
    </dxf>
    <dxf>
      <font>
        <b/>
        <i val="0"/>
        <color theme="1"/>
      </font>
    </dxf>
    <dxf>
      <font>
        <b/>
        <i val="0"/>
      </font>
    </dxf>
    <dxf>
      <font>
        <b/>
        <i val="0"/>
        <color rgb="FFCDA8A9"/>
      </font>
    </dxf>
    <dxf>
      <font>
        <b/>
        <i val="0"/>
        <color rgb="FFE87D1E"/>
      </font>
    </dxf>
    <dxf>
      <font>
        <b/>
        <i val="0"/>
        <color rgb="FF8A2529"/>
      </font>
    </dxf>
    <dxf>
      <font>
        <b/>
        <i val="0"/>
      </font>
    </dxf>
    <dxf>
      <font>
        <b/>
        <i val="0"/>
        <color theme="1"/>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E87D1E"/>
      </font>
    </dxf>
    <dxf>
      <font>
        <b/>
        <i val="0"/>
        <color rgb="FFCDA8A9"/>
      </font>
    </dxf>
    <dxf>
      <font>
        <b/>
        <i val="0"/>
        <color rgb="FF8A2529"/>
      </font>
    </dxf>
    <dxf>
      <font>
        <color rgb="FF8A2529"/>
      </font>
    </dxf>
    <dxf>
      <font>
        <b/>
        <i val="0"/>
        <color rgb="FFCDA8A9"/>
      </font>
    </dxf>
    <dxf>
      <font>
        <b/>
        <i val="0"/>
      </font>
    </dxf>
    <dxf>
      <font>
        <b/>
        <i val="0"/>
        <color theme="1"/>
      </font>
    </dxf>
    <dxf>
      <font>
        <b/>
        <i val="0"/>
        <color rgb="FF8A2529"/>
      </font>
    </dxf>
    <dxf>
      <font>
        <b/>
        <i val="0"/>
        <color rgb="FFE87D1E"/>
      </font>
    </dxf>
    <dxf>
      <font>
        <b/>
        <i val="0"/>
        <color rgb="FF8A2529"/>
      </font>
    </dxf>
    <dxf>
      <font>
        <b/>
        <i val="0"/>
        <color rgb="FFCDA8A9"/>
      </font>
    </dxf>
    <dxf>
      <font>
        <color rgb="FF8A2529"/>
      </font>
    </dxf>
    <dxf>
      <font>
        <b/>
        <i val="0"/>
        <color rgb="FFE87D1E"/>
      </font>
    </dxf>
    <dxf>
      <font>
        <b/>
        <i val="0"/>
        <color theme="1"/>
      </font>
    </dxf>
    <dxf>
      <font>
        <b/>
        <i val="0"/>
        <color rgb="FFCDA8A9"/>
      </font>
    </dxf>
    <dxf>
      <font>
        <b/>
        <i val="0"/>
        <color rgb="FF8A2529"/>
      </font>
    </dxf>
    <dxf>
      <font>
        <b/>
        <i val="0"/>
      </font>
    </dxf>
    <dxf>
      <font>
        <color rgb="FF8A2529"/>
      </font>
    </dxf>
    <dxf>
      <font>
        <b/>
        <i val="0"/>
        <color rgb="FF8A2529"/>
      </font>
    </dxf>
    <dxf>
      <font>
        <b/>
        <i val="0"/>
      </font>
    </dxf>
    <dxf>
      <font>
        <color rgb="FF8A2529"/>
      </font>
    </dxf>
    <dxf>
      <font>
        <color rgb="FF8A2529"/>
      </font>
    </dxf>
    <dxf>
      <font>
        <b/>
        <i val="0"/>
        <color rgb="FF8A2529"/>
      </font>
    </dxf>
    <dxf>
      <font>
        <b/>
        <i val="0"/>
        <color rgb="FFCDA8A9"/>
      </font>
    </dxf>
    <dxf>
      <font>
        <b/>
        <i val="0"/>
        <color rgb="FFE87D1E"/>
      </font>
    </dxf>
    <dxf>
      <font>
        <b/>
        <i val="0"/>
        <color theme="1"/>
      </font>
    </dxf>
    <dxf>
      <font>
        <b/>
        <i val="0"/>
        <color rgb="FFE87D1E"/>
      </font>
    </dxf>
    <dxf>
      <font>
        <b/>
        <i val="0"/>
        <color rgb="FFCDA8A9"/>
      </font>
    </dxf>
    <dxf>
      <font>
        <b/>
        <i val="0"/>
        <color rgb="FFE87D1E"/>
      </font>
    </dxf>
    <dxf>
      <font>
        <b/>
        <i val="0"/>
      </font>
    </dxf>
    <dxf>
      <font>
        <color rgb="FF8A2529"/>
      </font>
    </dxf>
    <dxf>
      <font>
        <b/>
        <i val="0"/>
        <color rgb="FF8A2529"/>
      </font>
    </dxf>
    <dxf>
      <font>
        <b/>
        <i val="0"/>
        <color theme="1"/>
      </font>
    </dxf>
    <dxf>
      <font>
        <b/>
        <i val="0"/>
        <color rgb="FFCDA8A9"/>
      </font>
    </dxf>
    <dxf>
      <font>
        <color rgb="FF8A2529"/>
      </font>
    </dxf>
    <dxf>
      <font>
        <b/>
        <i val="0"/>
        <color rgb="FFE87D1E"/>
      </font>
    </dxf>
    <dxf>
      <font>
        <b/>
        <i val="0"/>
        <color rgb="FFCDA8A9"/>
      </font>
    </dxf>
    <dxf>
      <font>
        <b/>
        <i val="0"/>
      </font>
    </dxf>
    <dxf>
      <font>
        <b/>
        <i val="0"/>
        <color rgb="FF8A2529"/>
      </font>
    </dxf>
    <dxf>
      <font>
        <b/>
        <i val="0"/>
        <color theme="1"/>
      </font>
    </dxf>
    <dxf>
      <font>
        <color rgb="FF8A2529"/>
      </font>
    </dxf>
    <dxf>
      <font>
        <b/>
        <i val="0"/>
        <color rgb="FFE87D1E"/>
      </font>
    </dxf>
    <dxf>
      <font>
        <b/>
        <i val="0"/>
        <color rgb="FFCDA8A9"/>
      </font>
    </dxf>
    <dxf>
      <font>
        <b/>
        <i val="0"/>
      </font>
    </dxf>
    <dxf>
      <font>
        <b/>
        <i val="0"/>
        <color theme="1"/>
      </font>
    </dxf>
    <dxf>
      <font>
        <b/>
        <i val="0"/>
        <color rgb="FF8A2529"/>
      </font>
    </dxf>
    <dxf>
      <font>
        <b/>
        <i val="0"/>
        <color rgb="FFCDA8A9"/>
      </font>
    </dxf>
    <dxf>
      <font>
        <b/>
        <i val="0"/>
      </font>
    </dxf>
    <dxf>
      <font>
        <b/>
        <i val="0"/>
        <color theme="1"/>
      </font>
    </dxf>
    <dxf>
      <font>
        <b/>
        <i val="0"/>
        <color rgb="FF8A2529"/>
      </font>
    </dxf>
    <dxf>
      <font>
        <color rgb="FF8A2529"/>
      </font>
    </dxf>
    <dxf>
      <font>
        <b/>
        <i val="0"/>
        <color rgb="FFE87D1E"/>
      </font>
    </dxf>
    <dxf>
      <font>
        <b/>
        <i val="0"/>
        <color rgb="FF8A2529"/>
      </font>
    </dxf>
    <dxf>
      <font>
        <b/>
        <i val="0"/>
        <color auto="1"/>
      </font>
    </dxf>
    <dxf>
      <numFmt numFmtId="33" formatCode="_-* #,##0_-;\-* #,##0_-;_-* &quot;-&quot;_-;_-@_-"/>
    </dxf>
    <dxf>
      <numFmt numFmtId="33" formatCode="_-* #,##0_-;\-* #,##0_-;_-* &quot;-&quot;_-;_-@_-"/>
    </dxf>
    <dxf>
      <font>
        <b/>
        <i val="0"/>
        <color auto="1"/>
      </font>
    </dxf>
    <dxf>
      <font>
        <b/>
        <i val="0"/>
        <color rgb="FF8A2529"/>
      </font>
    </dxf>
    <dxf>
      <font>
        <b val="0"/>
        <i val="0"/>
      </font>
    </dxf>
    <dxf>
      <font>
        <b val="0"/>
        <i val="0"/>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color rgb="FF8A2529"/>
      </font>
    </dxf>
    <dxf>
      <font>
        <b/>
        <i val="0"/>
        <color rgb="FFE87D1E"/>
      </font>
    </dxf>
    <dxf>
      <font>
        <b/>
        <i val="0"/>
        <color rgb="FF8A2529"/>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b/>
        <i val="0"/>
      </font>
    </dxf>
    <dxf>
      <font>
        <b/>
        <i val="0"/>
        <color rgb="FFCDA8A9"/>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b/>
        <i val="0"/>
        <color theme="1"/>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theme="1"/>
      </font>
    </dxf>
    <dxf>
      <font>
        <b/>
        <i val="0"/>
      </font>
    </dxf>
    <dxf>
      <font>
        <color rgb="FF8A2529"/>
      </font>
    </dxf>
    <dxf>
      <font>
        <b/>
        <i val="0"/>
        <color rgb="FFE87D1E"/>
      </font>
    </dxf>
    <dxf>
      <font>
        <b/>
        <i val="0"/>
        <color rgb="FFCDA8A9"/>
      </font>
    </dxf>
    <dxf>
      <font>
        <color rgb="FF8A2529"/>
      </font>
    </dxf>
    <dxf>
      <font>
        <b/>
        <i val="0"/>
        <color rgb="FFE87D1E"/>
      </font>
    </dxf>
    <dxf>
      <font>
        <b/>
        <i val="0"/>
        <color rgb="FF8A2529"/>
      </font>
    </dxf>
    <dxf>
      <font>
        <b/>
        <i val="0"/>
        <color rgb="FFCDA8A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E87D1E"/>
      </font>
    </dxf>
    <dxf>
      <font>
        <b/>
        <i val="0"/>
        <color rgb="FFCDA8A9"/>
      </font>
    </dxf>
    <dxf>
      <font>
        <color rgb="FF8A2529"/>
      </font>
    </dxf>
    <dxf>
      <font>
        <b/>
        <i val="0"/>
        <color rgb="FF8A2529"/>
      </font>
    </dxf>
    <dxf>
      <numFmt numFmtId="33" formatCode="_-* #,##0_-;\-* #,##0_-;_-* &quot;-&quot;_-;_-@_-"/>
    </dxf>
    <dxf>
      <font>
        <b val="0"/>
        <i val="0"/>
      </font>
    </dxf>
    <dxf>
      <font>
        <b/>
        <i val="0"/>
        <color auto="1"/>
      </font>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rgb="FFCDA8A9"/>
      </font>
    </dxf>
    <dxf>
      <font>
        <color rgb="FF8A2529"/>
      </font>
    </dxf>
    <dxf>
      <font>
        <b/>
        <i val="0"/>
        <color rgb="FFE87D1E"/>
      </font>
    </dxf>
    <dxf>
      <font>
        <b/>
        <i val="0"/>
        <color rgb="FF8A2529"/>
      </font>
    </dxf>
    <dxf>
      <font>
        <b/>
        <i val="0"/>
        <color theme="1"/>
      </font>
    </dxf>
    <dxf>
      <font>
        <b/>
        <i val="0"/>
      </font>
    </dxf>
    <dxf>
      <font>
        <b/>
        <i val="0"/>
        <color rgb="FFCDA8A9"/>
      </font>
    </dxf>
    <dxf>
      <font>
        <b/>
        <i val="0"/>
        <color rgb="FFE87D1E"/>
      </font>
    </dxf>
    <dxf>
      <font>
        <color rgb="FF8A2529"/>
      </font>
    </dxf>
    <dxf>
      <font>
        <b val="0"/>
        <i val="0"/>
      </font>
    </dxf>
    <dxf>
      <numFmt numFmtId="33" formatCode="_-* #,##0_-;\-* #,##0_-;_-* &quot;-&quot;_-;_-@_-"/>
    </dxf>
    <dxf>
      <font>
        <b/>
        <i val="0"/>
        <color auto="1"/>
      </font>
    </dxf>
    <dxf>
      <font>
        <b val="0"/>
        <i val="0"/>
      </font>
    </dxf>
    <dxf>
      <font>
        <b/>
        <i val="0"/>
        <color rgb="FF8A2529"/>
      </font>
    </dxf>
    <dxf>
      <font>
        <b/>
        <i val="0"/>
        <color rgb="FF8A2529"/>
      </font>
    </dxf>
    <dxf>
      <font>
        <b/>
        <i val="0"/>
        <color theme="1"/>
      </font>
    </dxf>
    <dxf>
      <font>
        <b/>
        <i val="0"/>
        <color rgb="FFCDA8A9"/>
      </font>
    </dxf>
    <dxf>
      <font>
        <color rgb="FF8A2529"/>
      </font>
    </dxf>
    <dxf>
      <font>
        <b/>
        <i val="0"/>
        <color rgb="FFE87D1E"/>
      </font>
    </dxf>
    <dxf>
      <font>
        <b/>
        <i val="0"/>
        <color rgb="FF8A2529"/>
      </font>
    </dxf>
    <dxf>
      <font>
        <color rgb="FF8A2529"/>
      </font>
    </dxf>
    <dxf>
      <font>
        <b/>
        <i val="0"/>
        <color rgb="FFE87D1E"/>
      </font>
    </dxf>
    <dxf>
      <font>
        <b/>
        <i val="0"/>
        <color rgb="FFCDA8A9"/>
      </font>
    </dxf>
    <dxf>
      <font>
        <b/>
        <i val="0"/>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numFmt numFmtId="33" formatCode="_-* #,##0_-;\-* #,##0_-;_-* &quot;-&quot;_-;_-@_-"/>
    </dxf>
    <dxf>
      <font>
        <b/>
        <i val="0"/>
        <color auto="1"/>
      </font>
    </dxf>
    <dxf>
      <font>
        <b/>
        <i val="0"/>
        <color rgb="FF8A2529"/>
      </font>
    </dxf>
    <dxf>
      <font>
        <color rgb="FF8A252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rgb="FF8A2529"/>
      </font>
    </dxf>
    <dxf>
      <font>
        <b/>
        <i val="0"/>
        <color rgb="FF8A2529"/>
      </font>
    </dxf>
    <dxf>
      <numFmt numFmtId="33" formatCode="_-* #,##0_-;\-* #,##0_-;_-* &quot;-&quot;_-;_-@_-"/>
    </dxf>
    <dxf>
      <font>
        <b/>
        <i val="0"/>
        <color auto="1"/>
      </font>
    </dxf>
    <dxf>
      <font>
        <b val="0"/>
        <i val="0"/>
      </font>
    </dxf>
    <dxf>
      <font>
        <b val="0"/>
        <i val="0"/>
      </font>
    </dxf>
    <dxf>
      <font>
        <b/>
        <i val="0"/>
        <color rgb="FF8A2529"/>
      </font>
    </dxf>
    <dxf>
      <font>
        <b/>
        <i val="0"/>
        <color rgb="FFE87D1E"/>
      </font>
    </dxf>
    <dxf>
      <font>
        <color rgb="FF8A2529"/>
      </font>
    </dxf>
    <dxf>
      <font>
        <b/>
        <i val="0"/>
        <color rgb="FFCDA8A9"/>
      </font>
    </dxf>
    <dxf>
      <font>
        <b/>
        <i val="0"/>
        <color rgb="FF8A2529"/>
      </font>
    </dxf>
    <dxf>
      <font>
        <b val="0"/>
        <i val="0"/>
      </font>
    </dxf>
    <dxf>
      <font>
        <b/>
        <i val="0"/>
        <color auto="1"/>
      </font>
    </dxf>
    <dxf>
      <numFmt numFmtId="33" formatCode="_-* #,##0_-;\-* #,##0_-;_-* &quot;-&quot;_-;_-@_-"/>
    </dxf>
    <dxf>
      <font>
        <b val="0"/>
        <i val="0"/>
      </font>
    </dxf>
    <dxf>
      <font>
        <b/>
        <i val="0"/>
        <color rgb="FF8A2529"/>
      </font>
    </dxf>
    <dxf>
      <font>
        <color rgb="FF8A2529"/>
      </font>
    </dxf>
    <dxf>
      <font>
        <b/>
        <i val="0"/>
        <color rgb="FFE87D1E"/>
      </font>
    </dxf>
    <dxf>
      <font>
        <b/>
        <i val="0"/>
        <color rgb="FFCDA8A9"/>
      </font>
    </dxf>
    <dxf>
      <font>
        <b/>
        <i val="0"/>
        <color rgb="FF8A2529"/>
      </font>
    </dxf>
    <dxf>
      <font>
        <b/>
        <i val="0"/>
        <color auto="1"/>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rgb="FF8A2529"/>
      </font>
    </dxf>
    <dxf>
      <font>
        <b/>
        <i val="0"/>
        <color rgb="FFCDA8A9"/>
      </font>
    </dxf>
    <dxf>
      <font>
        <b/>
        <i val="0"/>
        <color rgb="FF8A2529"/>
      </font>
    </dxf>
    <dxf>
      <font>
        <color rgb="FF8A2529"/>
      </font>
    </dxf>
    <dxf>
      <font>
        <b/>
        <i val="0"/>
        <color rgb="FFE87D1E"/>
      </font>
    </dxf>
    <dxf>
      <numFmt numFmtId="33" formatCode="_-* #,##0_-;\-* #,##0_-;_-* &quot;-&quot;_-;_-@_-"/>
    </dxf>
    <dxf>
      <font>
        <b val="0"/>
        <i val="0"/>
      </font>
    </dxf>
    <dxf>
      <font>
        <b val="0"/>
        <i val="0"/>
      </font>
    </dxf>
    <dxf>
      <font>
        <b/>
        <i val="0"/>
        <color rgb="FF8A2529"/>
      </font>
    </dxf>
    <dxf>
      <font>
        <b/>
        <i val="0"/>
        <color auto="1"/>
      </font>
    </dxf>
    <dxf>
      <font>
        <b/>
        <i val="0"/>
        <color rgb="FFCDA8A9"/>
      </font>
    </dxf>
    <dxf>
      <font>
        <color rgb="FF8A2529"/>
      </font>
    </dxf>
    <dxf>
      <font>
        <b/>
        <i val="0"/>
        <color rgb="FFE87D1E"/>
      </font>
    </dxf>
    <dxf>
      <font>
        <b/>
        <i val="0"/>
        <color rgb="FF8A2529"/>
      </font>
    </dxf>
    <dxf>
      <numFmt numFmtId="33" formatCode="_-* #,##0_-;\-* #,##0_-;_-* &quot;-&quot;_-;_-@_-"/>
    </dxf>
    <dxf>
      <font>
        <b val="0"/>
        <i val="0"/>
      </font>
    </dxf>
    <dxf>
      <font>
        <b/>
        <i val="0"/>
        <color rgb="FF8A2529"/>
      </font>
    </dxf>
    <dxf>
      <font>
        <b/>
        <i val="0"/>
        <color auto="1"/>
      </font>
    </dxf>
    <dxf>
      <font>
        <b val="0"/>
        <i val="0"/>
      </font>
    </dxf>
    <dxf>
      <font>
        <b/>
        <i val="0"/>
        <color rgb="FF8A2529"/>
      </font>
    </dxf>
    <dxf>
      <font>
        <b val="0"/>
        <i val="0"/>
      </font>
    </dxf>
    <dxf>
      <font>
        <b/>
        <i val="0"/>
        <color auto="1"/>
      </font>
    </dxf>
    <dxf>
      <numFmt numFmtId="33" formatCode="_-* #,##0_-;\-* #,##0_-;_-* &quot;-&quot;_-;_-@_-"/>
    </dxf>
    <dxf>
      <font>
        <b val="0"/>
        <i val="0"/>
      </font>
    </dxf>
    <dxf>
      <font>
        <b/>
        <i val="0"/>
        <color auto="1"/>
      </font>
    </dxf>
    <dxf>
      <font>
        <b/>
        <i val="0"/>
        <color rgb="FF8A2529"/>
      </font>
    </dxf>
    <dxf>
      <numFmt numFmtId="33" formatCode="_-* #,##0_-;\-* #,##0_-;_-* &quot;-&quot;_-;_-@_-"/>
    </dxf>
    <dxf>
      <font>
        <b val="0"/>
        <i val="0"/>
      </font>
    </dxf>
    <dxf>
      <font>
        <b val="0"/>
        <i val="0"/>
      </font>
    </dxf>
    <dxf>
      <numFmt numFmtId="33" formatCode="_-* #,##0_-;\-* #,##0_-;_-* &quot;-&quot;_-;_-@_-"/>
    </dxf>
    <dxf>
      <font>
        <b val="0"/>
        <i val="0"/>
      </font>
    </dxf>
    <dxf>
      <font>
        <b val="0"/>
        <i val="0"/>
      </font>
    </dxf>
    <dxf>
      <font>
        <b/>
        <i val="0"/>
        <color rgb="FF8A2529"/>
      </font>
    </dxf>
    <dxf>
      <font>
        <b/>
        <i val="0"/>
        <color auto="1"/>
      </font>
    </dxf>
    <dxf>
      <font>
        <b/>
        <i val="0"/>
        <color rgb="FF8A2529"/>
      </font>
    </dxf>
    <dxf>
      <font>
        <b/>
        <i val="0"/>
        <color rgb="FFCDA8A9"/>
      </font>
    </dxf>
    <dxf>
      <font>
        <b/>
        <i val="0"/>
        <color rgb="FFE87D1E"/>
      </font>
    </dxf>
    <dxf>
      <font>
        <color rgb="FF8A2529"/>
      </font>
    </dxf>
    <dxf>
      <font>
        <b val="0"/>
        <i val="0"/>
      </font>
    </dxf>
    <dxf>
      <font>
        <b val="0"/>
        <i val="0"/>
      </font>
    </dxf>
    <dxf>
      <numFmt numFmtId="33" formatCode="_-* #,##0_-;\-* #,##0_-;_-* &quot;-&quot;_-;_-@_-"/>
    </dxf>
    <dxf>
      <font>
        <b/>
        <i val="0"/>
        <color auto="1"/>
      </font>
    </dxf>
    <dxf>
      <font>
        <b/>
        <i val="0"/>
        <color rgb="FF8A2529"/>
      </font>
    </dxf>
    <dxf>
      <font>
        <b/>
        <i val="0"/>
        <color rgb="FFE87D1E"/>
      </font>
    </dxf>
    <dxf>
      <font>
        <color rgb="FF8A2529"/>
      </font>
    </dxf>
    <dxf>
      <font>
        <b/>
        <i val="0"/>
        <color rgb="FF8A2529"/>
      </font>
    </dxf>
    <dxf>
      <font>
        <b val="0"/>
        <i val="0"/>
      </font>
    </dxf>
    <dxf>
      <font>
        <b/>
        <i val="0"/>
        <color auto="1"/>
      </font>
    </dxf>
    <dxf>
      <numFmt numFmtId="33" formatCode="_-* #,##0_-;\-* #,##0_-;_-* &quot;-&quot;_-;_-@_-"/>
    </dxf>
    <dxf>
      <font>
        <b val="0"/>
        <i val="0"/>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font>
        <b/>
        <i val="0"/>
        <color rgb="FF8A2529"/>
      </font>
    </dxf>
    <dxf>
      <font>
        <b/>
        <i val="0"/>
        <color auto="1"/>
      </font>
    </dxf>
    <dxf>
      <numFmt numFmtId="33" formatCode="_-* #,##0_-;\-* #,##0_-;_-* &quot;-&quot;_-;_-@_-"/>
    </dxf>
    <dxf>
      <numFmt numFmtId="33" formatCode="_-* #,##0_-;\-* #,##0_-;_-* &quot;-&quot;_-;_-@_-"/>
    </dxf>
    <dxf>
      <font>
        <b/>
        <i val="0"/>
        <color auto="1"/>
      </font>
    </dxf>
    <dxf>
      <font>
        <b/>
        <i val="0"/>
        <color rgb="FF8A2529"/>
      </font>
    </dxf>
    <dxf>
      <font>
        <b val="0"/>
        <i val="0"/>
      </font>
    </dxf>
    <dxf>
      <font>
        <b val="0"/>
        <i val="0"/>
      </font>
    </dxf>
    <dxf>
      <font>
        <b/>
        <i val="0"/>
        <color rgb="FF8A2529"/>
      </font>
    </dxf>
    <dxf>
      <font>
        <b val="0"/>
        <i val="0"/>
      </font>
    </dxf>
    <dxf>
      <font>
        <b val="0"/>
        <i val="0"/>
      </font>
    </dxf>
    <dxf>
      <numFmt numFmtId="33" formatCode="_-* #,##0_-;\-* #,##0_-;_-* &quot;-&quot;_-;_-@_-"/>
    </dxf>
    <dxf>
      <font>
        <b/>
        <i val="0"/>
        <color auto="1"/>
      </font>
    </dxf>
    <dxf>
      <font>
        <b val="0"/>
        <i val="0"/>
      </font>
    </dxf>
    <dxf>
      <font>
        <b/>
        <i val="0"/>
        <color auto="1"/>
      </font>
    </dxf>
    <dxf>
      <font>
        <b val="0"/>
        <i val="0"/>
      </font>
    </dxf>
    <dxf>
      <font>
        <b/>
        <i val="0"/>
        <color rgb="FF8A2529"/>
      </font>
    </dxf>
    <dxf>
      <numFmt numFmtId="33" formatCode="_-* #,##0_-;\-* #,##0_-;_-* &quot;-&quot;_-;_-@_-"/>
    </dxf>
    <dxf>
      <font>
        <b val="0"/>
        <i val="0"/>
      </font>
    </dxf>
    <dxf>
      <font>
        <b val="0"/>
        <i val="0"/>
      </font>
    </dxf>
    <dxf>
      <font>
        <b/>
        <i val="0"/>
        <color auto="1"/>
      </font>
    </dxf>
    <dxf>
      <numFmt numFmtId="33" formatCode="_-* #,##0_-;\-* #,##0_-;_-* &quot;-&quot;_-;_-@_-"/>
    </dxf>
    <dxf>
      <font>
        <b/>
        <i val="0"/>
        <color rgb="FF8A2529"/>
      </font>
    </dxf>
    <dxf>
      <font>
        <b/>
        <i val="0"/>
        <color rgb="FF8A2529"/>
      </font>
    </dxf>
    <dxf>
      <font>
        <b/>
        <i val="0"/>
        <color rgb="FFCDA8A9"/>
      </font>
    </dxf>
    <dxf>
      <font>
        <b/>
        <i val="0"/>
        <color rgb="FFCDA8A9"/>
      </font>
    </dxf>
    <dxf>
      <font>
        <b/>
        <i val="0"/>
        <color rgb="FF8A2529"/>
      </font>
    </dxf>
    <dxf>
      <font>
        <b/>
        <i val="0"/>
        <color auto="1"/>
      </font>
    </dxf>
    <dxf>
      <font>
        <b val="0"/>
        <i val="0"/>
      </font>
    </dxf>
    <dxf>
      <font>
        <b val="0"/>
        <i val="0"/>
      </font>
    </dxf>
    <dxf>
      <numFmt numFmtId="33" formatCode="_-* #,##0_-;\-* #,##0_-;_-* &quot;-&quot;_-;_-@_-"/>
    </dxf>
    <dxf>
      <font>
        <b/>
        <i val="0"/>
        <color rgb="FFCDA8A9"/>
      </font>
    </dxf>
    <dxf>
      <font>
        <b/>
        <i val="0"/>
        <color rgb="FF8A2529"/>
      </font>
    </dxf>
    <dxf>
      <font>
        <b/>
        <i val="0"/>
        <color auto="1"/>
      </font>
    </dxf>
    <dxf>
      <numFmt numFmtId="33" formatCode="_-* #,##0_-;\-* #,##0_-;_-* &quot;-&quot;_-;_-@_-"/>
    </dxf>
    <dxf>
      <font>
        <b val="0"/>
        <i val="0"/>
      </font>
    </dxf>
    <dxf>
      <font>
        <b val="0"/>
        <i val="0"/>
      </font>
    </dxf>
    <dxf>
      <numFmt numFmtId="33" formatCode="_-* #,##0_-;\-* #,##0_-;_-* &quot;-&quot;_-;_-@_-"/>
    </dxf>
    <dxf>
      <font>
        <b/>
        <i val="0"/>
        <color rgb="FF8A2529"/>
      </font>
    </dxf>
    <dxf>
      <font>
        <b/>
        <i val="0"/>
        <color auto="1"/>
      </font>
    </dxf>
    <dxf>
      <font>
        <b val="0"/>
        <i val="0"/>
      </font>
    </dxf>
    <dxf>
      <font>
        <b val="0"/>
        <i val="0"/>
      </font>
    </dxf>
    <dxf>
      <font>
        <b/>
        <i val="0"/>
        <color rgb="FF8A2529"/>
      </font>
    </dxf>
    <dxf>
      <font>
        <b/>
        <i val="0"/>
        <color rgb="FFCDA8A9"/>
      </font>
    </dxf>
    <dxf>
      <font>
        <b val="0"/>
        <i val="0"/>
      </font>
    </dxf>
    <dxf>
      <font>
        <b val="0"/>
        <i val="0"/>
      </font>
    </dxf>
    <dxf>
      <numFmt numFmtId="33" formatCode="_-* #,##0_-;\-* #,##0_-;_-* &quot;-&quot;_-;_-@_-"/>
    </dxf>
    <dxf>
      <font>
        <b/>
        <i val="0"/>
        <color auto="1"/>
      </font>
    </dxf>
    <dxf>
      <font>
        <b/>
        <i val="0"/>
        <color rgb="FF8A2529"/>
      </font>
    </dxf>
    <dxf>
      <font>
        <b/>
        <i val="0"/>
        <color rgb="FF8A2529"/>
      </font>
    </dxf>
    <dxf>
      <font>
        <b/>
        <i val="0"/>
        <color auto="1"/>
      </font>
    </dxf>
    <dxf>
      <numFmt numFmtId="33" formatCode="_-* #,##0_-;\-* #,##0_-;_-* &quot;-&quot;_-;_-@_-"/>
    </dxf>
    <dxf>
      <font>
        <b/>
        <i val="0"/>
        <color auto="1"/>
      </font>
    </dxf>
    <dxf>
      <font>
        <b/>
        <i val="0"/>
        <color rgb="FF8A2529"/>
      </font>
    </dxf>
    <dxf>
      <font>
        <b val="0"/>
        <i val="0"/>
      </font>
    </dxf>
    <dxf>
      <font>
        <b val="0"/>
        <i val="0"/>
      </font>
    </dxf>
    <dxf>
      <font>
        <b/>
        <i val="0"/>
        <color auto="1"/>
      </font>
    </dxf>
    <dxf>
      <numFmt numFmtId="33" formatCode="_-* #,##0_-;\-* #,##0_-;_-* &quot;-&quot;_-;_-@_-"/>
    </dxf>
    <dxf>
      <font>
        <b/>
        <i val="0"/>
        <color auto="1"/>
      </font>
    </dxf>
    <dxf>
      <numFmt numFmtId="33" formatCode="_-* #,##0_-;\-* #,##0_-;_-* &quot;-&quot;_-;_-@_-"/>
    </dxf>
    <dxf>
      <numFmt numFmtId="33" formatCode="_-* #,##0_-;\-* #,##0_-;_-* &quot;-&quot;_-;_-@_-"/>
    </dxf>
    <dxf>
      <font>
        <b/>
        <i val="0"/>
        <color auto="1"/>
      </font>
    </dxf>
    <dxf>
      <font>
        <b/>
        <i val="0"/>
        <color rgb="FFE87D1E"/>
      </font>
    </dxf>
    <dxf>
      <font>
        <b/>
        <i val="0"/>
        <color rgb="FF8A2529"/>
      </font>
    </dxf>
    <dxf>
      <font>
        <b/>
        <i val="0"/>
        <color rgb="FFCDA8A9"/>
      </font>
    </dxf>
    <dxf>
      <font>
        <color rgb="FF8A2529"/>
      </font>
    </dxf>
    <dxf>
      <font>
        <b/>
        <i val="0"/>
        <color auto="1"/>
      </font>
    </dxf>
    <dxf>
      <numFmt numFmtId="33" formatCode="_-* #,##0_-;\-* #,##0_-;_-* &quot;-&quot;_-;_-@_-"/>
    </dxf>
    <dxf>
      <font>
        <b/>
        <i val="0"/>
        <color rgb="FFCDA8A9"/>
      </font>
    </dxf>
    <dxf>
      <font>
        <b/>
        <i val="0"/>
        <color rgb="FF8A2529"/>
      </font>
    </dxf>
    <dxf>
      <font>
        <b/>
        <i val="0"/>
        <color auto="1"/>
      </font>
    </dxf>
    <dxf>
      <numFmt numFmtId="33" formatCode="_-* #,##0_-;\-* #,##0_-;_-* &quot;-&quot;_-;_-@_-"/>
    </dxf>
    <dxf>
      <font>
        <b val="0"/>
        <i val="0"/>
      </font>
    </dxf>
    <dxf>
      <font>
        <b/>
        <i val="0"/>
        <color rgb="FF8A2529"/>
      </font>
    </dxf>
    <dxf>
      <font>
        <b/>
        <i val="0"/>
        <color auto="1"/>
      </font>
    </dxf>
    <dxf>
      <numFmt numFmtId="33" formatCode="_-* #,##0_-;\-* #,##0_-;_-* &quot;-&quot;_-;_-@_-"/>
    </dxf>
    <dxf>
      <font>
        <b val="0"/>
        <i val="0"/>
      </font>
    </dxf>
    <dxf>
      <font>
        <b/>
        <i val="0"/>
        <color rgb="FF8A2529"/>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b val="0"/>
        <i val="0"/>
      </font>
    </dxf>
    <dxf>
      <font>
        <color rgb="FF8A2529"/>
      </font>
    </dxf>
    <dxf>
      <font>
        <b/>
        <i val="0"/>
        <color rgb="FFCDA8A9"/>
      </font>
    </dxf>
    <dxf>
      <font>
        <b/>
        <i val="0"/>
        <color theme="1"/>
      </font>
    </dxf>
    <dxf>
      <font>
        <b/>
        <i val="0"/>
        <color rgb="FFE87D1E"/>
      </font>
    </dxf>
    <dxf>
      <font>
        <b/>
        <i val="0"/>
        <color rgb="FFCDA8A9"/>
      </font>
    </dxf>
    <dxf>
      <font>
        <b/>
        <i val="0"/>
        <color rgb="FF8A2529"/>
      </font>
    </dxf>
    <dxf>
      <font>
        <b/>
        <i val="0"/>
      </font>
    </dxf>
    <dxf>
      <font>
        <color rgb="FF8A2529"/>
      </font>
    </dxf>
    <dxf>
      <font>
        <b/>
        <i val="0"/>
        <color rgb="FFE87D1E"/>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color rgb="FF8A2529"/>
      </font>
    </dxf>
    <dxf>
      <font>
        <color rgb="FF8A2529"/>
      </font>
    </dxf>
    <dxf>
      <font>
        <color rgb="FF8A2529"/>
      </font>
    </dxf>
    <dxf>
      <font>
        <b/>
        <i val="0"/>
        <color rgb="FF8A2529"/>
      </font>
    </dxf>
    <dxf>
      <font>
        <b/>
        <i val="0"/>
        <color rgb="FFCDA8A9"/>
      </font>
    </dxf>
    <dxf>
      <font>
        <b/>
        <i val="0"/>
        <color rgb="FFE87D1E"/>
      </font>
    </dxf>
    <dxf>
      <font>
        <color rgb="FF8A2529"/>
      </font>
    </dxf>
    <dxf>
      <font>
        <b/>
        <i val="0"/>
        <color rgb="FFE87D1E"/>
      </font>
    </dxf>
    <dxf>
      <font>
        <b/>
        <i val="0"/>
        <color theme="1"/>
      </font>
    </dxf>
    <dxf>
      <font>
        <b/>
        <i val="0"/>
      </font>
    </dxf>
    <dxf>
      <font>
        <b/>
        <i val="0"/>
        <color rgb="FFCDA8A9"/>
      </font>
    </dxf>
    <dxf>
      <font>
        <b/>
        <i val="0"/>
        <color rgb="FFCDA8A9"/>
      </font>
    </dxf>
    <dxf>
      <font>
        <b/>
        <i val="0"/>
      </font>
    </dxf>
    <dxf>
      <font>
        <b/>
        <i val="0"/>
        <color rgb="FFCDA8A9"/>
      </font>
    </dxf>
    <dxf>
      <font>
        <b/>
        <i val="0"/>
        <color rgb="FFE87D1E"/>
      </font>
    </dxf>
    <dxf>
      <font>
        <b/>
        <i val="0"/>
        <color theme="1"/>
      </font>
    </dxf>
    <dxf>
      <font>
        <color rgb="FF8A2529"/>
      </font>
    </dxf>
    <dxf>
      <font>
        <color rgb="FF8A2529"/>
      </font>
    </dxf>
    <dxf>
      <font>
        <b/>
        <i val="0"/>
        <color rgb="FF8A2529"/>
      </font>
    </dxf>
    <dxf>
      <font>
        <b/>
        <i val="0"/>
        <color rgb="FFE87D1E"/>
      </font>
    </dxf>
    <dxf>
      <font>
        <b/>
        <i val="0"/>
        <color rgb="FF8A2529"/>
      </font>
    </dxf>
    <dxf>
      <font>
        <b/>
        <i val="0"/>
        <color rgb="FFCDA8A9"/>
      </font>
    </dxf>
    <dxf>
      <font>
        <b/>
        <i val="0"/>
        <color rgb="FFE87D1E"/>
      </font>
    </dxf>
    <dxf>
      <font>
        <color rgb="FF8A2529"/>
      </font>
    </dxf>
    <dxf>
      <font>
        <b/>
        <i val="0"/>
        <color rgb="FFCDA8A9"/>
      </font>
    </dxf>
    <dxf>
      <font>
        <b/>
        <i val="0"/>
      </font>
    </dxf>
    <dxf>
      <font>
        <b/>
        <i val="0"/>
        <color theme="1"/>
      </font>
    </dxf>
    <dxf>
      <font>
        <b/>
        <i val="0"/>
        <color rgb="FFE87D1E"/>
      </font>
    </dxf>
    <dxf>
      <font>
        <color rgb="FF8A2529"/>
      </font>
    </dxf>
    <dxf>
      <font>
        <color rgb="FF8A2529"/>
      </font>
    </dxf>
    <dxf>
      <font>
        <b/>
        <i val="0"/>
        <color rgb="FFE87D1E"/>
      </font>
    </dxf>
    <dxf>
      <font>
        <b/>
        <i val="0"/>
        <color rgb="FFCDA8A9"/>
      </font>
    </dxf>
    <dxf>
      <font>
        <b/>
        <i val="0"/>
        <color rgb="FFE87D1E"/>
      </font>
    </dxf>
    <dxf>
      <font>
        <b/>
        <i val="0"/>
      </font>
    </dxf>
    <dxf>
      <font>
        <b/>
        <i val="0"/>
        <color theme="1"/>
      </font>
    </dxf>
    <dxf>
      <font>
        <color rgb="FF8A2529"/>
      </font>
    </dxf>
    <dxf>
      <font>
        <b/>
        <i val="0"/>
        <color rgb="FF8A2529"/>
      </font>
    </dxf>
    <dxf>
      <font>
        <b/>
        <i val="0"/>
        <color theme="1"/>
      </font>
    </dxf>
    <dxf>
      <font>
        <b/>
        <i val="0"/>
        <color rgb="FFCDA8A9"/>
      </font>
    </dxf>
    <dxf>
      <font>
        <b/>
        <i val="0"/>
        <color rgb="FF8A2529"/>
      </font>
    </dxf>
    <dxf>
      <font>
        <b/>
        <i val="0"/>
        <color rgb="FFE87D1E"/>
      </font>
    </dxf>
    <dxf>
      <font>
        <color rgb="FF8A2529"/>
      </font>
    </dxf>
    <dxf>
      <font>
        <b/>
        <i val="0"/>
        <color rgb="FFCDA8A9"/>
      </font>
    </dxf>
    <dxf>
      <font>
        <color rgb="FF8A2529"/>
      </font>
    </dxf>
    <dxf>
      <font>
        <b/>
        <i val="0"/>
      </font>
    </dxf>
    <dxf>
      <font>
        <b/>
        <i val="0"/>
        <color rgb="FF8A2529"/>
      </font>
    </dxf>
    <dxf>
      <font>
        <b/>
        <i val="0"/>
        <color rgb="FFE87D1E"/>
      </font>
    </dxf>
    <dxf>
      <font>
        <b/>
        <i val="0"/>
        <color theme="1"/>
      </font>
    </dxf>
    <dxf>
      <font>
        <b/>
        <i val="0"/>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E87D1E"/>
      </font>
    </dxf>
    <dxf>
      <font>
        <b/>
        <i val="0"/>
        <color rgb="FF8A2529"/>
      </font>
    </dxf>
    <dxf>
      <font>
        <color rgb="FF8A2529"/>
      </font>
    </dxf>
    <dxf>
      <font>
        <b/>
        <i val="0"/>
        <color rgb="FFE87D1E"/>
      </font>
    </dxf>
    <dxf>
      <font>
        <b/>
        <i val="0"/>
        <color rgb="FFCDA8A9"/>
      </font>
    </dxf>
    <dxf>
      <font>
        <b/>
        <i val="0"/>
        <color rgb="FF8A2529"/>
      </font>
    </dxf>
    <dxf>
      <font>
        <b/>
        <i val="0"/>
      </font>
    </dxf>
    <dxf>
      <font>
        <b/>
        <i val="0"/>
        <color rgb="FFCDA8A9"/>
      </font>
    </dxf>
    <dxf>
      <font>
        <b/>
        <i val="0"/>
        <color theme="1"/>
      </font>
    </dxf>
    <dxf>
      <font>
        <color rgb="FF8A2529"/>
      </font>
    </dxf>
    <dxf>
      <font>
        <b/>
        <i val="0"/>
      </font>
    </dxf>
    <dxf>
      <font>
        <b/>
        <i val="0"/>
        <color theme="1"/>
      </font>
    </dxf>
    <dxf>
      <font>
        <color rgb="FF8A2529"/>
      </font>
    </dxf>
    <dxf>
      <font>
        <b/>
        <i val="0"/>
        <color rgb="FFE87D1E"/>
      </font>
    </dxf>
    <dxf>
      <font>
        <b/>
        <i val="0"/>
        <color rgb="FFCDA8A9"/>
      </font>
    </dxf>
    <dxf>
      <font>
        <b/>
        <i val="0"/>
        <color theme="1"/>
      </font>
    </dxf>
    <dxf>
      <font>
        <b/>
        <i val="0"/>
      </font>
    </dxf>
    <dxf>
      <font>
        <b/>
        <i val="0"/>
        <color rgb="FFCDA8A9"/>
      </font>
    </dxf>
    <dxf>
      <font>
        <color rgb="FF8A2529"/>
      </font>
    </dxf>
    <dxf>
      <font>
        <b/>
        <i val="0"/>
        <color rgb="FFE87D1E"/>
      </font>
    </dxf>
    <dxf>
      <font>
        <color rgb="FF8A2529"/>
      </font>
    </dxf>
    <dxf>
      <font>
        <b/>
        <i val="0"/>
        <color theme="1"/>
      </font>
    </dxf>
    <dxf>
      <font>
        <b/>
        <i val="0"/>
        <color rgb="FFCDA8A9"/>
      </font>
    </dxf>
    <dxf>
      <font>
        <b/>
        <i val="0"/>
      </font>
    </dxf>
    <dxf>
      <font>
        <b/>
        <i val="0"/>
        <color rgb="FFE87D1E"/>
      </font>
    </dxf>
    <dxf>
      <font>
        <color rgb="FF8A2529"/>
      </font>
    </dxf>
    <dxf>
      <font>
        <b/>
        <i val="0"/>
        <color rgb="FFE87D1E"/>
      </font>
    </dxf>
    <dxf>
      <font>
        <b/>
        <i val="0"/>
      </font>
    </dxf>
    <dxf>
      <font>
        <b/>
        <i val="0"/>
        <color theme="1"/>
      </font>
    </dxf>
    <dxf>
      <font>
        <b/>
        <i val="0"/>
        <color rgb="FF8A2529"/>
      </font>
    </dxf>
    <dxf>
      <font>
        <b/>
        <i val="0"/>
        <color rgb="FFCDA8A9"/>
      </font>
    </dxf>
    <dxf>
      <font>
        <b/>
        <i val="0"/>
        <color theme="1"/>
      </font>
    </dxf>
    <dxf>
      <font>
        <b/>
        <i val="0"/>
      </font>
    </dxf>
    <dxf>
      <font>
        <color rgb="FF8A2529"/>
      </font>
    </dxf>
    <dxf>
      <font>
        <b/>
        <i val="0"/>
        <color rgb="FFE87D1E"/>
      </font>
    </dxf>
    <dxf>
      <font>
        <b/>
        <i val="0"/>
        <color rgb="FFCDA8A9"/>
      </font>
    </dxf>
    <dxf>
      <font>
        <color rgb="FF8A2529"/>
      </font>
    </dxf>
    <dxf>
      <font>
        <b/>
        <i val="0"/>
        <color rgb="FF8A2529"/>
      </font>
    </dxf>
    <dxf>
      <font>
        <b/>
        <i val="0"/>
        <color rgb="FFE87D1E"/>
      </font>
    </dxf>
    <dxf>
      <font>
        <b/>
        <i val="0"/>
        <color rgb="FFCDA8A9"/>
      </font>
    </dxf>
    <dxf>
      <font>
        <b/>
        <i val="0"/>
      </font>
    </dxf>
    <dxf>
      <font>
        <b/>
        <i val="0"/>
        <color theme="1"/>
      </font>
    </dxf>
    <dxf>
      <numFmt numFmtId="33" formatCode="_-* #,##0_-;\-* #,##0_-;_-* &quot;-&quot;_-;_-@_-"/>
    </dxf>
    <dxf>
      <font>
        <b val="0"/>
        <i val="0"/>
      </font>
    </dxf>
    <dxf>
      <font>
        <b val="0"/>
        <i val="0"/>
      </font>
    </dxf>
    <dxf>
      <font>
        <b/>
        <i val="0"/>
        <color auto="1"/>
      </font>
    </dxf>
    <dxf>
      <font>
        <b/>
        <i val="0"/>
        <color rgb="FF8A2529"/>
      </font>
    </dxf>
    <dxf>
      <numFmt numFmtId="33" formatCode="_-* #,##0_-;\-* #,##0_-;_-* &quot;-&quot;_-;_-@_-"/>
    </dxf>
    <dxf>
      <font>
        <b/>
        <i val="0"/>
        <color auto="1"/>
      </font>
    </dxf>
    <dxf>
      <font>
        <b/>
        <i val="0"/>
        <color rgb="FF8A2529"/>
      </font>
    </dxf>
    <dxf>
      <font>
        <b/>
        <i val="0"/>
        <color rgb="FF8A2529"/>
      </font>
    </dxf>
    <dxf>
      <font>
        <b val="0"/>
        <i val="0"/>
      </font>
    </dxf>
    <dxf>
      <font>
        <b val="0"/>
        <i val="0"/>
      </font>
    </dxf>
    <dxf>
      <numFmt numFmtId="33" formatCode="_-* #,##0_-;\-* #,##0_-;_-* &quot;-&quot;_-;_-@_-"/>
    </dxf>
    <dxf>
      <font>
        <b/>
        <i val="0"/>
        <color auto="1"/>
      </font>
    </dxf>
    <dxf>
      <font>
        <b/>
        <i val="0"/>
      </font>
    </dxf>
    <dxf>
      <font>
        <color rgb="FF8A2529"/>
      </font>
    </dxf>
    <dxf>
      <font>
        <b/>
        <i val="0"/>
        <color rgb="FF8A2529"/>
      </font>
    </dxf>
    <dxf>
      <font>
        <b/>
        <i val="0"/>
        <color rgb="FFCDA8A9"/>
      </font>
    </dxf>
    <dxf>
      <font>
        <b/>
        <i val="0"/>
        <color rgb="FFE87D1E"/>
      </font>
    </dxf>
    <dxf>
      <font>
        <color rgb="FF8A2529"/>
      </font>
    </dxf>
    <dxf>
      <font>
        <b/>
        <i val="0"/>
        <color theme="1"/>
      </font>
    </dxf>
    <dxf>
      <font>
        <b/>
        <i val="0"/>
        <color rgb="FF8A2529"/>
      </font>
    </dxf>
    <dxf>
      <font>
        <b/>
        <i val="0"/>
        <color rgb="FF8A2529"/>
      </font>
    </dxf>
    <dxf>
      <font>
        <b/>
        <i val="0"/>
        <color rgb="FFCDA8A9"/>
      </font>
    </dxf>
    <dxf>
      <font>
        <color rgb="FF8A2529"/>
      </font>
    </dxf>
    <dxf>
      <font>
        <b/>
        <i val="0"/>
        <color rgb="FFE87D1E"/>
      </font>
    </dxf>
    <dxf>
      <font>
        <b/>
        <i val="0"/>
        <color rgb="FFCDA8A9"/>
      </font>
    </dxf>
    <dxf>
      <font>
        <b/>
        <i val="0"/>
        <color rgb="FFE87D1E"/>
      </font>
    </dxf>
    <dxf>
      <font>
        <b/>
        <i val="0"/>
        <color rgb="FFCDA8A9"/>
      </font>
    </dxf>
    <dxf>
      <font>
        <b/>
        <i val="0"/>
        <color rgb="FFE87D1E"/>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8A2529"/>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b/>
        <i val="0"/>
        <color rgb="FFCDA8A9"/>
      </font>
    </dxf>
    <dxf>
      <font>
        <b/>
        <i val="0"/>
        <color rgb="FF8A2529"/>
      </font>
    </dxf>
    <dxf>
      <font>
        <b val="0"/>
        <i val="0"/>
      </font>
    </dxf>
    <dxf>
      <font>
        <b val="0"/>
        <i val="0"/>
      </font>
    </dxf>
    <dxf>
      <numFmt numFmtId="33" formatCode="_-* #,##0_-;\-* #,##0_-;_-* &quot;-&quot;_-;_-@_-"/>
    </dxf>
    <dxf>
      <font>
        <b/>
        <i val="0"/>
        <color auto="1"/>
      </font>
    </dxf>
    <dxf>
      <font>
        <b/>
        <i val="0"/>
        <color rgb="FF8A2529"/>
      </font>
    </dxf>
    <dxf>
      <font>
        <b/>
        <i val="0"/>
        <color rgb="FF8A2529"/>
      </font>
    </dxf>
    <dxf>
      <font>
        <b/>
        <i val="0"/>
        <color rgb="FFE87D1E"/>
      </font>
    </dxf>
    <dxf>
      <font>
        <b/>
        <i val="0"/>
        <color rgb="FFE87D1E"/>
      </font>
    </dxf>
    <dxf>
      <font>
        <b/>
        <i val="0"/>
        <color rgb="FF8A2529"/>
      </font>
    </dxf>
    <dxf>
      <font>
        <color rgb="FF8A2529"/>
      </font>
    </dxf>
    <dxf>
      <font>
        <b/>
        <i val="0"/>
        <color theme="1"/>
      </font>
    </dxf>
    <dxf>
      <font>
        <b/>
        <i val="0"/>
      </font>
    </dxf>
    <dxf>
      <font>
        <b/>
        <i val="0"/>
        <color rgb="FFCDA8A9"/>
      </font>
    </dxf>
    <dxf>
      <font>
        <color rgb="FF8A2529"/>
      </font>
    </dxf>
    <dxf>
      <font>
        <b/>
        <i val="0"/>
        <color rgb="FFCDA8A9"/>
      </font>
    </dxf>
    <dxf>
      <font>
        <b/>
        <i val="0"/>
        <color auto="1"/>
      </font>
    </dxf>
    <dxf>
      <font>
        <b val="0"/>
        <i val="0"/>
      </font>
    </dxf>
    <dxf>
      <font>
        <b val="0"/>
        <i val="0"/>
      </font>
    </dxf>
    <dxf>
      <numFmt numFmtId="33" formatCode="_-* #,##0_-;\-* #,##0_-;_-* &quot;-&quot;_-;_-@_-"/>
    </dxf>
    <dxf>
      <font>
        <b/>
        <i val="0"/>
        <color rgb="FF8A2529"/>
      </font>
    </dxf>
    <dxf>
      <numFmt numFmtId="33" formatCode="_-* #,##0_-;\-* #,##0_-;_-* &quot;-&quot;_-;_-@_-"/>
    </dxf>
    <dxf>
      <font>
        <b/>
        <i val="0"/>
        <color auto="1"/>
      </font>
    </dxf>
    <dxf>
      <font>
        <b/>
        <i val="0"/>
        <color rgb="FF8A2529"/>
      </font>
    </dxf>
    <dxf>
      <font>
        <b val="0"/>
        <i val="0"/>
      </font>
    </dxf>
    <dxf>
      <font>
        <b val="0"/>
        <i val="0"/>
      </font>
    </dxf>
    <dxf>
      <font>
        <b/>
        <i val="0"/>
        <color rgb="FFCDA8A9"/>
      </font>
    </dxf>
    <dxf>
      <font>
        <b/>
        <i val="0"/>
        <color rgb="FFE87D1E"/>
      </font>
    </dxf>
    <dxf>
      <font>
        <color rgb="FF8A2529"/>
      </font>
    </dxf>
    <dxf>
      <font>
        <b/>
        <i val="0"/>
        <color rgb="FF8A2529"/>
      </font>
    </dxf>
    <dxf>
      <font>
        <color rgb="FF8A2529"/>
      </font>
    </dxf>
    <dxf>
      <font>
        <b/>
        <i val="0"/>
        <color theme="1"/>
      </font>
    </dxf>
    <dxf>
      <font>
        <b/>
        <i val="0"/>
      </font>
    </dxf>
    <dxf>
      <font>
        <b/>
        <i val="0"/>
        <color rgb="FFCDA8A9"/>
      </font>
    </dxf>
    <dxf>
      <font>
        <b/>
        <i val="0"/>
        <color rgb="FFE87D1E"/>
      </font>
    </dxf>
    <dxf>
      <font>
        <b/>
        <i val="0"/>
        <color rgb="FF8A2529"/>
      </font>
    </dxf>
    <dxf>
      <font>
        <b/>
        <i val="0"/>
        <color rgb="FF8A2529"/>
      </font>
    </dxf>
    <dxf>
      <font>
        <color rgb="FF8A2529"/>
      </font>
    </dxf>
    <dxf>
      <font>
        <b/>
        <i val="0"/>
        <color theme="1"/>
      </font>
    </dxf>
    <dxf>
      <font>
        <b/>
        <i val="0"/>
      </font>
    </dxf>
    <dxf>
      <font>
        <b/>
        <i val="0"/>
        <color rgb="FF8A2529"/>
      </font>
    </dxf>
    <dxf>
      <font>
        <b/>
        <i val="0"/>
        <color rgb="FFE87D1E"/>
      </font>
    </dxf>
    <dxf>
      <font>
        <color rgb="FF8A2529"/>
      </font>
    </dxf>
    <dxf>
      <font>
        <b/>
        <i val="0"/>
        <color rgb="FFE87D1E"/>
      </font>
    </dxf>
    <dxf>
      <font>
        <b/>
        <i val="0"/>
        <color rgb="FFCDA8A9"/>
      </font>
    </dxf>
    <dxf>
      <font>
        <b/>
        <i val="0"/>
        <color rgb="FFCDA8A9"/>
      </font>
    </dxf>
    <dxf>
      <font>
        <b/>
        <i val="0"/>
        <color rgb="FFCDA8A9"/>
      </font>
    </dxf>
    <dxf>
      <font>
        <b/>
        <i val="0"/>
        <color rgb="FFCDA8A9"/>
      </font>
    </dxf>
    <dxf>
      <font>
        <b/>
        <i val="0"/>
        <color rgb="FFE87D1E"/>
      </font>
    </dxf>
    <dxf>
      <font>
        <color rgb="FF8A2529"/>
      </font>
    </dxf>
    <dxf>
      <font>
        <b/>
        <i val="0"/>
        <color rgb="FF8A2529"/>
      </font>
    </dxf>
    <dxf>
      <font>
        <color rgb="FF8A2529"/>
      </font>
    </dxf>
    <dxf>
      <font>
        <b/>
        <i val="0"/>
      </font>
    </dxf>
    <dxf>
      <font>
        <b/>
        <i val="0"/>
        <color theme="1"/>
      </font>
    </dxf>
    <dxf>
      <font>
        <b/>
        <i val="0"/>
        <color rgb="FF8A2529"/>
      </font>
    </dxf>
    <dxf>
      <font>
        <b/>
        <i val="0"/>
        <color rgb="FFE87D1E"/>
      </font>
    </dxf>
    <dxf>
      <font>
        <b/>
        <i val="0"/>
        <color rgb="FF8A2529"/>
      </font>
    </dxf>
    <dxf>
      <font>
        <b/>
        <i val="0"/>
        <color rgb="FFCDA8A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8A2529"/>
      </font>
    </dxf>
    <dxf>
      <font>
        <b/>
        <i val="0"/>
        <color theme="1"/>
      </font>
    </dxf>
    <dxf>
      <font>
        <b/>
        <i val="0"/>
      </font>
    </dxf>
    <dxf>
      <font>
        <b/>
        <i val="0"/>
        <color rgb="FFCDA8A9"/>
      </font>
    </dxf>
    <dxf>
      <font>
        <b/>
        <i val="0"/>
        <color theme="1"/>
      </font>
    </dxf>
    <dxf>
      <font>
        <b/>
        <i val="0"/>
      </font>
    </dxf>
    <dxf>
      <font>
        <b/>
        <i val="0"/>
        <color rgb="FF8A2529"/>
      </font>
    </dxf>
    <dxf>
      <font>
        <b/>
        <i val="0"/>
        <color rgb="FF8A2529"/>
      </font>
    </dxf>
    <dxf>
      <font>
        <b/>
        <i val="0"/>
        <color rgb="FF8A2529"/>
      </font>
    </dxf>
    <dxf>
      <font>
        <b/>
        <i val="0"/>
        <color rgb="FF8A2529"/>
      </font>
    </dxf>
    <dxf>
      <font>
        <b/>
        <i val="0"/>
      </font>
    </dxf>
    <dxf>
      <font>
        <b/>
        <i val="0"/>
        <color rgb="FFE87D1E"/>
      </font>
    </dxf>
    <dxf>
      <font>
        <b/>
        <i val="0"/>
        <color rgb="FFCDA8A9"/>
      </font>
    </dxf>
    <dxf>
      <font>
        <b/>
        <i val="0"/>
        <color theme="1"/>
      </font>
    </dxf>
    <dxf>
      <font>
        <color rgb="FF8A2529"/>
      </font>
    </dxf>
    <dxf>
      <font>
        <b/>
        <i val="0"/>
        <color rgb="FF8A2529"/>
      </font>
    </dxf>
    <dxf>
      <font>
        <color rgb="FF8A2529"/>
      </font>
    </dxf>
    <dxf>
      <font>
        <b/>
        <i val="0"/>
        <color rgb="FFE87D1E"/>
      </font>
    </dxf>
    <dxf>
      <font>
        <b/>
        <i val="0"/>
        <color rgb="FFCDA8A9"/>
      </font>
    </dxf>
    <dxf>
      <font>
        <b/>
        <i val="0"/>
        <color theme="1"/>
      </font>
    </dxf>
    <dxf>
      <font>
        <b/>
        <i val="0"/>
      </font>
    </dxf>
    <dxf>
      <font>
        <b/>
        <i val="0"/>
        <color rgb="FF8A2529"/>
      </font>
    </dxf>
    <dxf>
      <font>
        <b/>
        <i val="0"/>
      </font>
    </dxf>
    <dxf>
      <font>
        <b/>
        <i val="0"/>
        <color rgb="FFCDA8A9"/>
      </font>
    </dxf>
    <dxf>
      <font>
        <b/>
        <i val="0"/>
        <color theme="1"/>
      </font>
    </dxf>
    <dxf>
      <font>
        <color rgb="FF8A2529"/>
      </font>
    </dxf>
    <dxf>
      <font>
        <b/>
        <i val="0"/>
        <color rgb="FF8A2529"/>
      </font>
    </dxf>
    <dxf>
      <font>
        <b/>
        <i val="0"/>
        <color rgb="FFE87D1E"/>
      </font>
    </dxf>
    <dxf>
      <font>
        <b/>
        <i val="0"/>
        <color theme="1"/>
      </font>
    </dxf>
    <dxf>
      <font>
        <b/>
        <i val="0"/>
      </font>
    </dxf>
    <dxf>
      <font>
        <b/>
        <i val="0"/>
        <color rgb="FFCDA8A9"/>
      </font>
    </dxf>
    <dxf>
      <font>
        <color rgb="FF8A2529"/>
      </font>
    </dxf>
    <dxf>
      <font>
        <b/>
        <i val="0"/>
        <color rgb="FFE87D1E"/>
      </font>
    </dxf>
    <dxf>
      <font>
        <b/>
        <i val="0"/>
        <color rgb="FF8A2529"/>
      </font>
    </dxf>
    <dxf>
      <font>
        <b/>
        <i val="0"/>
        <color rgb="FF8A2529"/>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rgb="FF8A2529"/>
      </font>
    </dxf>
    <dxf>
      <font>
        <b/>
        <i val="0"/>
        <color rgb="FF8A2529"/>
      </font>
    </dxf>
    <dxf>
      <font>
        <b/>
        <i val="0"/>
        <color rgb="FFCDA8A9"/>
      </font>
    </dxf>
    <dxf>
      <font>
        <b/>
        <i val="0"/>
        <color rgb="FFE87D1E"/>
      </font>
    </dxf>
    <dxf>
      <font>
        <b/>
        <i val="0"/>
        <color theme="1"/>
      </font>
    </dxf>
    <dxf>
      <font>
        <b/>
        <i val="0"/>
        <color rgb="FF8A2529"/>
      </font>
    </dxf>
    <dxf>
      <font>
        <b/>
        <i val="0"/>
        <color rgb="FF8A2529"/>
      </font>
    </dxf>
    <dxf>
      <font>
        <color rgb="FF8A2529"/>
      </font>
    </dxf>
    <dxf>
      <font>
        <b/>
        <i val="0"/>
        <color rgb="FFCDA8A9"/>
      </font>
    </dxf>
    <dxf>
      <font>
        <b/>
        <i val="0"/>
        <color rgb="FFE87D1E"/>
      </font>
    </dxf>
    <dxf>
      <font>
        <b/>
        <i val="0"/>
      </font>
    </dxf>
    <dxf>
      <font>
        <color rgb="FF8A2529"/>
      </font>
    </dxf>
    <dxf>
      <font>
        <b/>
        <i val="0"/>
        <color rgb="FFE87D1E"/>
      </font>
    </dxf>
    <dxf>
      <font>
        <color rgb="FF8A2529"/>
      </font>
    </dxf>
    <dxf>
      <font>
        <b/>
        <i val="0"/>
        <color rgb="FFCDA8A9"/>
      </font>
    </dxf>
    <dxf>
      <font>
        <b/>
        <i val="0"/>
        <color rgb="FFCDA8A9"/>
      </font>
    </dxf>
    <dxf>
      <font>
        <b/>
        <i val="0"/>
        <color rgb="FF8A2529"/>
      </font>
    </dxf>
    <dxf>
      <font>
        <b/>
        <i val="0"/>
        <color rgb="FF8A2529"/>
      </font>
    </dxf>
    <dxf>
      <font>
        <b/>
        <i val="0"/>
        <color theme="1"/>
      </font>
    </dxf>
    <dxf>
      <font>
        <color rgb="FF8A2529"/>
      </font>
    </dxf>
    <dxf>
      <font>
        <b/>
        <i val="0"/>
        <color rgb="FFE87D1E"/>
      </font>
    </dxf>
    <dxf>
      <font>
        <b/>
        <i val="0"/>
      </font>
    </dxf>
    <dxf>
      <font>
        <b/>
        <i val="0"/>
        <color rgb="FF8A2529"/>
      </font>
    </dxf>
    <dxf>
      <font>
        <b/>
        <i val="0"/>
        <color rgb="FF8A2529"/>
      </font>
    </dxf>
    <dxf>
      <font>
        <b/>
        <i val="0"/>
        <color rgb="FF8A2529"/>
      </font>
    </dxf>
    <dxf>
      <font>
        <b/>
        <i val="0"/>
        <color rgb="FFCDA8A9"/>
      </font>
    </dxf>
    <dxf>
      <font>
        <b/>
        <i val="0"/>
        <color rgb="FF8A2529"/>
      </font>
    </dxf>
    <dxf>
      <font>
        <color rgb="FF8A2529"/>
      </font>
    </dxf>
    <dxf>
      <font>
        <b/>
        <i val="0"/>
        <color rgb="FFE87D1E"/>
      </font>
    </dxf>
    <dxf>
      <font>
        <b/>
        <i val="0"/>
      </font>
    </dxf>
    <dxf>
      <font>
        <b/>
        <i val="0"/>
        <color theme="1"/>
      </font>
    </dxf>
    <dxf>
      <font>
        <b/>
        <i val="0"/>
        <color rgb="FF8A2529"/>
      </font>
    </dxf>
    <dxf>
      <font>
        <b/>
        <i val="0"/>
        <color rgb="FFCDA8A9"/>
      </font>
    </dxf>
    <dxf>
      <font>
        <color rgb="FF8A2529"/>
      </font>
    </dxf>
    <dxf>
      <font>
        <b/>
        <i val="0"/>
        <color rgb="FFE87D1E"/>
      </font>
    </dxf>
    <dxf>
      <font>
        <b/>
        <i val="0"/>
        <color rgb="FFCDA8A9"/>
      </font>
    </dxf>
    <dxf>
      <font>
        <color rgb="FF8A2529"/>
      </font>
    </dxf>
    <dxf>
      <font>
        <b/>
        <i val="0"/>
        <color rgb="FFE87D1E"/>
      </font>
    </dxf>
    <dxf>
      <font>
        <b/>
        <i val="0"/>
        <color theme="1"/>
      </font>
    </dxf>
    <dxf>
      <font>
        <b/>
        <i val="0"/>
      </font>
    </dxf>
    <dxf>
      <font>
        <b/>
        <i val="0"/>
        <color rgb="FF8A2529"/>
      </font>
    </dxf>
    <dxf>
      <font>
        <color rgb="FF8A2529"/>
      </font>
    </dxf>
    <dxf>
      <font>
        <b/>
        <i val="0"/>
        <color rgb="FFE87D1E"/>
      </font>
    </dxf>
    <dxf>
      <font>
        <b/>
        <i val="0"/>
        <color rgb="FFCDA8A9"/>
      </font>
    </dxf>
    <dxf>
      <font>
        <b/>
        <i val="0"/>
        <color rgb="FF8A2529"/>
      </font>
    </dxf>
    <dxf>
      <font>
        <b/>
        <i val="0"/>
        <color rgb="FF8A2529"/>
      </font>
    </dxf>
    <dxf>
      <font>
        <b/>
        <i val="0"/>
        <color rgb="FF8A2529"/>
      </font>
    </dxf>
    <dxf>
      <font>
        <b/>
        <i val="0"/>
        <color rgb="FFCDA8A9"/>
      </font>
    </dxf>
    <dxf>
      <font>
        <b/>
        <i val="0"/>
        <color rgb="FFE87D1E"/>
      </font>
    </dxf>
    <dxf>
      <font>
        <color rgb="FF8A2529"/>
      </font>
    </dxf>
    <dxf>
      <font>
        <b val="0"/>
        <i val="0"/>
      </font>
    </dxf>
    <dxf>
      <font>
        <b/>
        <i val="0"/>
        <color auto="1"/>
      </font>
    </dxf>
    <dxf>
      <numFmt numFmtId="33" formatCode="_-* #,##0_-;\-* #,##0_-;_-* &quot;-&quot;_-;_-@_-"/>
    </dxf>
    <dxf>
      <font>
        <b val="0"/>
        <i val="0"/>
      </font>
    </dxf>
    <dxf>
      <font>
        <b val="0"/>
        <i val="0"/>
      </font>
    </dxf>
    <dxf>
      <font>
        <b/>
        <i val="0"/>
        <color auto="1"/>
      </font>
    </dxf>
    <dxf>
      <font>
        <b val="0"/>
        <i val="0"/>
      </font>
    </dxf>
    <dxf>
      <numFmt numFmtId="33" formatCode="_-* #,##0_-;\-* #,##0_-;_-* &quot;-&quot;_-;_-@_-"/>
    </dxf>
    <dxf>
      <font>
        <b val="0"/>
        <i val="0"/>
      </font>
    </dxf>
    <dxf>
      <font>
        <b/>
        <i val="0"/>
        <color auto="1"/>
      </font>
    </dxf>
    <dxf>
      <numFmt numFmtId="33" formatCode="_-* #,##0_-;\-* #,##0_-;_-* &quot;-&quot;_-;_-@_-"/>
    </dxf>
    <dxf>
      <font>
        <b val="0"/>
        <i val="0"/>
      </font>
    </dxf>
    <dxf>
      <numFmt numFmtId="33" formatCode="_-* #,##0_-;\-* #,##0_-;_-* &quot;-&quot;_-;_-@_-"/>
    </dxf>
    <dxf>
      <font>
        <b/>
        <i val="0"/>
        <color auto="1"/>
      </font>
    </dxf>
    <dxf>
      <font>
        <b/>
        <i val="0"/>
        <color rgb="FFE87D1E"/>
      </font>
    </dxf>
    <dxf>
      <font>
        <color rgb="FF8A2529"/>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b val="0"/>
        <i val="0"/>
      </font>
    </dxf>
    <dxf>
      <font>
        <b/>
        <i val="0"/>
        <color auto="1"/>
      </font>
    </dxf>
    <dxf>
      <numFmt numFmtId="33" formatCode="_-* #,##0_-;\-* #,##0_-;_-* &quot;-&quot;_-;_-@_-"/>
    </dxf>
    <dxf>
      <font>
        <b/>
        <i val="0"/>
        <color rgb="FF8A2529"/>
      </font>
    </dxf>
    <dxf>
      <font>
        <color rgb="FF8A2529"/>
      </font>
    </dxf>
    <dxf>
      <font>
        <b/>
        <i val="0"/>
        <color rgb="FFE87D1E"/>
      </font>
    </dxf>
    <dxf>
      <font>
        <b/>
        <i val="0"/>
        <color auto="1"/>
      </font>
    </dxf>
    <dxf>
      <numFmt numFmtId="33" formatCode="_-* #,##0_-;\-* #,##0_-;_-* &quot;-&quot;_-;_-@_-"/>
    </dxf>
    <dxf>
      <font>
        <b val="0"/>
        <i val="0"/>
      </font>
    </dxf>
    <dxf>
      <font>
        <b/>
        <i val="0"/>
        <color rgb="FF8A2529"/>
      </font>
    </dxf>
    <dxf>
      <font>
        <color rgb="FF8A2529"/>
      </font>
    </dxf>
    <dxf>
      <font>
        <b/>
        <i val="0"/>
        <color rgb="FFE87D1E"/>
      </font>
    </dxf>
    <dxf>
      <font>
        <b/>
        <i val="0"/>
        <color auto="1"/>
      </font>
    </dxf>
    <dxf>
      <numFmt numFmtId="33" formatCode="_-* #,##0_-;\-* #,##0_-;_-* &quot;-&quot;_-;_-@_-"/>
    </dxf>
    <dxf>
      <font>
        <b val="0"/>
        <i val="0"/>
      </font>
    </dxf>
    <dxf>
      <font>
        <b/>
        <i val="0"/>
        <color rgb="FF8A2529"/>
      </font>
    </dxf>
    <dxf>
      <font>
        <b val="0"/>
        <i val="0"/>
      </font>
    </dxf>
    <dxf>
      <font>
        <b val="0"/>
        <i val="0"/>
      </font>
    </dxf>
    <dxf>
      <font>
        <b val="0"/>
        <i val="0"/>
      </font>
    </dxf>
    <dxf>
      <font>
        <b/>
        <i val="0"/>
        <color auto="1"/>
      </font>
    </dxf>
    <dxf>
      <numFmt numFmtId="33" formatCode="_-* #,##0_-;\-* #,##0_-;_-* &quot;-&quot;_-;_-@_-"/>
    </dxf>
    <dxf>
      <font>
        <b/>
        <i val="0"/>
        <color rgb="FFE87D1E"/>
      </font>
    </dxf>
    <dxf>
      <font>
        <color rgb="FF8A2529"/>
      </font>
    </dxf>
    <dxf>
      <font>
        <b/>
        <i val="0"/>
        <color rgb="FF8A2529"/>
      </font>
    </dxf>
    <dxf>
      <font>
        <b val="0"/>
        <i val="0"/>
      </font>
    </dxf>
    <dxf>
      <numFmt numFmtId="33" formatCode="_-* #,##0_-;\-* #,##0_-;_-* &quot;-&quot;_-;_-@_-"/>
    </dxf>
    <dxf>
      <font>
        <b/>
        <i val="0"/>
        <color auto="1"/>
      </font>
    </dxf>
    <dxf>
      <font>
        <b val="0"/>
        <i val="0"/>
      </font>
    </dxf>
    <dxf>
      <font>
        <b/>
        <i val="0"/>
        <color rgb="FF8A2529"/>
      </font>
    </dxf>
    <dxf>
      <font>
        <b/>
        <i val="0"/>
        <color rgb="FFE87D1E"/>
      </font>
    </dxf>
    <dxf>
      <font>
        <color rgb="FF8A2529"/>
      </font>
    </dxf>
    <dxf>
      <font>
        <b/>
        <i val="0"/>
        <color rgb="FFCDA8A9"/>
      </font>
    </dxf>
    <dxf>
      <font>
        <b val="0"/>
        <i val="0"/>
      </font>
    </dxf>
    <dxf>
      <font>
        <b/>
        <i val="0"/>
        <color rgb="FF8A2529"/>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numFmt numFmtId="33" formatCode="_-* #,##0_-;\-* #,##0_-;_-* &quot;-&quot;_-;_-@_-"/>
    </dxf>
    <dxf>
      <font>
        <b/>
        <i val="0"/>
        <color auto="1"/>
      </font>
    </dxf>
    <dxf>
      <font>
        <b val="0"/>
        <i val="0"/>
      </font>
    </dxf>
    <dxf>
      <font>
        <b val="0"/>
        <i val="0"/>
      </font>
    </dxf>
    <dxf>
      <font>
        <b val="0"/>
        <i val="0"/>
      </font>
    </dxf>
    <dxf>
      <font>
        <b val="0"/>
        <i val="0"/>
      </font>
    </dxf>
    <dxf>
      <numFmt numFmtId="33" formatCode="_-* #,##0_-;\-* #,##0_-;_-* &quot;-&quot;_-;_-@_-"/>
    </dxf>
    <dxf>
      <font>
        <b/>
        <i val="0"/>
        <color auto="1"/>
      </font>
    </dxf>
    <dxf>
      <font>
        <b/>
        <i val="0"/>
        <color rgb="FF8A2529"/>
      </font>
    </dxf>
    <dxf>
      <font>
        <color rgb="FF8A2529"/>
      </font>
    </dxf>
    <dxf>
      <font>
        <b/>
        <i val="0"/>
        <color rgb="FFE87D1E"/>
      </font>
    </dxf>
    <dxf>
      <font>
        <b/>
        <i val="0"/>
        <color rgb="FFCDA8A9"/>
      </font>
    </dxf>
    <dxf>
      <font>
        <b val="0"/>
        <i val="0"/>
      </font>
    </dxf>
    <dxf>
      <font>
        <b val="0"/>
        <i val="0"/>
      </font>
    </dxf>
    <dxf>
      <numFmt numFmtId="33" formatCode="_-* #,##0_-;\-* #,##0_-;_-* &quot;-&quot;_-;_-@_-"/>
    </dxf>
    <dxf>
      <font>
        <b/>
        <i val="0"/>
        <color auto="1"/>
      </font>
    </dxf>
    <dxf>
      <font>
        <b/>
        <i val="0"/>
        <color rgb="FF8A2529"/>
      </font>
    </dxf>
    <dxf>
      <font>
        <b/>
        <i val="0"/>
        <color rgb="FF8A2529"/>
      </font>
    </dxf>
    <dxf>
      <font>
        <color rgb="FF8A2529"/>
      </font>
    </dxf>
    <dxf>
      <font>
        <b/>
        <i val="0"/>
        <color rgb="FFE87D1E"/>
      </font>
    </dxf>
    <dxf>
      <font>
        <b val="0"/>
        <i val="0"/>
      </font>
    </dxf>
    <dxf>
      <numFmt numFmtId="33" formatCode="_-* #,##0_-;\-* #,##0_-;_-* &quot;-&quot;_-;_-@_-"/>
    </dxf>
    <dxf>
      <font>
        <b/>
        <i val="0"/>
        <color rgb="FF8A2529"/>
      </font>
    </dxf>
    <dxf>
      <font>
        <b/>
        <i val="0"/>
        <color auto="1"/>
      </font>
    </dxf>
    <dxf>
      <font>
        <b val="0"/>
        <i val="0"/>
      </font>
    </dxf>
    <dxf>
      <font>
        <b val="0"/>
        <i val="0"/>
      </font>
    </dxf>
    <dxf>
      <numFmt numFmtId="33" formatCode="_-* #,##0_-;\-* #,##0_-;_-* &quot;-&quot;_-;_-@_-"/>
    </dxf>
    <dxf>
      <font>
        <b/>
        <i val="0"/>
        <color auto="1"/>
      </font>
    </dxf>
    <dxf>
      <font>
        <b val="0"/>
        <i val="0"/>
      </font>
    </dxf>
    <dxf>
      <font>
        <b/>
        <i val="0"/>
        <color rgb="FF8A2529"/>
      </font>
    </dxf>
    <dxf>
      <font>
        <b/>
        <i val="0"/>
        <color auto="1"/>
      </font>
    </dxf>
    <dxf>
      <font>
        <b val="0"/>
        <i val="0"/>
      </font>
    </dxf>
    <dxf>
      <font>
        <b val="0"/>
        <i val="0"/>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3" formatCode="_-* #,##0_-;\-* #,##0_-;_-* &quot;-&quot;_-;_-@_-"/>
    </dxf>
    <dxf>
      <font>
        <b val="0"/>
        <i val="0"/>
      </font>
    </dxf>
    <dxf>
      <font>
        <b/>
        <i val="0"/>
        <color auto="1"/>
      </font>
    </dxf>
    <dxf>
      <font>
        <b/>
        <i val="0"/>
        <color rgb="FF8A2529"/>
      </font>
    </dxf>
    <dxf>
      <font>
        <b val="0"/>
        <i val="0"/>
      </font>
    </dxf>
    <dxf>
      <font>
        <b val="0"/>
        <i val="0"/>
      </font>
    </dxf>
    <dxf>
      <font>
        <b val="0"/>
        <i val="0"/>
      </font>
    </dxf>
    <dxf>
      <numFmt numFmtId="33" formatCode="_-* #,##0_-;\-* #,##0_-;_-* &quot;-&quot;_-;_-@_-"/>
    </dxf>
    <dxf>
      <font>
        <b/>
        <i val="0"/>
        <color rgb="FF8A2529"/>
      </font>
    </dxf>
    <dxf>
      <font>
        <b/>
        <i val="0"/>
        <color auto="1"/>
      </font>
    </dxf>
    <dxf>
      <font>
        <b val="0"/>
        <i val="0"/>
      </font>
    </dxf>
    <dxf>
      <font>
        <b/>
        <i val="0"/>
        <color auto="1"/>
      </font>
    </dxf>
    <dxf>
      <numFmt numFmtId="33" formatCode="_-* #,##0_-;\-* #,##0_-;_-* &quot;-&quot;_-;_-@_-"/>
    </dxf>
    <dxf>
      <font>
        <b/>
        <i val="0"/>
        <color rgb="FF8A2529"/>
      </font>
    </dxf>
    <dxf>
      <font>
        <b val="0"/>
        <i val="0"/>
      </font>
    </dxf>
    <dxf>
      <font>
        <b val="0"/>
        <i val="0"/>
      </font>
    </dxf>
    <dxf>
      <font>
        <b val="0"/>
        <i val="0"/>
      </font>
    </dxf>
    <dxf>
      <font>
        <b/>
        <i val="0"/>
        <color auto="1"/>
      </font>
    </dxf>
    <dxf>
      <numFmt numFmtId="33" formatCode="_-* #,##0_-;\-* #,##0_-;_-* &quot;-&quot;_-;_-@_-"/>
    </dxf>
    <dxf>
      <font>
        <b/>
        <i val="0"/>
        <color rgb="FF8A2529"/>
      </font>
    </dxf>
    <dxf>
      <font>
        <color rgb="FF9C0006"/>
      </font>
      <fill>
        <patternFill>
          <bgColor rgb="FFFFC7CE"/>
        </patternFill>
      </fill>
    </dxf>
    <dxf>
      <font>
        <color rgb="FF9C0006"/>
      </font>
      <fill>
        <patternFill>
          <bgColor rgb="FFFFC7CE"/>
        </patternFill>
      </fill>
    </dxf>
    <dxf>
      <font>
        <b/>
        <i val="0"/>
        <color rgb="FF8A2529"/>
      </font>
    </dxf>
    <dxf>
      <font>
        <b/>
        <i val="0"/>
        <color rgb="FFCDA8A9"/>
      </font>
    </dxf>
    <dxf>
      <font>
        <b/>
        <i val="0"/>
        <color rgb="FF8A2529"/>
      </font>
    </dxf>
    <dxf>
      <font>
        <b val="0"/>
        <i val="0"/>
      </font>
    </dxf>
    <dxf>
      <font>
        <b val="0"/>
        <i val="0"/>
      </font>
    </dxf>
    <dxf>
      <font>
        <b/>
        <i val="0"/>
        <color auto="1"/>
      </font>
    </dxf>
    <dxf>
      <numFmt numFmtId="33" formatCode="_-* #,##0_-;\-* #,##0_-;_-* &quot;-&quot;_-;_-@_-"/>
    </dxf>
    <dxf>
      <font>
        <b val="0"/>
        <i val="0"/>
      </font>
    </dxf>
    <dxf>
      <font>
        <b/>
        <i val="0"/>
        <color rgb="FF8A2529"/>
      </font>
    </dxf>
    <dxf>
      <numFmt numFmtId="33" formatCode="_-* #,##0_-;\-* #,##0_-;_-* &quot;-&quot;_-;_-@_-"/>
    </dxf>
    <dxf>
      <font>
        <b/>
        <i val="0"/>
        <color auto="1"/>
      </font>
    </dxf>
    <dxf>
      <font>
        <b val="0"/>
        <i val="0"/>
      </font>
    </dxf>
    <dxf>
      <font>
        <b val="0"/>
        <i val="0"/>
      </font>
    </dxf>
    <dxf>
      <font>
        <b/>
        <i val="0"/>
        <color auto="1"/>
      </font>
    </dxf>
    <dxf>
      <font>
        <b val="0"/>
        <i val="0"/>
      </font>
    </dxf>
    <dxf>
      <font>
        <b/>
        <i val="0"/>
        <color rgb="FF8A2529"/>
      </font>
    </dxf>
    <dxf>
      <numFmt numFmtId="33" formatCode="_-* #,##0_-;\-* #,##0_-;_-* &quot;-&quot;_-;_-@_-"/>
    </dxf>
    <dxf>
      <font>
        <b val="0"/>
        <i val="0"/>
      </font>
    </dxf>
    <dxf>
      <font>
        <b/>
        <i val="0"/>
        <color auto="1"/>
      </font>
    </dxf>
    <dxf>
      <font>
        <b val="0"/>
        <i val="0"/>
      </font>
    </dxf>
    <dxf>
      <font>
        <b/>
        <i val="0"/>
        <color rgb="FF8A2529"/>
      </font>
    </dxf>
    <dxf>
      <numFmt numFmtId="33" formatCode="_-* #,##0_-;\-* #,##0_-;_-* &quot;-&quot;_-;_-@_-"/>
    </dxf>
    <dxf>
      <font>
        <b/>
        <i val="0"/>
        <color auto="1"/>
      </font>
    </dxf>
    <dxf>
      <numFmt numFmtId="33" formatCode="_-* #,##0_-;\-* #,##0_-;_-* &quot;-&quot;_-;_-@_-"/>
    </dxf>
    <dxf>
      <font>
        <b/>
        <i val="0"/>
        <color rgb="FF8A2529"/>
      </font>
    </dxf>
    <dxf>
      <font>
        <b val="0"/>
        <i val="0"/>
      </font>
    </dxf>
    <dxf>
      <font>
        <b val="0"/>
        <i val="0"/>
      </font>
    </dxf>
    <dxf>
      <font>
        <b/>
        <i val="0"/>
        <color rgb="FF8A2529"/>
      </font>
    </dxf>
    <dxf>
      <font>
        <b val="0"/>
        <i val="0"/>
      </font>
    </dxf>
    <dxf>
      <numFmt numFmtId="33" formatCode="_-* #,##0_-;\-* #,##0_-;_-* &quot;-&quot;_-;_-@_-"/>
    </dxf>
    <dxf>
      <font>
        <b/>
        <i val="0"/>
        <color auto="1"/>
      </font>
    </dxf>
    <dxf>
      <font>
        <b/>
        <i val="0"/>
        <color rgb="FF8A2529"/>
      </font>
    </dxf>
    <dxf>
      <numFmt numFmtId="33" formatCode="_-* #,##0_-;\-* #,##0_-;_-* &quot;-&quot;_-;_-@_-"/>
    </dxf>
    <dxf>
      <font>
        <b/>
        <i val="0"/>
        <color auto="1"/>
      </font>
    </dxf>
    <dxf>
      <font>
        <b val="0"/>
        <i val="0"/>
      </font>
    </dxf>
    <dxf>
      <font>
        <b/>
        <i val="0"/>
        <color rgb="FF8A2529"/>
      </font>
    </dxf>
    <dxf>
      <font>
        <b val="0"/>
        <i val="0"/>
      </font>
    </dxf>
    <dxf>
      <numFmt numFmtId="33" formatCode="_-* #,##0_-;\-* #,##0_-;_-* &quot;-&quot;_-;_-@_-"/>
    </dxf>
    <dxf>
      <font>
        <b/>
        <i val="0"/>
        <color auto="1"/>
      </font>
    </dxf>
    <dxf>
      <numFmt numFmtId="33" formatCode="_-* #,##0_-;\-* #,##0_-;_-* &quot;-&quot;_-;_-@_-"/>
    </dxf>
    <dxf>
      <font>
        <b val="0"/>
        <i val="0"/>
      </font>
    </dxf>
    <dxf>
      <font>
        <b/>
        <i val="0"/>
        <color rgb="FF8A2529"/>
      </font>
    </dxf>
    <dxf>
      <font>
        <b/>
        <i val="0"/>
        <color auto="1"/>
      </font>
    </dxf>
    <dxf>
      <font>
        <color rgb="FF8A2529"/>
      </font>
    </dxf>
    <dxf>
      <font>
        <b/>
        <i val="0"/>
        <color rgb="FFE87D1E"/>
      </font>
    </dxf>
    <dxf>
      <font>
        <b/>
        <i val="0"/>
        <color rgb="FFCDA8A9"/>
      </font>
    </dxf>
    <dxf>
      <font>
        <b/>
        <i val="0"/>
        <color rgb="FF8A2529"/>
      </font>
    </dxf>
    <dxf>
      <numFmt numFmtId="33" formatCode="_-* #,##0_-;\-* #,##0_-;_-* &quot;-&quot;_-;_-@_-"/>
    </dxf>
    <dxf>
      <font>
        <b/>
        <i val="0"/>
        <color auto="1"/>
      </font>
    </dxf>
    <dxf>
      <font>
        <b/>
        <i val="0"/>
        <color rgb="FF8A2529"/>
      </font>
    </dxf>
    <dxf>
      <font>
        <b val="0"/>
        <i val="0"/>
      </font>
    </dxf>
    <dxf>
      <font>
        <color rgb="FF8A2529"/>
      </font>
    </dxf>
    <dxf>
      <font>
        <b/>
        <i val="0"/>
        <color rgb="FFE87D1E"/>
      </font>
    </dxf>
    <dxf>
      <font>
        <b/>
        <i val="0"/>
        <color rgb="FF8A2529"/>
      </font>
    </dxf>
    <dxf>
      <font>
        <b/>
        <i val="0"/>
        <color rgb="FFCDA8A9"/>
      </font>
    </dxf>
    <dxf>
      <numFmt numFmtId="33" formatCode="_-* #,##0_-;\-* #,##0_-;_-* &quot;-&quot;_-;_-@_-"/>
    </dxf>
    <dxf>
      <font>
        <b val="0"/>
        <i val="0"/>
      </font>
    </dxf>
    <dxf>
      <font>
        <b/>
        <i val="0"/>
        <color rgb="FF8A2529"/>
      </font>
    </dxf>
    <dxf>
      <font>
        <b/>
        <i val="0"/>
        <color auto="1"/>
      </font>
    </dxf>
    <dxf>
      <font>
        <b/>
        <i val="0"/>
        <color auto="1"/>
      </font>
    </dxf>
    <dxf>
      <numFmt numFmtId="33" formatCode="_-* #,##0_-;\-* #,##0_-;_-* &quot;-&quot;_-;_-@_-"/>
    </dxf>
    <dxf>
      <font>
        <b/>
        <i val="0"/>
        <color rgb="FF8A2529"/>
      </font>
    </dxf>
    <dxf>
      <font>
        <b val="0"/>
        <i val="0"/>
      </font>
    </dxf>
    <dxf>
      <font>
        <b/>
        <i val="0"/>
        <color auto="1"/>
      </font>
    </dxf>
    <dxf>
      <font>
        <b val="0"/>
        <i val="0"/>
      </font>
    </dxf>
    <dxf>
      <font>
        <b/>
        <i val="0"/>
        <color rgb="FF8A2529"/>
      </font>
    </dxf>
    <dxf>
      <numFmt numFmtId="33" formatCode="_-* #,##0_-;\-* #,##0_-;_-* &quot;-&quot;_-;_-@_-"/>
    </dxf>
    <dxf>
      <font>
        <b val="0"/>
        <i val="0"/>
      </font>
    </dxf>
    <dxf>
      <font>
        <b val="0"/>
        <i val="0"/>
      </font>
    </dxf>
    <dxf>
      <numFmt numFmtId="33" formatCode="_-* #,##0_-;\-* #,##0_-;_-* &quot;-&quot;_-;_-@_-"/>
    </dxf>
    <dxf>
      <font>
        <b val="0"/>
        <i val="0"/>
      </font>
    </dxf>
    <dxf>
      <font>
        <b/>
        <i val="0"/>
        <color auto="1"/>
      </font>
    </dxf>
    <dxf>
      <font>
        <b/>
        <i val="0"/>
        <color rgb="FF8A2529"/>
      </font>
    </dxf>
    <dxf>
      <font>
        <color rgb="FF9C0006"/>
      </font>
      <fill>
        <patternFill>
          <bgColor rgb="FFFFC7CE"/>
        </patternFill>
      </fill>
    </dxf>
    <dxf>
      <font>
        <color rgb="FF9C0006"/>
      </font>
      <fill>
        <patternFill>
          <bgColor rgb="FFFFC7CE"/>
        </patternFill>
      </fill>
    </dxf>
    <dxf>
      <font>
        <b val="0"/>
        <i val="0"/>
      </font>
    </dxf>
    <dxf>
      <font>
        <b val="0"/>
        <i val="0"/>
      </font>
    </dxf>
    <dxf>
      <font>
        <b/>
        <i val="0"/>
        <color auto="1"/>
      </font>
    </dxf>
    <dxf>
      <numFmt numFmtId="33" formatCode="_-* #,##0_-;\-* #,##0_-;_-* &quot;-&quot;_-;_-@_-"/>
    </dxf>
    <dxf>
      <font>
        <b/>
        <i val="0"/>
        <color rgb="FF8A2529"/>
      </font>
    </dxf>
    <dxf>
      <font>
        <b/>
        <i val="0"/>
        <color auto="1"/>
      </font>
    </dxf>
    <dxf>
      <numFmt numFmtId="33" formatCode="_-* #,##0_-;\-* #,##0_-;_-* &quot;-&quot;_-;_-@_-"/>
    </dxf>
    <dxf>
      <font>
        <b val="0"/>
        <i val="0"/>
      </font>
    </dxf>
    <dxf>
      <font>
        <b val="0"/>
        <i val="0"/>
      </font>
    </dxf>
    <dxf>
      <font>
        <b/>
        <i val="0"/>
        <color rgb="FF8A2529"/>
      </font>
    </dxf>
    <dxf>
      <font>
        <color rgb="FF8A2529"/>
      </font>
    </dxf>
    <dxf>
      <font>
        <b/>
        <i val="0"/>
        <color rgb="FFCDA8A9"/>
      </font>
    </dxf>
    <dxf>
      <font>
        <b/>
        <i val="0"/>
        <color rgb="FFE87D1E"/>
      </font>
    </dxf>
    <dxf>
      <font>
        <b/>
        <i val="0"/>
        <color rgb="FF8A2529"/>
      </font>
    </dxf>
    <dxf>
      <numFmt numFmtId="33" formatCode="_-* #,##0_-;\-* #,##0_-;_-* &quot;-&quot;_-;_-@_-"/>
    </dxf>
    <dxf>
      <font>
        <b/>
        <i val="0"/>
        <color auto="1"/>
      </font>
    </dxf>
    <dxf>
      <font>
        <b val="0"/>
        <i val="0"/>
      </font>
    </dxf>
    <dxf>
      <font>
        <b val="0"/>
        <i val="0"/>
      </font>
    </dxf>
    <dxf>
      <font>
        <b/>
        <i val="0"/>
        <color rgb="FF8A2529"/>
      </font>
    </dxf>
    <dxf>
      <font>
        <b/>
        <i val="0"/>
        <color theme="1"/>
      </font>
    </dxf>
    <dxf>
      <font>
        <color rgb="FF8A2529"/>
      </font>
    </dxf>
    <dxf>
      <font>
        <b/>
        <i val="0"/>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b/>
        <i val="0"/>
        <color rgb="FFE87D1E"/>
      </font>
    </dxf>
    <dxf>
      <font>
        <b/>
        <i val="0"/>
        <color rgb="FFCDA8A9"/>
      </font>
    </dxf>
    <dxf>
      <font>
        <b/>
        <i val="0"/>
        <color rgb="FFE87D1E"/>
      </font>
    </dxf>
    <dxf>
      <font>
        <color rgb="FF8A2529"/>
      </font>
    </dxf>
    <dxf>
      <font>
        <b/>
        <i val="0"/>
        <color rgb="FFCDA8A9"/>
      </font>
    </dxf>
    <dxf>
      <font>
        <color rgb="FF8A2529"/>
      </font>
    </dxf>
    <dxf>
      <font>
        <b/>
        <i val="0"/>
        <color rgb="FF8A2529"/>
      </font>
    </dxf>
    <dxf>
      <font>
        <b/>
        <i val="0"/>
        <color rgb="FFCDA8A9"/>
      </font>
    </dxf>
    <dxf>
      <font>
        <b/>
        <i val="0"/>
      </font>
    </dxf>
    <dxf>
      <font>
        <b/>
        <i val="0"/>
        <color rgb="FF8A2529"/>
      </font>
    </dxf>
    <dxf>
      <font>
        <b/>
        <i val="0"/>
        <color theme="1"/>
      </font>
    </dxf>
    <dxf>
      <font>
        <b/>
        <i val="0"/>
        <color rgb="FFCDA8A9"/>
      </font>
    </dxf>
    <dxf>
      <font>
        <b/>
        <i val="0"/>
        <color rgb="FF8A2529"/>
      </font>
    </dxf>
    <dxf>
      <font>
        <color rgb="FF8A2529"/>
      </font>
    </dxf>
    <dxf>
      <font>
        <b/>
        <i val="0"/>
        <color rgb="FFE87D1E"/>
      </font>
    </dxf>
    <dxf>
      <font>
        <color rgb="FF8A2529"/>
      </font>
    </dxf>
    <dxf>
      <font>
        <b/>
        <i val="0"/>
        <color rgb="FFCDA8A9"/>
      </font>
    </dxf>
    <dxf>
      <font>
        <b/>
        <i val="0"/>
        <color rgb="FFE87D1E"/>
      </font>
    </dxf>
    <dxf>
      <font>
        <b/>
        <i val="0"/>
        <color rgb="FF8A2529"/>
      </font>
    </dxf>
    <dxf>
      <font>
        <color rgb="FF8A2529"/>
      </font>
    </dxf>
    <dxf>
      <font>
        <b/>
        <i val="0"/>
        <color rgb="FFE87D1E"/>
      </font>
    </dxf>
    <dxf>
      <numFmt numFmtId="33" formatCode="_-* #,##0_-;\-* #,##0_-;_-* &quot;-&quot;_-;_-@_-"/>
    </dxf>
    <dxf>
      <font>
        <b val="0"/>
        <i val="0"/>
      </font>
    </dxf>
    <dxf>
      <font>
        <b val="0"/>
        <i val="0"/>
      </font>
    </dxf>
    <dxf>
      <font>
        <b/>
        <i val="0"/>
        <color auto="1"/>
      </font>
    </dxf>
    <dxf>
      <font>
        <b/>
        <i val="0"/>
        <color rgb="FF8A2529"/>
      </font>
    </dxf>
    <dxf>
      <font>
        <color rgb="FF8A2529"/>
      </font>
    </dxf>
    <dxf>
      <font>
        <b/>
        <i val="0"/>
        <color rgb="FF8A2529"/>
      </font>
    </dxf>
    <dxf>
      <font>
        <b/>
        <i val="0"/>
        <color rgb="FFCDA8A9"/>
      </font>
    </dxf>
    <dxf>
      <font>
        <b/>
        <i val="0"/>
        <color rgb="FFE87D1E"/>
      </font>
    </dxf>
    <dxf>
      <font>
        <color rgb="FF8A2529"/>
      </font>
    </dxf>
    <dxf>
      <font>
        <b/>
        <i val="0"/>
        <color rgb="FF8A2529"/>
      </font>
    </dxf>
    <dxf>
      <font>
        <color rgb="FF8A2529"/>
      </font>
    </dxf>
    <dxf>
      <font>
        <b/>
        <i val="0"/>
        <color theme="1"/>
      </font>
    </dxf>
    <dxf>
      <font>
        <b/>
        <i val="0"/>
        <color rgb="FF8A2529"/>
      </font>
    </dxf>
    <dxf>
      <font>
        <b/>
        <i val="0"/>
        <color rgb="FFE87D1E"/>
      </font>
    </dxf>
    <dxf>
      <font>
        <b/>
        <i val="0"/>
        <color rgb="FFCDA8A9"/>
      </font>
    </dxf>
    <dxf>
      <font>
        <b/>
        <i val="0"/>
      </font>
    </dxf>
    <dxf>
      <font>
        <b/>
        <i val="0"/>
        <color rgb="FFCDA8A9"/>
      </font>
    </dxf>
    <dxf>
      <font>
        <b/>
        <i val="0"/>
        <color rgb="FFE87D1E"/>
      </font>
    </dxf>
    <dxf>
      <font>
        <b val="0"/>
        <i val="0"/>
      </font>
    </dxf>
    <dxf>
      <font>
        <b val="0"/>
        <i val="0"/>
      </font>
    </dxf>
    <dxf>
      <numFmt numFmtId="33" formatCode="_-* #,##0_-;\-* #,##0_-;_-* &quot;-&quot;_-;_-@_-"/>
    </dxf>
    <dxf>
      <font>
        <b/>
        <i val="0"/>
        <color auto="1"/>
      </font>
    </dxf>
    <dxf>
      <font>
        <b/>
        <i val="0"/>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color rgb="FF8A2529"/>
      </font>
    </dxf>
    <dxf>
      <font>
        <b/>
        <i val="0"/>
        <color rgb="FFE87D1E"/>
      </font>
    </dxf>
    <dxf>
      <font>
        <b/>
        <i val="0"/>
        <color rgb="FFCDA8A9"/>
      </font>
    </dxf>
    <dxf>
      <font>
        <b/>
        <i val="0"/>
        <color theme="1"/>
      </font>
    </dxf>
    <dxf>
      <font>
        <b/>
        <i val="0"/>
        <color rgb="FFCDA8A9"/>
      </font>
    </dxf>
    <dxf>
      <font>
        <b/>
        <i val="0"/>
        <color rgb="FFE87D1E"/>
      </font>
    </dxf>
    <dxf>
      <font>
        <color rgb="FF8A2529"/>
      </font>
    </dxf>
    <dxf>
      <font>
        <b/>
        <i val="0"/>
        <color theme="1"/>
      </font>
    </dxf>
    <dxf>
      <font>
        <b/>
        <i val="0"/>
      </font>
    </dxf>
    <dxf>
      <font>
        <b/>
        <i val="0"/>
        <color rgb="FFE87D1E"/>
      </font>
    </dxf>
    <dxf>
      <font>
        <b/>
        <i val="0"/>
        <color theme="1"/>
      </font>
    </dxf>
    <dxf>
      <font>
        <b/>
        <i val="0"/>
      </font>
    </dxf>
    <dxf>
      <font>
        <color rgb="FF8A2529"/>
      </font>
    </dxf>
    <dxf>
      <font>
        <b/>
        <i val="0"/>
        <color rgb="FFCDA8A9"/>
      </font>
    </dxf>
    <dxf>
      <font>
        <b/>
        <i val="0"/>
        <color rgb="FFE87D1E"/>
      </font>
    </dxf>
    <dxf>
      <font>
        <color rgb="FF8A2529"/>
      </font>
    </dxf>
    <dxf>
      <font>
        <b/>
        <i val="0"/>
        <color rgb="FFCDA8A9"/>
      </font>
    </dxf>
    <dxf>
      <font>
        <b/>
        <i val="0"/>
        <color rgb="FF8A2529"/>
      </font>
    </dxf>
    <dxf>
      <font>
        <color rgb="FF8A2529"/>
      </font>
    </dxf>
    <dxf>
      <font>
        <b/>
        <i val="0"/>
        <color rgb="FFE87D1E"/>
      </font>
    </dxf>
    <dxf>
      <font>
        <b/>
        <i val="0"/>
        <color theme="1"/>
      </font>
    </dxf>
    <dxf>
      <font>
        <b/>
        <i val="0"/>
        <color rgb="FFCDA8A9"/>
      </font>
    </dxf>
    <dxf>
      <font>
        <b/>
        <i val="0"/>
      </font>
    </dxf>
    <dxf>
      <font>
        <b/>
        <i val="0"/>
        <color rgb="FFCDA8A9"/>
      </font>
    </dxf>
    <dxf>
      <font>
        <b/>
        <i val="0"/>
      </font>
    </dxf>
    <dxf>
      <font>
        <b/>
        <i val="0"/>
        <color theme="1"/>
      </font>
    </dxf>
    <dxf>
      <font>
        <color rgb="FF8A2529"/>
      </font>
    </dxf>
    <dxf>
      <font>
        <b/>
        <i val="0"/>
        <color rgb="FFE87D1E"/>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font>
    </dxf>
    <dxf>
      <font>
        <b/>
        <i val="0"/>
        <color rgb="FFCDA8A9"/>
      </font>
    </dxf>
    <dxf>
      <font>
        <b/>
        <i val="0"/>
        <color rgb="FFE87D1E"/>
      </font>
    </dxf>
    <dxf>
      <font>
        <color rgb="FF8A2529"/>
      </font>
    </dxf>
    <dxf>
      <font>
        <b/>
        <i val="0"/>
        <color theme="1"/>
      </font>
    </dxf>
    <dxf>
      <font>
        <b/>
        <i val="0"/>
        <color theme="1"/>
      </font>
    </dxf>
    <dxf>
      <font>
        <b/>
        <i val="0"/>
      </font>
    </dxf>
    <dxf>
      <font>
        <b/>
        <i val="0"/>
        <color rgb="FFCDA8A9"/>
      </font>
    </dxf>
    <dxf>
      <font>
        <b/>
        <i val="0"/>
        <color rgb="FFE87D1E"/>
      </font>
    </dxf>
    <dxf>
      <font>
        <color rgb="FF8A2529"/>
      </font>
    </dxf>
    <dxf>
      <font>
        <b/>
        <i val="0"/>
        <color rgb="FFCDA8A9"/>
      </font>
    </dxf>
    <dxf>
      <font>
        <b/>
        <i val="0"/>
        <color rgb="FFE87D1E"/>
      </font>
    </dxf>
    <dxf>
      <font>
        <color rgb="FF8A2529"/>
      </font>
    </dxf>
    <dxf>
      <font>
        <b/>
        <i val="0"/>
      </font>
    </dxf>
    <dxf>
      <font>
        <b/>
        <i val="0"/>
        <color theme="1"/>
      </font>
    </dxf>
    <dxf>
      <font>
        <b/>
        <i val="0"/>
        <color rgb="FFCDA8A9"/>
      </font>
    </dxf>
    <dxf>
      <font>
        <b/>
        <i val="0"/>
        <color rgb="FFE87D1E"/>
      </font>
    </dxf>
    <dxf>
      <font>
        <color rgb="FF8A2529"/>
      </font>
    </dxf>
    <dxf>
      <font>
        <color rgb="FF8A2529"/>
      </font>
    </dxf>
    <dxf>
      <font>
        <b/>
        <i val="0"/>
        <color rgb="FFCDA8A9"/>
      </font>
    </dxf>
    <dxf>
      <font>
        <b/>
        <i val="0"/>
      </font>
    </dxf>
    <dxf>
      <font>
        <b/>
        <i val="0"/>
        <color theme="1"/>
      </font>
    </dxf>
    <dxf>
      <font>
        <b/>
        <i val="0"/>
        <color rgb="FFE87D1E"/>
      </font>
    </dxf>
    <dxf>
      <font>
        <color rgb="FF8A2529"/>
      </font>
    </dxf>
    <dxf>
      <font>
        <b/>
        <i val="0"/>
      </font>
    </dxf>
    <dxf>
      <font>
        <b/>
        <i val="0"/>
        <color rgb="FFE87D1E"/>
      </font>
    </dxf>
    <dxf>
      <font>
        <b/>
        <i val="0"/>
        <color theme="1"/>
      </font>
    </dxf>
    <dxf>
      <font>
        <b/>
        <i val="0"/>
        <color rgb="FFCDA8A9"/>
      </font>
    </dxf>
    <dxf>
      <font>
        <color rgb="FF8A2529"/>
      </font>
    </dxf>
    <dxf>
      <font>
        <b/>
        <i val="0"/>
        <color rgb="FFE87D1E"/>
      </font>
    </dxf>
    <dxf>
      <font>
        <b/>
        <i val="0"/>
        <color rgb="FFCDA8A9"/>
      </font>
    </dxf>
    <dxf>
      <font>
        <b/>
        <i val="0"/>
        <color theme="1"/>
      </font>
    </dxf>
    <dxf>
      <font>
        <b/>
        <i val="0"/>
      </font>
    </dxf>
    <dxf>
      <font>
        <b/>
        <i val="0"/>
        <color rgb="FFCDA8A9"/>
      </font>
    </dxf>
    <dxf>
      <font>
        <b/>
        <i val="0"/>
      </font>
    </dxf>
    <dxf>
      <font>
        <b/>
        <i val="0"/>
        <color theme="1"/>
      </font>
    </dxf>
    <dxf>
      <font>
        <color rgb="FF8A2529"/>
      </font>
    </dxf>
    <dxf>
      <font>
        <b/>
        <i val="0"/>
        <color rgb="FFE87D1E"/>
      </font>
    </dxf>
    <dxf>
      <font>
        <b/>
        <i val="0"/>
        <color theme="1"/>
      </font>
    </dxf>
    <dxf>
      <font>
        <b/>
        <i val="0"/>
        <color rgb="FFE87D1E"/>
      </font>
    </dxf>
    <dxf>
      <font>
        <color rgb="FF8A2529"/>
      </font>
    </dxf>
    <dxf>
      <font>
        <b/>
        <i val="0"/>
      </font>
    </dxf>
    <dxf>
      <font>
        <b/>
        <i val="0"/>
        <color rgb="FFCDA8A9"/>
      </font>
    </dxf>
    <dxf>
      <font>
        <b/>
        <i val="0"/>
      </font>
    </dxf>
    <dxf>
      <font>
        <color rgb="FF8A2529"/>
      </font>
    </dxf>
    <dxf>
      <font>
        <b/>
        <i val="0"/>
        <color theme="1"/>
      </font>
    </dxf>
    <dxf>
      <font>
        <b/>
        <i val="0"/>
        <color rgb="FFCDA8A9"/>
      </font>
    </dxf>
    <dxf>
      <font>
        <b/>
        <i val="0"/>
        <color rgb="FFE87D1E"/>
      </font>
    </dxf>
    <dxf>
      <font>
        <b/>
        <i val="0"/>
      </font>
    </dxf>
    <dxf>
      <font>
        <b/>
        <i val="0"/>
        <color rgb="FFCDA8A9"/>
      </font>
    </dxf>
    <dxf>
      <font>
        <b/>
        <i val="0"/>
        <color rgb="FFE87D1E"/>
      </font>
    </dxf>
    <dxf>
      <font>
        <b/>
        <i val="0"/>
        <color theme="1"/>
      </font>
    </dxf>
    <dxf>
      <font>
        <color rgb="FF8A2529"/>
      </font>
    </dxf>
    <dxf>
      <font>
        <color rgb="FF8A2529"/>
      </font>
    </dxf>
    <dxf>
      <font>
        <b/>
        <i val="0"/>
        <color rgb="FFE87D1E"/>
      </font>
    </dxf>
    <dxf>
      <font>
        <b/>
        <i val="0"/>
        <color theme="1"/>
      </font>
    </dxf>
    <dxf>
      <font>
        <b/>
        <i val="0"/>
      </font>
    </dxf>
    <dxf>
      <font>
        <b/>
        <i val="0"/>
        <color rgb="FFCDA8A9"/>
      </font>
    </dxf>
    <dxf>
      <font>
        <b/>
        <i val="0"/>
        <color theme="1"/>
      </font>
    </dxf>
    <dxf>
      <font>
        <b/>
        <i val="0"/>
        <color rgb="FFE87D1E"/>
      </font>
    </dxf>
    <dxf>
      <font>
        <color rgb="FF8A2529"/>
      </font>
    </dxf>
    <dxf>
      <font>
        <b/>
        <i val="0"/>
        <color rgb="FFCDA8A9"/>
      </font>
    </dxf>
    <dxf>
      <font>
        <b/>
        <i val="0"/>
      </font>
    </dxf>
    <dxf>
      <font>
        <b/>
        <i val="0"/>
        <color rgb="FFE87D1E"/>
      </font>
    </dxf>
    <dxf>
      <font>
        <color rgb="FF8A2529"/>
      </font>
    </dxf>
    <dxf>
      <font>
        <b/>
        <i val="0"/>
        <color rgb="FFCDA8A9"/>
      </font>
    </dxf>
    <dxf>
      <font>
        <b/>
        <i val="0"/>
        <color theme="1"/>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E87D1E"/>
      </font>
    </dxf>
    <dxf>
      <font>
        <b/>
        <i val="0"/>
      </font>
    </dxf>
    <dxf>
      <font>
        <b/>
        <i val="0"/>
        <color theme="1"/>
      </font>
    </dxf>
    <dxf>
      <font>
        <b/>
        <i val="0"/>
        <color rgb="FFCDA8A9"/>
      </font>
    </dxf>
    <dxf>
      <font>
        <color rgb="FF8A2529"/>
      </font>
    </dxf>
    <dxf>
      <font>
        <color rgb="FF8A2529"/>
      </font>
    </dxf>
    <dxf>
      <font>
        <b/>
        <i val="0"/>
        <color theme="1"/>
      </font>
    </dxf>
    <dxf>
      <font>
        <b/>
        <i val="0"/>
        <color rgb="FF8A2529"/>
      </font>
    </dxf>
    <dxf>
      <font>
        <color rgb="FF8A2529"/>
      </font>
    </dxf>
    <dxf>
      <font>
        <b/>
        <i val="0"/>
        <color rgb="FFE87D1E"/>
      </font>
    </dxf>
    <dxf>
      <font>
        <b/>
        <i val="0"/>
        <color rgb="FFCDA8A9"/>
      </font>
    </dxf>
    <dxf>
      <font>
        <b/>
        <i val="0"/>
        <color rgb="FF8A2529"/>
      </font>
    </dxf>
    <dxf>
      <font>
        <b/>
        <i val="0"/>
        <color rgb="FFE87D1E"/>
      </font>
    </dxf>
    <dxf>
      <font>
        <b/>
        <i val="0"/>
        <color rgb="FFCDA8A9"/>
      </font>
    </dxf>
    <dxf>
      <font>
        <b/>
        <i val="0"/>
        <color rgb="FF8A2529"/>
      </font>
    </dxf>
    <dxf>
      <font>
        <b/>
        <i val="0"/>
        <color rgb="FFE87D1E"/>
      </font>
    </dxf>
    <dxf>
      <font>
        <color rgb="FF8A2529"/>
      </font>
    </dxf>
    <dxf>
      <font>
        <b/>
        <i val="0"/>
        <color rgb="FFCDA8A9"/>
      </font>
    </dxf>
    <dxf>
      <font>
        <b/>
        <i val="0"/>
      </font>
    </dxf>
    <dxf>
      <font>
        <b/>
        <i val="0"/>
        <color rgb="FF8A2529"/>
      </font>
    </dxf>
    <dxf>
      <font>
        <b/>
        <i val="0"/>
        <color auto="1"/>
      </font>
    </dxf>
    <dxf>
      <numFmt numFmtId="33" formatCode="_-* #,##0_-;\-* #,##0_-;_-* &quot;-&quot;_-;_-@_-"/>
    </dxf>
    <dxf>
      <font>
        <b val="0"/>
        <i val="0"/>
      </font>
    </dxf>
    <dxf>
      <font>
        <b val="0"/>
        <i val="0"/>
      </font>
    </dxf>
    <dxf>
      <font>
        <b/>
        <i val="0"/>
        <color theme="1"/>
      </font>
    </dxf>
    <dxf>
      <font>
        <b/>
        <i val="0"/>
        <color rgb="FFE87D1E"/>
      </font>
    </dxf>
    <dxf>
      <font>
        <b/>
        <i val="0"/>
        <color rgb="FFCDA8A9"/>
      </font>
    </dxf>
    <dxf>
      <font>
        <b/>
        <i val="0"/>
      </font>
    </dxf>
    <dxf>
      <font>
        <color rgb="FF8A2529"/>
      </font>
    </dxf>
    <dxf>
      <font>
        <b/>
        <i val="0"/>
        <color rgb="FF8A2529"/>
      </font>
    </dxf>
    <dxf>
      <font>
        <color rgb="FF8A2529"/>
      </font>
    </dxf>
    <dxf>
      <font>
        <b/>
        <i val="0"/>
        <color rgb="FFE87D1E"/>
      </font>
    </dxf>
    <dxf>
      <font>
        <b/>
        <i val="0"/>
        <color rgb="FFCDA8A9"/>
      </font>
    </dxf>
    <dxf>
      <font>
        <b/>
        <i val="0"/>
        <color rgb="FF8A2529"/>
      </font>
    </dxf>
    <dxf>
      <font>
        <b/>
        <i val="0"/>
        <color rgb="FFCDA8A9"/>
      </font>
    </dxf>
    <dxf>
      <font>
        <b/>
        <i val="0"/>
        <color rgb="FFE87D1E"/>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8A2529"/>
      </font>
    </dxf>
    <dxf>
      <font>
        <b/>
        <i val="0"/>
        <color rgb="FF8A2529"/>
      </font>
    </dxf>
    <dxf>
      <font>
        <b/>
        <i val="0"/>
        <color rgb="FFCDA8A9"/>
      </font>
    </dxf>
    <dxf>
      <font>
        <b/>
        <i val="0"/>
        <color rgb="FFE87D1E"/>
      </font>
    </dxf>
    <dxf>
      <font>
        <color rgb="FF8A2529"/>
      </font>
    </dxf>
    <dxf>
      <font>
        <b/>
        <i val="0"/>
        <color rgb="FFCDA8A9"/>
      </font>
    </dxf>
    <dxf>
      <font>
        <b/>
        <i val="0"/>
      </font>
    </dxf>
    <dxf>
      <font>
        <b/>
        <i val="0"/>
        <color theme="1"/>
      </font>
    </dxf>
    <dxf>
      <font>
        <color rgb="FF8A2529"/>
      </font>
    </dxf>
    <dxf>
      <font>
        <b/>
        <i val="0"/>
        <color rgb="FF8A2529"/>
      </font>
    </dxf>
    <dxf>
      <font>
        <b/>
        <i val="0"/>
        <color rgb="FFE87D1E"/>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CDA8A9"/>
      </font>
    </dxf>
    <dxf>
      <font>
        <b/>
        <i val="0"/>
        <color rgb="FFE87D1E"/>
      </font>
    </dxf>
    <dxf>
      <font>
        <color rgb="FF8A2529"/>
      </font>
    </dxf>
    <dxf>
      <font>
        <b/>
        <i val="0"/>
      </font>
    </dxf>
    <dxf>
      <font>
        <b/>
        <i val="0"/>
        <color rgb="FF8A2529"/>
      </font>
    </dxf>
    <dxf>
      <font>
        <b/>
        <i val="0"/>
        <color theme="1"/>
      </font>
    </dxf>
    <dxf>
      <font>
        <b/>
        <i val="0"/>
        <color rgb="FFCDA8A9"/>
      </font>
    </dxf>
    <dxf>
      <font>
        <b/>
        <i val="0"/>
        <color rgb="FFE87D1E"/>
      </font>
    </dxf>
    <dxf>
      <font>
        <color rgb="FF8A2529"/>
      </font>
    </dxf>
    <dxf>
      <font>
        <b/>
        <i val="0"/>
        <color rgb="FF8A2529"/>
      </font>
    </dxf>
    <dxf>
      <font>
        <b/>
        <i val="0"/>
        <color theme="1"/>
      </font>
    </dxf>
    <dxf>
      <font>
        <b/>
        <i val="0"/>
        <color rgb="FFE87D1E"/>
      </font>
    </dxf>
    <dxf>
      <font>
        <color rgb="FF8A2529"/>
      </font>
    </dxf>
    <dxf>
      <font>
        <b/>
        <i val="0"/>
      </font>
    </dxf>
    <dxf>
      <font>
        <b/>
        <i val="0"/>
        <color rgb="FF8A2529"/>
      </font>
    </dxf>
    <dxf>
      <font>
        <b/>
        <i val="0"/>
        <color rgb="FF8A2529"/>
      </font>
    </dxf>
    <dxf>
      <font>
        <b/>
        <i val="0"/>
        <color rgb="FFCDA8A9"/>
      </font>
    </dxf>
    <dxf>
      <font>
        <b/>
        <i val="0"/>
        <color rgb="FFE87D1E"/>
      </font>
    </dxf>
    <dxf>
      <font>
        <color rgb="FF8A2529"/>
      </font>
    </dxf>
    <dxf>
      <font>
        <b/>
        <i val="0"/>
        <color rgb="FFCDA8A9"/>
      </font>
    </dxf>
    <dxf>
      <font>
        <b/>
        <i val="0"/>
        <color rgb="FF8A2529"/>
      </font>
    </dxf>
    <dxf>
      <font>
        <b/>
        <i val="0"/>
        <color rgb="FF8A2529"/>
      </font>
    </dxf>
    <dxf>
      <font>
        <b/>
        <i val="0"/>
        <color rgb="FFE87D1E"/>
      </font>
    </dxf>
    <dxf>
      <font>
        <b/>
        <i val="0"/>
      </font>
    </dxf>
    <dxf>
      <font>
        <color rgb="FF8A2529"/>
      </font>
    </dxf>
    <dxf>
      <font>
        <color rgb="FF8A2529"/>
      </font>
    </dxf>
    <dxf>
      <font>
        <b/>
        <i val="0"/>
        <color rgb="FFE87D1E"/>
      </font>
    </dxf>
    <dxf>
      <font>
        <b/>
        <i val="0"/>
        <color rgb="FFCDA8A9"/>
      </font>
    </dxf>
    <dxf>
      <font>
        <b/>
        <i val="0"/>
        <color theme="1"/>
      </font>
    </dxf>
    <dxf>
      <font>
        <b/>
        <i val="0"/>
        <color rgb="FFCDA8A9"/>
      </font>
    </dxf>
    <dxf>
      <font>
        <b/>
        <i val="0"/>
        <color rgb="FFE87D1E"/>
      </font>
    </dxf>
    <dxf>
      <font>
        <b/>
        <i val="0"/>
        <color rgb="FFCDA8A9"/>
      </font>
    </dxf>
    <dxf>
      <font>
        <color rgb="FF8A2529"/>
      </font>
    </dxf>
    <dxf>
      <font>
        <b/>
        <i val="0"/>
        <color rgb="FF8A2529"/>
      </font>
    </dxf>
    <dxf>
      <font>
        <color rgb="FF8A2529"/>
      </font>
    </dxf>
    <dxf>
      <font>
        <b/>
        <i val="0"/>
        <color rgb="FFE87D1E"/>
      </font>
    </dxf>
    <dxf>
      <font>
        <b/>
        <i val="0"/>
        <color rgb="FF8A2529"/>
      </font>
    </dxf>
    <dxf>
      <font>
        <b/>
        <i val="0"/>
        <color theme="1"/>
      </font>
    </dxf>
    <dxf>
      <font>
        <b/>
        <i val="0"/>
        <color rgb="FFCDA8A9"/>
      </font>
    </dxf>
    <dxf>
      <font>
        <b/>
        <i val="0"/>
      </font>
    </dxf>
    <dxf>
      <font>
        <b/>
        <i val="0"/>
      </font>
    </dxf>
    <dxf>
      <font>
        <b/>
        <i val="0"/>
        <color theme="1"/>
      </font>
    </dxf>
    <dxf>
      <font>
        <color rgb="FF8A2529"/>
      </font>
    </dxf>
    <dxf>
      <font>
        <b/>
        <i val="0"/>
        <color rgb="FFE87D1E"/>
      </font>
    </dxf>
    <dxf>
      <font>
        <b/>
        <i val="0"/>
        <color rgb="FFCDA8A9"/>
      </font>
    </dxf>
    <dxf>
      <font>
        <b/>
        <i val="0"/>
      </font>
    </dxf>
    <dxf>
      <font>
        <color rgb="FF8A2529"/>
      </font>
    </dxf>
    <dxf>
      <font>
        <b/>
        <i val="0"/>
        <color rgb="FFE87D1E"/>
      </font>
    </dxf>
    <dxf>
      <font>
        <b/>
        <i val="0"/>
        <color theme="1"/>
      </font>
    </dxf>
    <dxf>
      <font>
        <b/>
        <i val="0"/>
        <color rgb="FFCDA8A9"/>
      </font>
    </dxf>
    <dxf>
      <font>
        <b/>
        <i val="0"/>
        <color rgb="FFCDA8A9"/>
      </font>
    </dxf>
    <dxf>
      <font>
        <b/>
        <i val="0"/>
        <color rgb="FFE87D1E"/>
      </font>
    </dxf>
    <dxf>
      <font>
        <color rgb="FF8A2529"/>
      </font>
    </dxf>
    <dxf>
      <font>
        <b/>
        <i val="0"/>
        <color rgb="FF8A2529"/>
      </font>
    </dxf>
    <dxf>
      <font>
        <b/>
        <i val="0"/>
        <color theme="1"/>
      </font>
    </dxf>
    <dxf>
      <font>
        <b/>
        <i val="0"/>
      </font>
    </dxf>
    <dxf>
      <font>
        <b/>
        <i val="0"/>
        <color rgb="FFCDA8A9"/>
      </font>
    </dxf>
    <dxf>
      <font>
        <color rgb="FF8A2529"/>
      </font>
    </dxf>
    <dxf>
      <font>
        <b/>
        <i val="0"/>
        <color rgb="FFE87D1E"/>
      </font>
    </dxf>
    <dxf>
      <font>
        <b/>
        <i val="0"/>
        <color theme="1"/>
      </font>
    </dxf>
    <dxf>
      <font>
        <color rgb="FF8A2529"/>
      </font>
    </dxf>
    <dxf>
      <font>
        <b/>
        <i val="0"/>
        <color rgb="FFE87D1E"/>
      </font>
    </dxf>
    <dxf>
      <font>
        <b/>
        <i val="0"/>
        <color rgb="FFCDA8A9"/>
      </font>
    </dxf>
    <dxf>
      <font>
        <b/>
        <i val="0"/>
        <color rgb="FF8A2529"/>
      </font>
    </dxf>
    <dxf>
      <font>
        <b/>
        <i val="0"/>
      </font>
    </dxf>
    <dxf>
      <font>
        <b/>
        <i val="0"/>
        <color rgb="FFCDA8A9"/>
      </font>
    </dxf>
    <dxf>
      <font>
        <b/>
        <i val="0"/>
      </font>
    </dxf>
    <dxf>
      <font>
        <b/>
        <i val="0"/>
        <color theme="1"/>
      </font>
    </dxf>
    <dxf>
      <font>
        <b/>
        <i val="0"/>
        <color rgb="FF8A2529"/>
      </font>
    </dxf>
    <dxf>
      <font>
        <color rgb="FF8A2529"/>
      </font>
    </dxf>
    <dxf>
      <font>
        <b/>
        <i val="0"/>
        <color rgb="FFE87D1E"/>
      </font>
    </dxf>
    <dxf>
      <font>
        <b/>
        <i val="0"/>
        <color rgb="FFE87D1E"/>
      </font>
    </dxf>
    <dxf>
      <font>
        <color rgb="FF8A2529"/>
      </font>
    </dxf>
    <dxf>
      <font>
        <b/>
        <i val="0"/>
        <color rgb="FF8A2529"/>
      </font>
    </dxf>
    <dxf>
      <font>
        <b/>
        <i val="0"/>
        <color theme="1"/>
      </font>
    </dxf>
    <dxf>
      <font>
        <b/>
        <i val="0"/>
      </font>
    </dxf>
    <dxf>
      <font>
        <b/>
        <i val="0"/>
        <color rgb="FFCDA8A9"/>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i val="0"/>
        <color rgb="FF8A2529"/>
      </font>
    </dxf>
    <dxf>
      <font>
        <color rgb="FF8A2529"/>
      </font>
    </dxf>
    <dxf>
      <font>
        <b/>
        <i val="0"/>
        <color rgb="FFE87D1E"/>
      </font>
    </dxf>
    <dxf>
      <font>
        <b/>
        <i val="0"/>
        <color rgb="FF8A2529"/>
      </font>
    </dxf>
    <dxf>
      <font>
        <b/>
        <i val="0"/>
        <color rgb="FFCDA8A9"/>
      </font>
    </dxf>
    <dxf>
      <font>
        <b/>
        <i val="0"/>
        <color rgb="FF8A2529"/>
      </font>
    </dxf>
    <dxf>
      <font>
        <color rgb="FF8A2529"/>
      </font>
    </dxf>
    <dxf>
      <font>
        <b/>
        <i val="0"/>
        <color rgb="FFE87D1E"/>
      </font>
    </dxf>
    <dxf>
      <font>
        <b/>
        <i val="0"/>
        <color theme="1"/>
      </font>
    </dxf>
    <dxf>
      <font>
        <b/>
        <i val="0"/>
        <color rgb="FFCDA8A9"/>
      </font>
    </dxf>
    <dxf>
      <font>
        <b/>
        <i val="0"/>
        <color rgb="FFCDA8A9"/>
      </font>
    </dxf>
    <dxf>
      <font>
        <b/>
        <i val="0"/>
        <color rgb="FFE87D1E"/>
      </font>
    </dxf>
    <dxf>
      <font>
        <color rgb="FF8A2529"/>
      </font>
    </dxf>
    <dxf>
      <font>
        <b/>
        <i val="0"/>
      </font>
    </dxf>
    <dxf>
      <font>
        <b/>
        <i val="0"/>
        <color rgb="FF8A252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rgb="FF8A2529"/>
      </font>
    </dxf>
    <dxf>
      <font>
        <b/>
        <i val="0"/>
        <color theme="1"/>
      </font>
    </dxf>
    <dxf>
      <font>
        <b val="0"/>
        <i val="0"/>
      </font>
    </dxf>
    <dxf>
      <font>
        <b/>
        <i val="0"/>
        <color rgb="FF8A2529"/>
      </font>
    </dxf>
    <dxf>
      <font>
        <b/>
        <i val="0"/>
        <color auto="1"/>
      </font>
    </dxf>
    <dxf>
      <numFmt numFmtId="33" formatCode="_-* #,##0_-;\-* #,##0_-;_-* &quot;-&quot;_-;_-@_-"/>
    </dxf>
    <dxf>
      <font>
        <b val="0"/>
        <i val="0"/>
      </font>
    </dxf>
    <dxf>
      <font>
        <b/>
        <i val="0"/>
        <color rgb="FF8A2529"/>
      </font>
    </dxf>
    <dxf>
      <font>
        <b/>
        <i val="0"/>
        <color rgb="FF8A2529"/>
      </font>
    </dxf>
    <dxf>
      <font>
        <b val="0"/>
        <i val="0"/>
      </font>
    </dxf>
    <dxf>
      <font>
        <b val="0"/>
        <i val="0"/>
      </font>
    </dxf>
    <dxf>
      <numFmt numFmtId="33" formatCode="_-* #,##0_-;\-* #,##0_-;_-* &quot;-&quot;_-;_-@_-"/>
    </dxf>
    <dxf>
      <font>
        <b/>
        <i val="0"/>
        <color auto="1"/>
      </font>
    </dxf>
    <dxf>
      <numFmt numFmtId="33" formatCode="_-* #,##0_-;\-* #,##0_-;_-* &quot;-&quot;_-;_-@_-"/>
    </dxf>
    <dxf>
      <font>
        <b val="0"/>
        <i val="0"/>
      </font>
    </dxf>
    <dxf>
      <font>
        <b val="0"/>
        <i val="0"/>
      </font>
    </dxf>
    <dxf>
      <font>
        <b/>
        <i val="0"/>
        <color auto="1"/>
      </font>
    </dxf>
    <dxf>
      <font>
        <b/>
        <i val="0"/>
        <color rgb="FF8A2529"/>
      </font>
    </dxf>
    <dxf>
      <font>
        <b/>
        <i val="0"/>
        <color rgb="FF8A2529"/>
      </font>
    </dxf>
    <dxf>
      <font>
        <b/>
        <i val="0"/>
        <color auto="1"/>
      </font>
    </dxf>
    <dxf>
      <font>
        <b val="0"/>
        <i val="0"/>
      </font>
    </dxf>
    <dxf>
      <font>
        <b val="0"/>
        <i val="0"/>
      </font>
    </dxf>
    <dxf>
      <font>
        <b/>
        <i val="0"/>
        <color rgb="FF8A2529"/>
      </font>
    </dxf>
    <dxf>
      <numFmt numFmtId="33" formatCode="_-* #,##0_-;\-* #,##0_-;_-* &quot;-&quot;_-;_-@_-"/>
    </dxf>
    <dxf>
      <font>
        <b/>
        <i val="0"/>
        <color rgb="FF8A2529"/>
      </font>
    </dxf>
    <dxf>
      <font>
        <b/>
        <i val="0"/>
        <color rgb="FFE87D1E"/>
      </font>
    </dxf>
    <dxf>
      <font>
        <color rgb="FF8A2529"/>
      </font>
    </dxf>
    <dxf>
      <font>
        <b/>
        <i val="0"/>
        <color rgb="FF8A2529"/>
      </font>
    </dxf>
    <dxf>
      <font>
        <b/>
        <i val="0"/>
        <color rgb="FFCDA8A9"/>
      </font>
    </dxf>
    <dxf>
      <font>
        <color rgb="FF8A2529"/>
      </font>
    </dxf>
    <dxf>
      <font>
        <b/>
        <i val="0"/>
        <color rgb="FFCDA8A9"/>
      </font>
    </dxf>
    <dxf>
      <font>
        <b/>
        <i val="0"/>
        <color rgb="FF8A2529"/>
      </font>
    </dxf>
    <dxf>
      <font>
        <b/>
        <i val="0"/>
        <color theme="1"/>
      </font>
    </dxf>
    <dxf>
      <font>
        <b/>
        <i val="0"/>
        <color rgb="FFE87D1E"/>
      </font>
    </dxf>
    <dxf>
      <font>
        <b/>
        <i val="0"/>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CDA8A9"/>
      </font>
    </dxf>
    <dxf>
      <font>
        <b/>
        <i val="0"/>
      </font>
    </dxf>
    <dxf>
      <font>
        <b/>
        <i val="0"/>
        <color theme="1"/>
      </font>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8A2529"/>
      </font>
    </dxf>
    <dxf>
      <font>
        <b/>
        <i val="0"/>
        <color rgb="FFE87D1E"/>
      </font>
    </dxf>
    <dxf>
      <font>
        <color rgb="FF8A2529"/>
      </font>
    </dxf>
    <dxf>
      <font>
        <b/>
        <i val="0"/>
      </font>
    </dxf>
    <dxf>
      <font>
        <b/>
        <i val="0"/>
        <color rgb="FFCDA8A9"/>
      </font>
    </dxf>
    <dxf>
      <font>
        <color rgb="FF8A2529"/>
      </font>
    </dxf>
    <dxf>
      <font>
        <b/>
        <i val="0"/>
        <color rgb="FF8A2529"/>
      </font>
    </dxf>
    <dxf>
      <font>
        <b/>
        <i val="0"/>
        <color rgb="FFCDA8A9"/>
      </font>
    </dxf>
    <dxf>
      <font>
        <b/>
        <i val="0"/>
        <color rgb="FFE87D1E"/>
      </font>
    </dxf>
    <dxf>
      <font>
        <b/>
        <i val="0"/>
        <color rgb="FFE87D1E"/>
      </font>
    </dxf>
    <dxf>
      <font>
        <color rgb="FF8A2529"/>
      </font>
    </dxf>
    <dxf>
      <font>
        <b/>
        <i val="0"/>
        <color rgb="FF8A2529"/>
      </font>
    </dxf>
    <dxf>
      <font>
        <b/>
        <i val="0"/>
        <color rgb="FFCDA8A9"/>
      </font>
    </dxf>
    <dxf>
      <font>
        <b/>
        <i val="0"/>
        <color rgb="FF8A2529"/>
      </font>
    </dxf>
    <dxf>
      <font>
        <b/>
        <i val="0"/>
        <color theme="1"/>
      </font>
    </dxf>
    <dxf>
      <font>
        <b/>
        <i val="0"/>
        <color rgb="FF8A2529"/>
      </font>
    </dxf>
    <dxf>
      <font>
        <b/>
        <i val="0"/>
        <color theme="1"/>
      </font>
    </dxf>
    <dxf>
      <font>
        <b/>
        <i val="0"/>
      </font>
    </dxf>
    <dxf>
      <font>
        <b/>
        <i val="0"/>
        <color rgb="FFCDA8A9"/>
      </font>
    </dxf>
    <dxf>
      <font>
        <b/>
        <i val="0"/>
        <color rgb="FFE87D1E"/>
      </font>
    </dxf>
    <dxf>
      <font>
        <color rgb="FF8A2529"/>
      </font>
    </dxf>
    <dxf>
      <font>
        <b/>
        <i val="0"/>
        <color rgb="FFCDA8A9"/>
      </font>
    </dxf>
    <dxf>
      <font>
        <b/>
        <i val="0"/>
        <color rgb="FFE87D1E"/>
      </font>
    </dxf>
    <dxf>
      <font>
        <color rgb="FF8A2529"/>
      </font>
    </dxf>
    <dxf>
      <font>
        <b/>
        <i val="0"/>
        <color rgb="FFE87D1E"/>
      </font>
    </dxf>
    <dxf>
      <font>
        <b/>
        <i val="0"/>
        <color rgb="FF8A2529"/>
      </font>
    </dxf>
    <dxf>
      <font>
        <b/>
        <i val="0"/>
        <color rgb="FFCDA8A9"/>
      </font>
    </dxf>
    <dxf>
      <font>
        <b/>
        <i val="0"/>
        <color rgb="FF8A2529"/>
      </font>
    </dxf>
    <dxf>
      <font>
        <color rgb="FF8A2529"/>
      </font>
    </dxf>
    <dxf>
      <font>
        <b/>
        <i val="0"/>
        <color rgb="FF8A2529"/>
      </font>
    </dxf>
    <dxf>
      <font>
        <b/>
        <i val="0"/>
        <color rgb="FFE87D1E"/>
      </font>
    </dxf>
    <dxf>
      <font>
        <color rgb="FF8A2529"/>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b/>
        <i val="0"/>
        <color rgb="FFE87D1E"/>
      </font>
    </dxf>
    <dxf>
      <font>
        <b/>
        <i val="0"/>
        <color rgb="FFE87D1E"/>
      </font>
    </dxf>
    <dxf>
      <font>
        <color rgb="FF8A2529"/>
      </font>
    </dxf>
    <dxf>
      <font>
        <b/>
        <i val="0"/>
        <color rgb="FF8A2529"/>
      </font>
    </dxf>
    <dxf>
      <font>
        <b/>
        <i val="0"/>
        <color rgb="FFCDA8A9"/>
      </font>
    </dxf>
    <dxf>
      <font>
        <color rgb="FF8A2529"/>
      </font>
    </dxf>
    <dxf>
      <font>
        <b/>
        <i val="0"/>
        <color rgb="FFCDA8A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8A2529"/>
      </font>
    </dxf>
    <dxf>
      <font>
        <color rgb="FF8A2529"/>
      </font>
    </dxf>
    <dxf>
      <font>
        <b/>
        <i val="0"/>
        <color rgb="FFE87D1E"/>
      </font>
    </dxf>
    <dxf>
      <font>
        <b/>
        <i val="0"/>
        <color rgb="FFCDA8A9"/>
      </font>
    </dxf>
    <dxf>
      <font>
        <b/>
        <i val="0"/>
        <color theme="1"/>
      </font>
    </dxf>
    <dxf>
      <font>
        <b/>
        <i val="0"/>
        <color rgb="FF8A2529"/>
      </font>
    </dxf>
    <dxf>
      <font>
        <b/>
        <i val="0"/>
        <color rgb="FF8A2529"/>
      </font>
    </dxf>
    <dxf>
      <font>
        <color rgb="FF8A2529"/>
      </font>
    </dxf>
    <dxf>
      <font>
        <b/>
        <i val="0"/>
        <color rgb="FFE87D1E"/>
      </font>
    </dxf>
    <dxf>
      <font>
        <b/>
        <i val="0"/>
        <color rgb="FFCDA8A9"/>
      </font>
    </dxf>
    <dxf>
      <font>
        <b/>
        <i val="0"/>
      </font>
    </dxf>
    <dxf>
      <font>
        <color rgb="FF8A2529"/>
      </font>
    </dxf>
    <dxf>
      <font>
        <b/>
        <i val="0"/>
        <color rgb="FFE87D1E"/>
      </font>
    </dxf>
    <dxf>
      <font>
        <b/>
        <i val="0"/>
        <color rgb="FFCDA8A9"/>
      </font>
    </dxf>
    <dxf>
      <font>
        <b/>
        <i val="0"/>
        <color auto="1"/>
      </font>
    </dxf>
    <dxf>
      <numFmt numFmtId="33" formatCode="_-* #,##0_-;\-* #,##0_-;_-* &quot;-&quot;_-;_-@_-"/>
    </dxf>
    <dxf>
      <font>
        <b val="0"/>
        <i val="0"/>
      </font>
    </dxf>
    <dxf>
      <font>
        <b val="0"/>
        <i val="0"/>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i val="0"/>
        <color auto="1"/>
      </font>
    </dxf>
    <dxf>
      <font>
        <b val="0"/>
        <i val="0"/>
      </font>
    </dxf>
    <dxf>
      <font>
        <b val="0"/>
        <i val="0"/>
      </font>
    </dxf>
    <dxf>
      <numFmt numFmtId="33" formatCode="_-* #,##0_-;\-* #,##0_-;_-* &quot;-&quot;_-;_-@_-"/>
    </dxf>
    <dxf>
      <font>
        <b val="0"/>
        <i val="0"/>
      </font>
    </dxf>
    <dxf>
      <font>
        <b val="0"/>
        <i val="0"/>
      </font>
    </dxf>
    <dxf>
      <font>
        <b/>
        <i val="0"/>
        <color auto="1"/>
      </font>
    </dxf>
    <dxf>
      <numFmt numFmtId="33" formatCode="_-* #,##0_-;\-* #,##0_-;_-* &quot;-&quot;_-;_-@_-"/>
    </dxf>
    <dxf>
      <font>
        <b/>
        <i val="0"/>
        <color rgb="FF8A2529"/>
      </font>
    </dxf>
    <dxf>
      <font>
        <b/>
        <i val="0"/>
        <color rgb="FFCDA8A9"/>
      </font>
    </dxf>
    <dxf>
      <font>
        <b/>
        <i val="0"/>
        <color rgb="FFE87D1E"/>
      </font>
    </dxf>
    <dxf>
      <font>
        <color rgb="FF8A2529"/>
      </font>
    </dxf>
    <dxf>
      <font>
        <b/>
        <i val="0"/>
        <color rgb="FF8A2529"/>
      </font>
    </dxf>
    <dxf>
      <font>
        <b/>
        <i val="0"/>
        <color rgb="FFE87D1E"/>
      </font>
    </dxf>
    <dxf>
      <font>
        <color rgb="FF8A2529"/>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auto="1"/>
      </font>
    </dxf>
    <dxf>
      <font>
        <b val="0"/>
        <i val="0"/>
      </font>
    </dxf>
    <dxf>
      <numFmt numFmtId="33" formatCode="_-* #,##0_-;\-* #,##0_-;_-* &quot;-&quot;_-;_-@_-"/>
    </dxf>
    <dxf>
      <font>
        <b val="0"/>
        <i val="0"/>
      </font>
    </dxf>
    <dxf>
      <font>
        <b/>
        <i val="0"/>
        <color auto="1"/>
      </font>
    </dxf>
    <dxf>
      <numFmt numFmtId="33" formatCode="_-* #,##0_-;\-* #,##0_-;_-* &quot;-&quot;_-;_-@_-"/>
    </dxf>
    <dxf>
      <font>
        <b/>
        <i val="0"/>
        <color auto="1"/>
      </font>
    </dxf>
    <dxf>
      <font>
        <b val="0"/>
        <i val="0"/>
      </font>
    </dxf>
    <dxf>
      <font>
        <b val="0"/>
        <i val="0"/>
      </font>
    </dxf>
    <dxf>
      <font>
        <b val="0"/>
        <i val="0"/>
      </font>
    </dxf>
    <dxf>
      <font>
        <b/>
        <i val="0"/>
        <color auto="1"/>
      </font>
    </dxf>
    <dxf>
      <numFmt numFmtId="33" formatCode="_-* #,##0_-;\-* #,##0_-;_-* &quot;-&quot;_-;_-@_-"/>
    </dxf>
    <dxf>
      <font>
        <b val="0"/>
        <i val="0"/>
      </font>
    </dxf>
    <dxf>
      <numFmt numFmtId="33" formatCode="_-* #,##0_-;\-* #,##0_-;_-* &quot;-&quot;_-;_-@_-"/>
    </dxf>
    <dxf>
      <font>
        <b val="0"/>
        <i val="0"/>
      </font>
    </dxf>
    <dxf>
      <font>
        <b val="0"/>
        <i val="0"/>
      </font>
    </dxf>
    <dxf>
      <font>
        <b/>
        <i val="0"/>
        <color auto="1"/>
      </font>
    </dxf>
    <dxf>
      <numFmt numFmtId="33" formatCode="_-* #,##0_-;\-* #,##0_-;_-* &quot;-&quot;_-;_-@_-"/>
    </dxf>
    <dxf>
      <font>
        <b/>
        <i val="0"/>
        <color auto="1"/>
      </font>
    </dxf>
    <dxf>
      <font>
        <b val="0"/>
        <i val="0"/>
      </font>
    </dxf>
    <dxf>
      <font>
        <b val="0"/>
        <i val="0"/>
      </font>
    </dxf>
    <dxf>
      <font>
        <b/>
        <i val="0"/>
        <color auto="1"/>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rgb="FFCDA8A9"/>
      </font>
    </dxf>
    <dxf>
      <font>
        <color rgb="FF8A2529"/>
      </font>
    </dxf>
    <dxf>
      <font>
        <b/>
        <i val="0"/>
        <color rgb="FFE87D1E"/>
      </font>
    </dxf>
    <dxf>
      <font>
        <b val="0"/>
        <i val="0"/>
      </font>
    </dxf>
    <dxf>
      <font>
        <b val="0"/>
        <i val="0"/>
      </font>
    </dxf>
    <dxf>
      <numFmt numFmtId="33" formatCode="_-* #,##0_-;\-* #,##0_-;_-* &quot;-&quot;_-;_-@_-"/>
    </dxf>
    <dxf>
      <font>
        <b/>
        <i val="0"/>
        <color auto="1"/>
      </font>
    </dxf>
    <dxf>
      <font>
        <color rgb="FF8A2529"/>
      </font>
    </dxf>
    <dxf>
      <font>
        <b/>
        <i val="0"/>
        <color rgb="FFE87D1E"/>
      </font>
    </dxf>
    <dxf>
      <font>
        <b/>
        <i val="0"/>
        <color rgb="FFCDA8A9"/>
      </font>
    </dxf>
    <dxf>
      <font>
        <b/>
        <i val="0"/>
      </font>
    </dxf>
    <dxf>
      <font>
        <b/>
        <i val="0"/>
        <color theme="1"/>
      </font>
    </dxf>
    <dxf>
      <font>
        <b/>
        <i val="0"/>
        <color rgb="FF8A2529"/>
      </font>
    </dxf>
    <dxf>
      <font>
        <b val="0"/>
        <i val="0"/>
      </font>
    </dxf>
    <dxf>
      <font>
        <b/>
        <i val="0"/>
        <color rgb="FF8A2529"/>
      </font>
    </dxf>
    <dxf>
      <font>
        <b/>
        <i val="0"/>
        <color auto="1"/>
      </font>
    </dxf>
    <dxf>
      <font>
        <b val="0"/>
        <i val="0"/>
      </font>
    </dxf>
    <dxf>
      <numFmt numFmtId="33" formatCode="_-* #,##0_-;\-* #,##0_-;_-* &quot;-&quot;_-;_-@_-"/>
    </dxf>
    <dxf>
      <font>
        <b val="0"/>
        <i val="0"/>
      </font>
    </dxf>
    <dxf>
      <font>
        <b/>
        <i val="0"/>
        <color auto="1"/>
      </font>
    </dxf>
    <dxf>
      <font>
        <b val="0"/>
        <i val="0"/>
      </font>
    </dxf>
    <dxf>
      <font>
        <b val="0"/>
        <i val="0"/>
      </font>
    </dxf>
    <dxf>
      <numFmt numFmtId="33" formatCode="_-* #,##0_-;\-* #,##0_-;_-* &quot;-&quot;_-;_-@_-"/>
    </dxf>
    <dxf>
      <font>
        <b/>
        <i val="0"/>
        <color auto="1"/>
      </font>
    </dxf>
    <dxf>
      <font>
        <b val="0"/>
        <i val="0"/>
      </font>
    </dxf>
    <dxf>
      <numFmt numFmtId="33" formatCode="_-* #,##0_-;\-* #,##0_-;_-* &quot;-&quot;_-;_-@_-"/>
    </dxf>
    <dxf>
      <font>
        <b val="0"/>
        <i val="0"/>
      </font>
    </dxf>
    <dxf>
      <font>
        <b val="0"/>
        <i val="0"/>
      </font>
    </dxf>
    <dxf>
      <font>
        <b/>
        <i val="0"/>
        <color auto="1"/>
      </font>
    </dxf>
    <dxf>
      <font>
        <b/>
        <i val="0"/>
        <color rgb="FF8A2529"/>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theme="0"/>
        </patternFill>
      </fill>
    </dxf>
    <dxf>
      <font>
        <color rgb="FF8A2529"/>
      </font>
    </dxf>
    <dxf>
      <fill>
        <patternFill>
          <bgColor rgb="FFB97C7F"/>
        </patternFill>
      </fill>
    </dxf>
    <dxf>
      <font>
        <color rgb="FF9C0006"/>
      </font>
      <fill>
        <patternFill>
          <bgColor rgb="FFFFC7CE"/>
        </patternFill>
      </fill>
    </dxf>
    <dxf>
      <fill>
        <patternFill>
          <bgColor rgb="FFD0A8A9"/>
        </patternFill>
      </fill>
    </dxf>
    <dxf>
      <font>
        <b val="0"/>
        <i val="0"/>
        <color auto="1"/>
      </font>
    </dxf>
    <dxf>
      <font>
        <color rgb="FF8A2529"/>
      </font>
    </dxf>
    <dxf>
      <font>
        <b val="0"/>
        <i val="0"/>
        <color auto="1"/>
      </font>
    </dxf>
    <dxf>
      <fill>
        <patternFill>
          <bgColor rgb="FFB97C7F"/>
        </patternFill>
      </fill>
    </dxf>
    <dxf>
      <font>
        <color rgb="FF9C0006"/>
      </font>
      <fill>
        <patternFill>
          <bgColor rgb="FFFFC7CE"/>
        </patternFill>
      </fill>
    </dxf>
    <dxf>
      <fill>
        <patternFill>
          <bgColor theme="0"/>
        </patternFill>
      </fill>
    </dxf>
    <dxf>
      <fill>
        <patternFill>
          <bgColor theme="0"/>
        </patternFill>
      </fill>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ill>
        <patternFill>
          <bgColor theme="0"/>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ill>
        <patternFill>
          <bgColor rgb="FFD0A8A9"/>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8A2529"/>
      </font>
    </dxf>
    <dxf>
      <font>
        <color rgb="FF9C0006"/>
      </font>
      <fill>
        <patternFill>
          <bgColor rgb="FFFFC7CE"/>
        </patternFill>
      </fill>
    </dxf>
    <dxf>
      <font>
        <b val="0"/>
        <i val="0"/>
        <color auto="1"/>
      </font>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ill>
        <patternFill>
          <bgColor rgb="FFB97C7F"/>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theme="0"/>
        </patternFill>
      </fill>
    </dxf>
    <dxf>
      <font>
        <color rgb="FF8A2529"/>
      </font>
    </dxf>
    <dxf>
      <fill>
        <patternFill>
          <bgColor rgb="FFB97C7F"/>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ont>
        <color rgb="FF8A2529"/>
      </font>
    </dxf>
    <dxf>
      <fill>
        <patternFill>
          <bgColor rgb="FFB97C7F"/>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ill>
        <patternFill>
          <bgColor rgb="FFD0A8A9"/>
        </patternFill>
      </fill>
    </dxf>
    <dxf>
      <font>
        <color rgb="FF9C0006"/>
      </font>
      <fill>
        <patternFill>
          <bgColor rgb="FFFFC7CE"/>
        </patternFill>
      </fill>
    </dxf>
    <dxf>
      <font>
        <color rgb="FF9C0006"/>
      </font>
      <fill>
        <patternFill>
          <bgColor rgb="FFFFC7CE"/>
        </patternFill>
      </fill>
    </dxf>
    <dxf>
      <font>
        <b val="0"/>
        <i val="0"/>
        <color auto="1"/>
      </font>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D0A8A9"/>
        </patternFill>
      </fill>
    </dxf>
    <dxf>
      <fill>
        <patternFill>
          <bgColor rgb="FFB97C7F"/>
        </patternFill>
      </fill>
    </dxf>
    <dxf>
      <font>
        <color rgb="FF9C0006"/>
      </font>
      <fill>
        <patternFill>
          <bgColor rgb="FFFFC7CE"/>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8A2529"/>
      </font>
    </dxf>
    <dxf>
      <fill>
        <patternFill>
          <bgColor rgb="FFB97C7F"/>
        </patternFill>
      </fill>
    </dxf>
    <dxf>
      <font>
        <b val="0"/>
        <i val="0"/>
        <color auto="1"/>
      </font>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ill>
        <patternFill>
          <bgColor rgb="FFB97C7F"/>
        </patternFill>
      </fill>
    </dxf>
    <dxf>
      <fill>
        <patternFill>
          <bgColor rgb="FFD0A8A9"/>
        </patternFill>
      </fill>
    </dxf>
    <dxf>
      <font>
        <color rgb="FF8A2529"/>
      </font>
    </dxf>
    <dxf>
      <font>
        <b val="0"/>
        <i val="0"/>
        <color auto="1"/>
      </font>
    </dxf>
    <dxf>
      <font>
        <b val="0"/>
        <i val="0"/>
        <color auto="1"/>
      </font>
    </dxf>
    <dxf>
      <fill>
        <patternFill>
          <bgColor rgb="FFD0A8A9"/>
        </patternFill>
      </fill>
    </dxf>
    <dxf>
      <font>
        <color rgb="FF9C0006"/>
      </font>
      <fill>
        <patternFill>
          <bgColor rgb="FFFFC7CE"/>
        </patternFill>
      </fill>
    </dxf>
    <dxf>
      <fill>
        <patternFill>
          <bgColor theme="0"/>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rgb="FFB97C7F"/>
        </patternFill>
      </fill>
    </dxf>
    <dxf>
      <font>
        <color rgb="FF9C0006"/>
      </font>
      <fill>
        <patternFill>
          <bgColor rgb="FFFFC7CE"/>
        </patternFill>
      </fill>
    </dxf>
    <dxf>
      <fill>
        <patternFill>
          <bgColor theme="0"/>
        </patternFill>
      </fill>
    </dxf>
    <dxf>
      <font>
        <b val="0"/>
        <i val="0"/>
        <color auto="1"/>
      </font>
    </dxf>
    <dxf>
      <fill>
        <patternFill>
          <bgColor theme="0"/>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ill>
        <patternFill>
          <bgColor theme="0"/>
        </patternFill>
      </fill>
    </dxf>
    <dxf>
      <fill>
        <patternFill>
          <bgColor rgb="FFB97C7F"/>
        </patternFill>
      </fill>
    </dxf>
    <dxf>
      <font>
        <color rgb="FF9C0006"/>
      </font>
      <fill>
        <patternFill>
          <bgColor rgb="FFFFC7CE"/>
        </patternFill>
      </fill>
    </dxf>
    <dxf>
      <font>
        <color rgb="FF8A2529"/>
      </font>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theme="0"/>
        </patternFill>
      </fill>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D0A8A9"/>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ill>
        <patternFill>
          <bgColor theme="0"/>
        </patternFill>
      </fill>
    </dxf>
    <dxf>
      <fill>
        <patternFill>
          <bgColor rgb="FFB97C7F"/>
        </patternFill>
      </fill>
    </dxf>
    <dxf>
      <font>
        <b val="0"/>
        <i val="0"/>
        <color auto="1"/>
      </font>
    </dxf>
    <dxf>
      <fill>
        <patternFill>
          <bgColor theme="0"/>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D0A8A9"/>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b val="0"/>
        <i val="0"/>
        <color auto="1"/>
      </font>
    </dxf>
    <dxf>
      <font>
        <color rgb="FF9C0006"/>
      </font>
      <fill>
        <patternFill>
          <bgColor rgb="FFFFC7CE"/>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B97C7F"/>
        </patternFill>
      </fill>
    </dxf>
    <dxf>
      <fill>
        <patternFill>
          <bgColor rgb="FFB97C7F"/>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8A2529"/>
      </font>
    </dxf>
    <dxf>
      <fill>
        <patternFill>
          <bgColor theme="0"/>
        </patternFill>
      </fill>
    </dxf>
    <dxf>
      <font>
        <b val="0"/>
        <i val="0"/>
        <color auto="1"/>
      </font>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9C0006"/>
      </font>
      <fill>
        <patternFill>
          <bgColor rgb="FFFFC7CE"/>
        </patternFill>
      </fill>
    </dxf>
    <dxf>
      <font>
        <color rgb="FF9C0006"/>
      </font>
      <fill>
        <patternFill>
          <bgColor rgb="FFFFC7CE"/>
        </patternFill>
      </fill>
    </dxf>
    <dxf>
      <font>
        <color rgb="FF8A2529"/>
      </font>
    </dxf>
    <dxf>
      <font>
        <b val="0"/>
        <i val="0"/>
        <color auto="1"/>
      </font>
    </dxf>
    <dxf>
      <font>
        <color rgb="FF8A2529"/>
      </font>
    </dxf>
    <dxf>
      <font>
        <b val="0"/>
        <i val="0"/>
        <color auto="1"/>
      </font>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theme="0"/>
        </patternFill>
      </fill>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8A2529"/>
      </font>
    </dxf>
    <dxf>
      <font>
        <b val="0"/>
        <i val="0"/>
        <color auto="1"/>
      </font>
    </dxf>
    <dxf>
      <font>
        <color rgb="FF9C0006"/>
      </font>
      <fill>
        <patternFill>
          <bgColor rgb="FFFFC7CE"/>
        </patternFill>
      </fill>
    </dxf>
    <dxf>
      <fill>
        <patternFill>
          <bgColor theme="0"/>
        </patternFill>
      </fill>
    </dxf>
    <dxf>
      <font>
        <b val="0"/>
        <i val="0"/>
        <color auto="1"/>
      </font>
    </dxf>
    <dxf>
      <font>
        <color rgb="FF9C0006"/>
      </font>
      <fill>
        <patternFill>
          <bgColor rgb="FFFFC7CE"/>
        </patternFill>
      </fill>
    </dxf>
    <dxf>
      <fill>
        <patternFill>
          <bgColor rgb="FFD0A8A9"/>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8A2529"/>
      </font>
    </dxf>
    <dxf>
      <fill>
        <patternFill>
          <bgColor rgb="FFB97C7F"/>
        </patternFill>
      </fill>
    </dxf>
    <dxf>
      <fill>
        <patternFill>
          <bgColor theme="0"/>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9C0006"/>
      </font>
      <fill>
        <patternFill>
          <bgColor rgb="FFFFC7CE"/>
        </patternFill>
      </fill>
    </dxf>
    <dxf>
      <fill>
        <patternFill>
          <bgColor theme="0"/>
        </patternFill>
      </fill>
    </dxf>
    <dxf>
      <font>
        <b val="0"/>
        <i val="0"/>
        <color auto="1"/>
      </font>
    </dxf>
    <dxf>
      <font>
        <color rgb="FF8A2529"/>
      </font>
    </dxf>
    <dxf>
      <font>
        <b val="0"/>
        <i val="0"/>
        <color auto="1"/>
      </font>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8A2529"/>
      </font>
    </dxf>
    <dxf>
      <fill>
        <patternFill>
          <bgColor theme="0"/>
        </patternFill>
      </fill>
    </dxf>
    <dxf>
      <fill>
        <patternFill>
          <bgColor rgb="FFD0A8A9"/>
        </patternFill>
      </fill>
    </dxf>
    <dxf>
      <fill>
        <patternFill>
          <bgColor theme="0"/>
        </patternFill>
      </fill>
    </dxf>
    <dxf>
      <font>
        <color rgb="FF8A2529"/>
      </font>
    </dxf>
    <dxf>
      <fill>
        <patternFill>
          <bgColor rgb="FFB97C7F"/>
        </patternFill>
      </fill>
    </dxf>
    <dxf>
      <font>
        <b val="0"/>
        <i val="0"/>
        <color auto="1"/>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b val="0"/>
        <i val="0"/>
        <color auto="1"/>
      </font>
    </dxf>
    <dxf>
      <fill>
        <patternFill>
          <bgColor theme="0"/>
        </patternFill>
      </fill>
    </dxf>
    <dxf>
      <fill>
        <patternFill>
          <bgColor rgb="FFB97C7F"/>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9C0006"/>
      </font>
      <fill>
        <patternFill>
          <bgColor rgb="FFFFC7CE"/>
        </patternFill>
      </fill>
    </dxf>
    <dxf>
      <font>
        <color rgb="FF8A2529"/>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9C0006"/>
      </font>
      <fill>
        <patternFill>
          <bgColor rgb="FFFFC7CE"/>
        </patternFill>
      </fill>
    </dxf>
    <dxf>
      <font>
        <color rgb="FF9C0006"/>
      </font>
      <fill>
        <patternFill>
          <bgColor rgb="FFFFC7CE"/>
        </patternFill>
      </fill>
    </dxf>
    <dxf>
      <fill>
        <patternFill>
          <bgColor rgb="FFB97C7F"/>
        </patternFill>
      </fill>
    </dxf>
    <dxf>
      <font>
        <b val="0"/>
        <i val="0"/>
        <color auto="1"/>
      </font>
    </dxf>
    <dxf>
      <fill>
        <patternFill>
          <bgColor theme="0"/>
        </patternFill>
      </fill>
    </dxf>
    <dxf>
      <font>
        <color rgb="FF8A2529"/>
      </font>
    </dxf>
    <dxf>
      <font>
        <color rgb="FF9C0006"/>
      </font>
      <fill>
        <patternFill>
          <bgColor rgb="FFFFC7CE"/>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D0A8A9"/>
        </patternFill>
      </fill>
    </dxf>
    <dxf>
      <font>
        <b val="0"/>
        <i val="0"/>
        <color auto="1"/>
      </font>
    </dxf>
    <dxf>
      <fill>
        <patternFill>
          <bgColor rgb="FFB97C7F"/>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ont>
        <color rgb="FF9C0006"/>
      </font>
      <fill>
        <patternFill>
          <bgColor rgb="FFFFC7CE"/>
        </patternFill>
      </fill>
    </dxf>
    <dxf>
      <fill>
        <patternFill>
          <bgColor rgb="FFD0A8A9"/>
        </patternFill>
      </fill>
    </dxf>
    <dxf>
      <fill>
        <patternFill>
          <bgColor rgb="FFB97C7F"/>
        </patternFill>
      </fill>
    </dxf>
    <dxf>
      <font>
        <color rgb="FF9C0006"/>
      </font>
      <fill>
        <patternFill>
          <bgColor rgb="FFFFC7CE"/>
        </patternFill>
      </fill>
    </dxf>
    <dxf>
      <font>
        <b val="0"/>
        <i val="0"/>
        <color auto="1"/>
      </font>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D0A8A9"/>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b val="0"/>
        <i val="0"/>
        <color auto="1"/>
      </font>
    </dxf>
    <dxf>
      <fill>
        <patternFill>
          <bgColor rgb="FFB97C7F"/>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b val="0"/>
        <i val="0"/>
        <color auto="1"/>
      </font>
    </dxf>
    <dxf>
      <fill>
        <patternFill>
          <bgColor rgb="FFB97C7F"/>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ill>
        <patternFill>
          <bgColor theme="0"/>
        </patternFill>
      </fill>
    </dxf>
    <dxf>
      <fill>
        <patternFill>
          <bgColor theme="0"/>
        </patternFill>
      </fill>
    </dxf>
    <dxf>
      <font>
        <b val="0"/>
        <i val="0"/>
        <color auto="1"/>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ill>
        <patternFill>
          <bgColor rgb="FFB97C7F"/>
        </patternFill>
      </fill>
    </dxf>
    <dxf>
      <font>
        <color rgb="FF9C0006"/>
      </font>
      <fill>
        <patternFill>
          <bgColor rgb="FFFFC7CE"/>
        </patternFill>
      </fill>
    </dxf>
    <dxf>
      <font>
        <color rgb="FF8A2529"/>
      </font>
    </dxf>
    <dxf>
      <fill>
        <patternFill>
          <bgColor theme="0"/>
        </patternFill>
      </fill>
    </dxf>
    <dxf>
      <fill>
        <patternFill>
          <bgColor rgb="FFD0A8A9"/>
        </patternFill>
      </fill>
    </dxf>
    <dxf>
      <font>
        <b val="0"/>
        <i val="0"/>
        <color auto="1"/>
      </font>
    </dxf>
    <dxf>
      <fill>
        <patternFill>
          <bgColor rgb="FFB97C7F"/>
        </patternFill>
      </fill>
    </dxf>
    <dxf>
      <fill>
        <patternFill>
          <bgColor rgb="FFB97C7F"/>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ill>
        <patternFill>
          <bgColor rgb="FFB97C7F"/>
        </patternFill>
      </fill>
    </dxf>
    <dxf>
      <font>
        <b val="0"/>
        <i val="0"/>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rgb="FFD0A8A9"/>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B97C7F"/>
        </patternFill>
      </fill>
    </dxf>
    <dxf>
      <fill>
        <patternFill>
          <bgColor rgb="FFD0A8A9"/>
        </patternFill>
      </fill>
    </dxf>
    <dxf>
      <fill>
        <patternFill>
          <bgColor rgb="FFE8DCD4"/>
        </patternFill>
      </fill>
    </dxf>
    <dxf>
      <fill>
        <patternFill>
          <bgColor rgb="FFD0A8A9"/>
        </patternFill>
      </fill>
    </dxf>
    <dxf>
      <fill>
        <patternFill>
          <bgColor rgb="FFD0A8A9"/>
        </patternFill>
      </fill>
    </dxf>
    <dxf>
      <font>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theme="0"/>
        </patternFill>
      </fill>
    </dxf>
    <dxf>
      <fill>
        <patternFill>
          <bgColor rgb="FFB97C7F"/>
        </patternFill>
      </fill>
    </dxf>
    <dxf>
      <font>
        <color rgb="FF8A2529"/>
      </font>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auto="1"/>
      </font>
    </dxf>
    <dxf>
      <fill>
        <patternFill>
          <bgColor theme="0"/>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ill>
        <patternFill>
          <bgColor theme="0"/>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numFmt numFmtId="33" formatCode="_-* #,##0_-;\-* #,##0_-;_-* &quot;-&quot;_-;_-@_-"/>
    </dxf>
    <dxf>
      <font>
        <b val="0"/>
        <i val="0"/>
      </font>
    </dxf>
    <dxf>
      <font>
        <b val="0"/>
        <i val="0"/>
      </font>
    </dxf>
    <dxf>
      <font>
        <b/>
        <i val="0"/>
        <color rgb="FF8A2529"/>
      </font>
    </dxf>
    <dxf>
      <font>
        <b/>
        <i val="0"/>
        <color rgb="FF8A2529"/>
      </font>
    </dxf>
    <dxf>
      <font>
        <b/>
        <i val="0"/>
        <color theme="1"/>
      </font>
    </dxf>
    <dxf>
      <font>
        <b/>
        <i val="0"/>
        <color rgb="FFCDA8A9"/>
      </font>
    </dxf>
    <dxf>
      <font>
        <b/>
        <i val="0"/>
        <color rgb="FFE87D1E"/>
      </font>
    </dxf>
    <dxf>
      <font>
        <b/>
        <i val="0"/>
      </font>
    </dxf>
    <dxf>
      <font>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ill>
        <patternFill>
          <bgColor rgb="FFD0A8A9"/>
        </patternFill>
      </fill>
    </dxf>
    <dxf>
      <fill>
        <patternFill>
          <bgColor rgb="FFD0A8A9"/>
        </patternFill>
      </fill>
    </dxf>
    <dxf>
      <font>
        <b/>
        <i val="0"/>
        <color rgb="FF8A2529"/>
      </font>
    </dxf>
    <dxf>
      <font>
        <b/>
        <i val="0"/>
        <color auto="1"/>
      </font>
    </dxf>
    <dxf>
      <numFmt numFmtId="33" formatCode="_-* #,##0_-;\-* #,##0_-;_-* &quot;-&quot;_-;_-@_-"/>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F6CBA5"/>
        </patternFill>
      </fill>
    </dxf>
    <dxf>
      <fill>
        <patternFill>
          <bgColor rgb="FFFAE5D2"/>
        </patternFill>
      </fill>
    </dxf>
    <dxf>
      <fill>
        <patternFill>
          <bgColor rgb="FFB97C7F"/>
        </patternFill>
      </fill>
    </dxf>
    <dxf>
      <fill>
        <patternFill>
          <bgColor rgb="FF00B050"/>
        </patternFill>
      </fill>
    </dxf>
    <dxf>
      <fill>
        <patternFill>
          <bgColor rgb="FFFFC000"/>
        </patternFill>
      </fill>
    </dxf>
    <dxf>
      <fill>
        <patternFill>
          <bgColor theme="0"/>
        </patternFill>
      </fill>
    </dxf>
    <dxf>
      <fill>
        <patternFill>
          <bgColor rgb="FFE8D3D4"/>
        </patternFill>
      </fill>
    </dxf>
    <dxf>
      <fill>
        <patternFill>
          <bgColor rgb="FFD0A8A9"/>
        </patternFill>
      </fill>
    </dxf>
    <dxf>
      <fill>
        <patternFill>
          <bgColor rgb="FFD0A8A9"/>
        </patternFill>
      </fill>
    </dxf>
    <dxf>
      <fill>
        <patternFill>
          <bgColor rgb="FFE8D3D4"/>
        </patternFill>
      </fill>
    </dxf>
    <dxf>
      <fill>
        <patternFill>
          <bgColor theme="0"/>
        </patternFill>
      </fill>
    </dxf>
    <dxf>
      <fill>
        <patternFill>
          <bgColor rgb="FFB97C7F"/>
        </patternFill>
      </fill>
    </dxf>
    <dxf>
      <fill>
        <patternFill>
          <bgColor rgb="FFFFC000"/>
        </patternFill>
      </fill>
    </dxf>
    <dxf>
      <fill>
        <patternFill>
          <bgColor rgb="FF00B05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D0A8A9"/>
        </patternFill>
      </fill>
    </dxf>
    <dxf>
      <fill>
        <patternFill>
          <bgColor rgb="FFE8D3D4"/>
        </patternFill>
      </fill>
    </dxf>
    <dxf>
      <fill>
        <patternFill>
          <bgColor theme="0"/>
        </patternFill>
      </fill>
    </dxf>
    <dxf>
      <fill>
        <patternFill>
          <bgColor rgb="FFB97C7F"/>
        </patternFill>
      </fill>
    </dxf>
    <dxf>
      <fill>
        <patternFill>
          <bgColor theme="0"/>
        </patternFill>
      </fill>
    </dxf>
    <dxf>
      <font>
        <b/>
        <i val="0"/>
        <color rgb="FF8A2529"/>
      </font>
    </dxf>
    <dxf>
      <font>
        <color rgb="FF8A2529"/>
      </font>
    </dxf>
    <dxf>
      <font>
        <b/>
        <i val="0"/>
        <color rgb="FFE87D1E"/>
      </font>
    </dxf>
    <dxf>
      <font>
        <b/>
        <i val="0"/>
        <color rgb="FFCDA8A9"/>
      </font>
    </dxf>
    <dxf>
      <font>
        <b/>
        <i val="0"/>
      </font>
    </dxf>
    <dxf>
      <font>
        <b/>
        <i val="0"/>
        <color theme="1"/>
      </font>
    </dxf>
    <dxf>
      <font>
        <color rgb="FF8A2529"/>
      </font>
    </dxf>
    <dxf>
      <font>
        <b/>
        <i val="0"/>
        <color rgb="FFCDA8A9"/>
      </font>
    </dxf>
    <dxf>
      <font>
        <b/>
        <i val="0"/>
        <color rgb="FF8A2529"/>
      </font>
    </dxf>
    <dxf>
      <font>
        <color rgb="FF8A2529"/>
      </font>
    </dxf>
    <dxf>
      <font>
        <b/>
        <i val="0"/>
        <color rgb="FFE87D1E"/>
      </font>
    </dxf>
    <dxf>
      <font>
        <b/>
        <i val="0"/>
        <color rgb="FFCDA8A9"/>
      </font>
    </dxf>
    <dxf>
      <font>
        <b/>
        <i val="0"/>
        <color rgb="FFE87D1E"/>
      </font>
    </dxf>
    <dxf>
      <font>
        <b/>
        <i val="0"/>
        <color rgb="FF8A2529"/>
      </font>
    </dxf>
    <dxf>
      <fill>
        <patternFill>
          <bgColor theme="0"/>
        </patternFill>
      </fill>
    </dxf>
    <dxf>
      <font>
        <b/>
        <i val="0"/>
        <color rgb="FF8A2529"/>
      </font>
    </dxf>
    <dxf>
      <font>
        <b/>
        <i val="0"/>
        <color auto="1"/>
      </font>
    </dxf>
    <dxf>
      <numFmt numFmtId="33" formatCode="_-* #,##0_-;\-* #,##0_-;_-* &quot;-&quot;_-;_-@_-"/>
    </dxf>
    <dxf>
      <font>
        <b val="0"/>
        <i val="0"/>
      </font>
    </dxf>
    <dxf>
      <font>
        <b val="0"/>
        <i val="0"/>
      </font>
    </dxf>
    <dxf>
      <font>
        <color rgb="FF8A2529"/>
      </font>
    </dxf>
    <dxf>
      <font>
        <b/>
        <i val="0"/>
        <color rgb="FFE87D1E"/>
      </font>
    </dxf>
    <dxf>
      <font>
        <b/>
        <i val="0"/>
        <color rgb="FFCDA8A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8A2529"/>
      </font>
    </dxf>
  </dxfs>
  <tableStyles count="0" defaultTableStyle="TableStyleMedium2" defaultPivotStyle="PivotStyleLight16"/>
  <colors>
    <mruColors>
      <color rgb="FFD4CEDE"/>
      <color rgb="FFD0A8A9"/>
      <color rgb="FFC7A7A6"/>
      <color rgb="FF104F75"/>
      <color rgb="FFD0A7A8"/>
      <color rgb="FFFFFFFF"/>
      <color rgb="FFF3ECCD"/>
      <color rgb="FFCFDABD"/>
      <color rgb="FFFAE5D2"/>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F$7" lockText="1" noThreeD="1"/>
</file>

<file path=xl/ctrlProps/ctrlProp10.xml><?xml version="1.0" encoding="utf-8"?>
<formControlPr xmlns="http://schemas.microsoft.com/office/spreadsheetml/2009/9/main" objectType="Radio" checked="Checked" firstButton="1" fmlaLink="$F$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F$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F$10"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checked="Checked" firstButton="1" fmlaLink="'Finance questions'!$F$5"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firstButton="1" fmlaLink="'Finance questions'!$F$5"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F$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6</xdr:row>
          <xdr:rowOff>342900</xdr:rowOff>
        </xdr:from>
        <xdr:to>
          <xdr:col>2</xdr:col>
          <xdr:colOff>793750</xdr:colOff>
          <xdr:row>6</xdr:row>
          <xdr:rowOff>641350</xdr:rowOff>
        </xdr:to>
        <xdr:sp macro="" textlink="">
          <xdr:nvSpPr>
            <xdr:cNvPr id="13322" name="Option Button 10" descr="yes"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6</xdr:row>
          <xdr:rowOff>374650</xdr:rowOff>
        </xdr:from>
        <xdr:to>
          <xdr:col>3</xdr:col>
          <xdr:colOff>1136650</xdr:colOff>
          <xdr:row>6</xdr:row>
          <xdr:rowOff>641350</xdr:rowOff>
        </xdr:to>
        <xdr:sp macro="" textlink="">
          <xdr:nvSpPr>
            <xdr:cNvPr id="13323" name="Option Button 11" descr="No"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6</xdr:row>
          <xdr:rowOff>190500</xdr:rowOff>
        </xdr:from>
        <xdr:to>
          <xdr:col>4</xdr:col>
          <xdr:colOff>0</xdr:colOff>
          <xdr:row>6</xdr:row>
          <xdr:rowOff>831850</xdr:rowOff>
        </xdr:to>
        <xdr:sp macro="" textlink="">
          <xdr:nvSpPr>
            <xdr:cNvPr id="13324" name="Group Box 12" hidden="1">
              <a:extLst>
                <a:ext uri="{63B3BB69-23CF-44E3-9099-C40C66FF867C}">
                  <a14:compatExt spid="_x0000_s13324"/>
                </a:ext>
                <a:ext uri="{FF2B5EF4-FFF2-40B4-BE49-F238E27FC236}">
                  <a16:creationId xmlns:a16="http://schemas.microsoft.com/office/drawing/2014/main" id="{00000000-0008-0000-0500-00000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7</xdr:row>
          <xdr:rowOff>381000</xdr:rowOff>
        </xdr:from>
        <xdr:to>
          <xdr:col>2</xdr:col>
          <xdr:colOff>793750</xdr:colOff>
          <xdr:row>7</xdr:row>
          <xdr:rowOff>679450</xdr:rowOff>
        </xdr:to>
        <xdr:sp macro="" textlink="">
          <xdr:nvSpPr>
            <xdr:cNvPr id="13325" name="Option Button 13" descr="Yes" hidden="1">
              <a:extLst>
                <a:ext uri="{63B3BB69-23CF-44E3-9099-C40C66FF867C}">
                  <a14:compatExt spid="_x0000_s13325"/>
                </a:ext>
                <a:ext uri="{FF2B5EF4-FFF2-40B4-BE49-F238E27FC236}">
                  <a16:creationId xmlns:a16="http://schemas.microsoft.com/office/drawing/2014/main" id="{00000000-0008-0000-05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412750</xdr:rowOff>
        </xdr:from>
        <xdr:to>
          <xdr:col>3</xdr:col>
          <xdr:colOff>1104900</xdr:colOff>
          <xdr:row>7</xdr:row>
          <xdr:rowOff>679450</xdr:rowOff>
        </xdr:to>
        <xdr:sp macro="" textlink="">
          <xdr:nvSpPr>
            <xdr:cNvPr id="13326" name="Option Button 14" descr="No" hidden="1">
              <a:extLst>
                <a:ext uri="{63B3BB69-23CF-44E3-9099-C40C66FF867C}">
                  <a14:compatExt spid="_x0000_s13326"/>
                </a:ext>
                <a:ext uri="{FF2B5EF4-FFF2-40B4-BE49-F238E27FC236}">
                  <a16:creationId xmlns:a16="http://schemas.microsoft.com/office/drawing/2014/main" id="{00000000-0008-0000-05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7</xdr:row>
          <xdr:rowOff>222250</xdr:rowOff>
        </xdr:from>
        <xdr:to>
          <xdr:col>4</xdr:col>
          <xdr:colOff>0</xdr:colOff>
          <xdr:row>7</xdr:row>
          <xdr:rowOff>869950</xdr:rowOff>
        </xdr:to>
        <xdr:sp macro="" textlink="">
          <xdr:nvSpPr>
            <xdr:cNvPr id="13327" name="Group Box 15" hidden="1">
              <a:extLst>
                <a:ext uri="{63B3BB69-23CF-44E3-9099-C40C66FF867C}">
                  <a14:compatExt spid="_x0000_s13327"/>
                </a:ext>
                <a:ext uri="{FF2B5EF4-FFF2-40B4-BE49-F238E27FC236}">
                  <a16:creationId xmlns:a16="http://schemas.microsoft.com/office/drawing/2014/main" id="{00000000-0008-0000-0500-00000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8</xdr:row>
          <xdr:rowOff>412750</xdr:rowOff>
        </xdr:from>
        <xdr:to>
          <xdr:col>2</xdr:col>
          <xdr:colOff>793750</xdr:colOff>
          <xdr:row>8</xdr:row>
          <xdr:rowOff>679450</xdr:rowOff>
        </xdr:to>
        <xdr:sp macro="" textlink="">
          <xdr:nvSpPr>
            <xdr:cNvPr id="13328" name="Option Button 16" descr="Yes" hidden="1">
              <a:extLst>
                <a:ext uri="{63B3BB69-23CF-44E3-9099-C40C66FF867C}">
                  <a14:compatExt spid="_x0000_s13328"/>
                </a:ext>
                <a:ext uri="{FF2B5EF4-FFF2-40B4-BE49-F238E27FC236}">
                  <a16:creationId xmlns:a16="http://schemas.microsoft.com/office/drawing/2014/main" id="{00000000-0008-0000-05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374650</xdr:rowOff>
        </xdr:from>
        <xdr:to>
          <xdr:col>3</xdr:col>
          <xdr:colOff>1104900</xdr:colOff>
          <xdr:row>8</xdr:row>
          <xdr:rowOff>641350</xdr:rowOff>
        </xdr:to>
        <xdr:sp macro="" textlink="">
          <xdr:nvSpPr>
            <xdr:cNvPr id="13329" name="Option Button 17" descr="No" hidden="1">
              <a:extLst>
                <a:ext uri="{63B3BB69-23CF-44E3-9099-C40C66FF867C}">
                  <a14:compatExt spid="_x0000_s13329"/>
                </a:ext>
                <a:ext uri="{FF2B5EF4-FFF2-40B4-BE49-F238E27FC236}">
                  <a16:creationId xmlns:a16="http://schemas.microsoft.com/office/drawing/2014/main" id="{00000000-0008-0000-05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8</xdr:row>
          <xdr:rowOff>184150</xdr:rowOff>
        </xdr:from>
        <xdr:to>
          <xdr:col>4</xdr:col>
          <xdr:colOff>0</xdr:colOff>
          <xdr:row>8</xdr:row>
          <xdr:rowOff>831850</xdr:rowOff>
        </xdr:to>
        <xdr:sp macro="" textlink="">
          <xdr:nvSpPr>
            <xdr:cNvPr id="13330" name="Group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5</xdr:row>
          <xdr:rowOff>342900</xdr:rowOff>
        </xdr:from>
        <xdr:to>
          <xdr:col>2</xdr:col>
          <xdr:colOff>831850</xdr:colOff>
          <xdr:row>5</xdr:row>
          <xdr:rowOff>641350</xdr:rowOff>
        </xdr:to>
        <xdr:sp macro="" textlink="">
          <xdr:nvSpPr>
            <xdr:cNvPr id="13332" name="Option Button 20" descr="Yes"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5</xdr:row>
          <xdr:rowOff>412750</xdr:rowOff>
        </xdr:from>
        <xdr:to>
          <xdr:col>3</xdr:col>
          <xdr:colOff>869950</xdr:colOff>
          <xdr:row>5</xdr:row>
          <xdr:rowOff>679450</xdr:rowOff>
        </xdr:to>
        <xdr:sp macro="" textlink="">
          <xdr:nvSpPr>
            <xdr:cNvPr id="13333" name="Option Button 21" descr="No"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5</xdr:row>
          <xdr:rowOff>222250</xdr:rowOff>
        </xdr:from>
        <xdr:to>
          <xdr:col>4</xdr:col>
          <xdr:colOff>0</xdr:colOff>
          <xdr:row>5</xdr:row>
          <xdr:rowOff>869950</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9</xdr:row>
          <xdr:rowOff>374650</xdr:rowOff>
        </xdr:from>
        <xdr:to>
          <xdr:col>3</xdr:col>
          <xdr:colOff>1104900</xdr:colOff>
          <xdr:row>9</xdr:row>
          <xdr:rowOff>641350</xdr:rowOff>
        </xdr:to>
        <xdr:sp macro="" textlink="">
          <xdr:nvSpPr>
            <xdr:cNvPr id="13336" name="Option Button 24" descr="No"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184150</xdr:rowOff>
        </xdr:from>
        <xdr:to>
          <xdr:col>4</xdr:col>
          <xdr:colOff>0</xdr:colOff>
          <xdr:row>9</xdr:row>
          <xdr:rowOff>831850</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11</xdr:row>
          <xdr:rowOff>114300</xdr:rowOff>
        </xdr:from>
        <xdr:to>
          <xdr:col>2</xdr:col>
          <xdr:colOff>717550</xdr:colOff>
          <xdr:row>11</xdr:row>
          <xdr:rowOff>342900</xdr:rowOff>
        </xdr:to>
        <xdr:sp macro="" textlink="">
          <xdr:nvSpPr>
            <xdr:cNvPr id="13343" name="Option Button 31" descr="Not applicable" hidden="1">
              <a:extLst>
                <a:ext uri="{63B3BB69-23CF-44E3-9099-C40C66FF867C}">
                  <a14:compatExt spid="_x0000_s13343"/>
                </a:ext>
                <a:ext uri="{FF2B5EF4-FFF2-40B4-BE49-F238E27FC236}">
                  <a16:creationId xmlns:a16="http://schemas.microsoft.com/office/drawing/2014/main" id="{00000000-0008-0000-05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12</xdr:row>
          <xdr:rowOff>184150</xdr:rowOff>
        </xdr:from>
        <xdr:to>
          <xdr:col>2</xdr:col>
          <xdr:colOff>755650</xdr:colOff>
          <xdr:row>12</xdr:row>
          <xdr:rowOff>304800</xdr:rowOff>
        </xdr:to>
        <xdr:sp macro="" textlink="">
          <xdr:nvSpPr>
            <xdr:cNvPr id="13344" name="Option Button 32" descr="None pooled" hidden="1">
              <a:extLst>
                <a:ext uri="{63B3BB69-23CF-44E3-9099-C40C66FF867C}">
                  <a14:compatExt spid="_x0000_s13344"/>
                </a:ext>
                <a:ext uri="{FF2B5EF4-FFF2-40B4-BE49-F238E27FC236}">
                  <a16:creationId xmlns:a16="http://schemas.microsoft.com/office/drawing/2014/main" id="{00000000-0008-0000-05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13</xdr:row>
          <xdr:rowOff>146050</xdr:rowOff>
        </xdr:from>
        <xdr:to>
          <xdr:col>2</xdr:col>
          <xdr:colOff>1479550</xdr:colOff>
          <xdr:row>13</xdr:row>
          <xdr:rowOff>342900</xdr:rowOff>
        </xdr:to>
        <xdr:sp macro="" textlink="">
          <xdr:nvSpPr>
            <xdr:cNvPr id="13345" name="Option Button 33" descr="All pooled" hidden="1">
              <a:extLst>
                <a:ext uri="{63B3BB69-23CF-44E3-9099-C40C66FF867C}">
                  <a14:compatExt spid="_x0000_s13345"/>
                </a:ext>
                <a:ext uri="{FF2B5EF4-FFF2-40B4-BE49-F238E27FC236}">
                  <a16:creationId xmlns:a16="http://schemas.microsoft.com/office/drawing/2014/main" id="{00000000-0008-0000-05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14</xdr:row>
          <xdr:rowOff>107950</xdr:rowOff>
        </xdr:from>
        <xdr:to>
          <xdr:col>2</xdr:col>
          <xdr:colOff>1441450</xdr:colOff>
          <xdr:row>14</xdr:row>
          <xdr:rowOff>336550</xdr:rowOff>
        </xdr:to>
        <xdr:sp macro="" textlink="">
          <xdr:nvSpPr>
            <xdr:cNvPr id="13346" name="Option Button 34" descr="Partially pooled"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15</xdr:row>
          <xdr:rowOff>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FQ6</a:t>
              </a:r>
            </a:p>
          </xdr:txBody>
        </xdr:sp>
        <xdr:clientData/>
      </xdr:twoCellAnchor>
    </mc:Choice>
    <mc:Fallback/>
  </mc:AlternateContent>
  <xdr:twoCellAnchor>
    <xdr:from>
      <xdr:col>2</xdr:col>
      <xdr:colOff>812800</xdr:colOff>
      <xdr:row>5</xdr:row>
      <xdr:rowOff>355600</xdr:rowOff>
    </xdr:from>
    <xdr:to>
      <xdr:col>2</xdr:col>
      <xdr:colOff>1530350</xdr:colOff>
      <xdr:row>5</xdr:row>
      <xdr:rowOff>742950</xdr:rowOff>
    </xdr:to>
    <xdr:sp macro="" textlink="">
      <xdr:nvSpPr>
        <xdr:cNvPr id="2" name="TextBox 1">
          <a:extLst>
            <a:ext uri="{FF2B5EF4-FFF2-40B4-BE49-F238E27FC236}">
              <a16:creationId xmlns:a16="http://schemas.microsoft.com/office/drawing/2014/main" id="{485E63CF-D59A-61EF-4650-D6461E2400AF}"/>
            </a:ext>
          </a:extLst>
        </xdr:cNvPr>
        <xdr:cNvSpPr txBox="1"/>
      </xdr:nvSpPr>
      <xdr:spPr>
        <a:xfrm>
          <a:off x="11830050" y="326390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448734</xdr:colOff>
      <xdr:row>5</xdr:row>
      <xdr:rowOff>338667</xdr:rowOff>
    </xdr:from>
    <xdr:to>
      <xdr:col>2</xdr:col>
      <xdr:colOff>753534</xdr:colOff>
      <xdr:row>5</xdr:row>
      <xdr:rowOff>651934</xdr:rowOff>
    </xdr:to>
    <xdr:sp macro="" textlink="">
      <xdr:nvSpPr>
        <xdr:cNvPr id="4" name="Flowchart: Connector 3">
          <a:extLst>
            <a:ext uri="{FF2B5EF4-FFF2-40B4-BE49-F238E27FC236}">
              <a16:creationId xmlns:a16="http://schemas.microsoft.com/office/drawing/2014/main" id="{1499813B-5431-B680-F2A0-B0BC18540E93}"/>
            </a:ext>
          </a:extLst>
        </xdr:cNvPr>
        <xdr:cNvSpPr/>
      </xdr:nvSpPr>
      <xdr:spPr>
        <a:xfrm>
          <a:off x="9821334" y="3429000"/>
          <a:ext cx="304800" cy="313267"/>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2</xdr:col>
          <xdr:colOff>527050</xdr:colOff>
          <xdr:row>9</xdr:row>
          <xdr:rowOff>412750</xdr:rowOff>
        </xdr:from>
        <xdr:to>
          <xdr:col>2</xdr:col>
          <xdr:colOff>755650</xdr:colOff>
          <xdr:row>9</xdr:row>
          <xdr:rowOff>679450</xdr:rowOff>
        </xdr:to>
        <xdr:sp macro="" textlink="">
          <xdr:nvSpPr>
            <xdr:cNvPr id="13349" name="Option Button 37" descr="Yes"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440266</xdr:colOff>
      <xdr:row>6</xdr:row>
      <xdr:rowOff>342900</xdr:rowOff>
    </xdr:from>
    <xdr:to>
      <xdr:col>2</xdr:col>
      <xdr:colOff>761999</xdr:colOff>
      <xdr:row>6</xdr:row>
      <xdr:rowOff>651933</xdr:rowOff>
    </xdr:to>
    <xdr:sp macro="" textlink="">
      <xdr:nvSpPr>
        <xdr:cNvPr id="5" name="Flowchart: Connector 4">
          <a:extLst>
            <a:ext uri="{FF2B5EF4-FFF2-40B4-BE49-F238E27FC236}">
              <a16:creationId xmlns:a16="http://schemas.microsoft.com/office/drawing/2014/main" id="{8630E118-A083-4099-874C-88382C776C4F}"/>
            </a:ext>
          </a:extLst>
        </xdr:cNvPr>
        <xdr:cNvSpPr/>
      </xdr:nvSpPr>
      <xdr:spPr>
        <a:xfrm>
          <a:off x="9812866" y="4389967"/>
          <a:ext cx="321733" cy="309033"/>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457201</xdr:colOff>
      <xdr:row>7</xdr:row>
      <xdr:rowOff>372533</xdr:rowOff>
    </xdr:from>
    <xdr:to>
      <xdr:col>2</xdr:col>
      <xdr:colOff>762001</xdr:colOff>
      <xdr:row>7</xdr:row>
      <xdr:rowOff>702732</xdr:rowOff>
    </xdr:to>
    <xdr:sp macro="" textlink="">
      <xdr:nvSpPr>
        <xdr:cNvPr id="6" name="Flowchart: Connector 5">
          <a:extLst>
            <a:ext uri="{FF2B5EF4-FFF2-40B4-BE49-F238E27FC236}">
              <a16:creationId xmlns:a16="http://schemas.microsoft.com/office/drawing/2014/main" id="{140FCDF9-6356-4F2F-8F2A-89FD8276AEC1}"/>
            </a:ext>
          </a:extLst>
        </xdr:cNvPr>
        <xdr:cNvSpPr/>
      </xdr:nvSpPr>
      <xdr:spPr>
        <a:xfrm>
          <a:off x="9829801" y="5334000"/>
          <a:ext cx="304800" cy="330199"/>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457200</xdr:colOff>
      <xdr:row>8</xdr:row>
      <xdr:rowOff>393700</xdr:rowOff>
    </xdr:from>
    <xdr:to>
      <xdr:col>2</xdr:col>
      <xdr:colOff>787400</xdr:colOff>
      <xdr:row>8</xdr:row>
      <xdr:rowOff>682625</xdr:rowOff>
    </xdr:to>
    <xdr:sp macro="" textlink="">
      <xdr:nvSpPr>
        <xdr:cNvPr id="7" name="Flowchart: Connector 6">
          <a:extLst>
            <a:ext uri="{FF2B5EF4-FFF2-40B4-BE49-F238E27FC236}">
              <a16:creationId xmlns:a16="http://schemas.microsoft.com/office/drawing/2014/main" id="{A0269B19-2806-4BA3-B321-7E85294744DA}"/>
            </a:ext>
          </a:extLst>
        </xdr:cNvPr>
        <xdr:cNvSpPr/>
      </xdr:nvSpPr>
      <xdr:spPr>
        <a:xfrm>
          <a:off x="11468100" y="6102350"/>
          <a:ext cx="330200" cy="2889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448733</xdr:colOff>
      <xdr:row>9</xdr:row>
      <xdr:rowOff>389466</xdr:rowOff>
    </xdr:from>
    <xdr:to>
      <xdr:col>2</xdr:col>
      <xdr:colOff>793750</xdr:colOff>
      <xdr:row>9</xdr:row>
      <xdr:rowOff>711200</xdr:rowOff>
    </xdr:to>
    <xdr:sp macro="" textlink="">
      <xdr:nvSpPr>
        <xdr:cNvPr id="8" name="Flowchart: Connector 7">
          <a:extLst>
            <a:ext uri="{FF2B5EF4-FFF2-40B4-BE49-F238E27FC236}">
              <a16:creationId xmlns:a16="http://schemas.microsoft.com/office/drawing/2014/main" id="{4F8204D2-FBB2-409E-8DE6-A96A79E85147}"/>
            </a:ext>
          </a:extLst>
        </xdr:cNvPr>
        <xdr:cNvSpPr/>
      </xdr:nvSpPr>
      <xdr:spPr>
        <a:xfrm>
          <a:off x="9821333" y="7230533"/>
          <a:ext cx="345017" cy="3217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806450</xdr:colOff>
      <xdr:row>6</xdr:row>
      <xdr:rowOff>336550</xdr:rowOff>
    </xdr:from>
    <xdr:to>
      <xdr:col>2</xdr:col>
      <xdr:colOff>1524000</xdr:colOff>
      <xdr:row>6</xdr:row>
      <xdr:rowOff>723900</xdr:rowOff>
    </xdr:to>
    <xdr:sp macro="" textlink="">
      <xdr:nvSpPr>
        <xdr:cNvPr id="9" name="TextBox 8">
          <a:extLst>
            <a:ext uri="{FF2B5EF4-FFF2-40B4-BE49-F238E27FC236}">
              <a16:creationId xmlns:a16="http://schemas.microsoft.com/office/drawing/2014/main" id="{22E29025-F542-4CD8-B3BB-D0C57532D9DE}"/>
            </a:ext>
          </a:extLst>
        </xdr:cNvPr>
        <xdr:cNvSpPr txBox="1"/>
      </xdr:nvSpPr>
      <xdr:spPr>
        <a:xfrm>
          <a:off x="11817350" y="420370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812800</xdr:colOff>
      <xdr:row>7</xdr:row>
      <xdr:rowOff>342900</xdr:rowOff>
    </xdr:from>
    <xdr:to>
      <xdr:col>2</xdr:col>
      <xdr:colOff>1530350</xdr:colOff>
      <xdr:row>7</xdr:row>
      <xdr:rowOff>730250</xdr:rowOff>
    </xdr:to>
    <xdr:sp macro="" textlink="">
      <xdr:nvSpPr>
        <xdr:cNvPr id="10" name="TextBox 9">
          <a:extLst>
            <a:ext uri="{FF2B5EF4-FFF2-40B4-BE49-F238E27FC236}">
              <a16:creationId xmlns:a16="http://schemas.microsoft.com/office/drawing/2014/main" id="{ACB9085E-2B8A-4AAA-AAE7-C6CFB599B41C}"/>
            </a:ext>
          </a:extLst>
        </xdr:cNvPr>
        <xdr:cNvSpPr txBox="1"/>
      </xdr:nvSpPr>
      <xdr:spPr>
        <a:xfrm>
          <a:off x="11823700" y="51244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819150</xdr:colOff>
      <xdr:row>8</xdr:row>
      <xdr:rowOff>381000</xdr:rowOff>
    </xdr:from>
    <xdr:to>
      <xdr:col>2</xdr:col>
      <xdr:colOff>1536700</xdr:colOff>
      <xdr:row>8</xdr:row>
      <xdr:rowOff>768350</xdr:rowOff>
    </xdr:to>
    <xdr:sp macro="" textlink="">
      <xdr:nvSpPr>
        <xdr:cNvPr id="11" name="TextBox 10">
          <a:extLst>
            <a:ext uri="{FF2B5EF4-FFF2-40B4-BE49-F238E27FC236}">
              <a16:creationId xmlns:a16="http://schemas.microsoft.com/office/drawing/2014/main" id="{F491667F-DDE9-4A79-BBEB-E4CBEB5F0302}"/>
            </a:ext>
          </a:extLst>
        </xdr:cNvPr>
        <xdr:cNvSpPr txBox="1"/>
      </xdr:nvSpPr>
      <xdr:spPr>
        <a:xfrm>
          <a:off x="11830050" y="60896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806450</xdr:colOff>
      <xdr:row>9</xdr:row>
      <xdr:rowOff>387350</xdr:rowOff>
    </xdr:from>
    <xdr:to>
      <xdr:col>2</xdr:col>
      <xdr:colOff>1524000</xdr:colOff>
      <xdr:row>9</xdr:row>
      <xdr:rowOff>774700</xdr:rowOff>
    </xdr:to>
    <xdr:sp macro="" textlink="">
      <xdr:nvSpPr>
        <xdr:cNvPr id="12" name="TextBox 11">
          <a:extLst>
            <a:ext uri="{FF2B5EF4-FFF2-40B4-BE49-F238E27FC236}">
              <a16:creationId xmlns:a16="http://schemas.microsoft.com/office/drawing/2014/main" id="{9EB747F9-3CA6-4290-8332-25A1108A454A}"/>
            </a:ext>
          </a:extLst>
        </xdr:cNvPr>
        <xdr:cNvSpPr txBox="1"/>
      </xdr:nvSpPr>
      <xdr:spPr>
        <a:xfrm>
          <a:off x="11817350" y="70421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3</xdr:col>
      <xdr:colOff>787400</xdr:colOff>
      <xdr:row>5</xdr:row>
      <xdr:rowOff>361950</xdr:rowOff>
    </xdr:from>
    <xdr:to>
      <xdr:col>3</xdr:col>
      <xdr:colOff>1625600</xdr:colOff>
      <xdr:row>5</xdr:row>
      <xdr:rowOff>749300</xdr:rowOff>
    </xdr:to>
    <xdr:sp macro="" textlink="">
      <xdr:nvSpPr>
        <xdr:cNvPr id="13" name="TextBox 12">
          <a:extLst>
            <a:ext uri="{FF2B5EF4-FFF2-40B4-BE49-F238E27FC236}">
              <a16:creationId xmlns:a16="http://schemas.microsoft.com/office/drawing/2014/main" id="{A0C30209-9D80-4A05-BA69-944F340F901C}"/>
            </a:ext>
          </a:extLst>
        </xdr:cNvPr>
        <xdr:cNvSpPr txBox="1"/>
      </xdr:nvSpPr>
      <xdr:spPr>
        <a:xfrm>
          <a:off x="13785850" y="327025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819150</xdr:colOff>
      <xdr:row>9</xdr:row>
      <xdr:rowOff>355600</xdr:rowOff>
    </xdr:from>
    <xdr:to>
      <xdr:col>3</xdr:col>
      <xdr:colOff>1657350</xdr:colOff>
      <xdr:row>9</xdr:row>
      <xdr:rowOff>742950</xdr:rowOff>
    </xdr:to>
    <xdr:sp macro="" textlink="">
      <xdr:nvSpPr>
        <xdr:cNvPr id="14" name="TextBox 13">
          <a:extLst>
            <a:ext uri="{FF2B5EF4-FFF2-40B4-BE49-F238E27FC236}">
              <a16:creationId xmlns:a16="http://schemas.microsoft.com/office/drawing/2014/main" id="{A45C1DEA-968A-4459-B06D-F03CD1387029}"/>
            </a:ext>
          </a:extLst>
        </xdr:cNvPr>
        <xdr:cNvSpPr txBox="1"/>
      </xdr:nvSpPr>
      <xdr:spPr>
        <a:xfrm>
          <a:off x="13817600" y="701040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850900</xdr:colOff>
      <xdr:row>8</xdr:row>
      <xdr:rowOff>349250</xdr:rowOff>
    </xdr:from>
    <xdr:to>
      <xdr:col>3</xdr:col>
      <xdr:colOff>1689100</xdr:colOff>
      <xdr:row>8</xdr:row>
      <xdr:rowOff>736600</xdr:rowOff>
    </xdr:to>
    <xdr:sp macro="" textlink="">
      <xdr:nvSpPr>
        <xdr:cNvPr id="15" name="TextBox 14">
          <a:extLst>
            <a:ext uri="{FF2B5EF4-FFF2-40B4-BE49-F238E27FC236}">
              <a16:creationId xmlns:a16="http://schemas.microsoft.com/office/drawing/2014/main" id="{F8CAD99F-7AC8-449E-998F-6159329775B0}"/>
            </a:ext>
          </a:extLst>
        </xdr:cNvPr>
        <xdr:cNvSpPr txBox="1"/>
      </xdr:nvSpPr>
      <xdr:spPr>
        <a:xfrm>
          <a:off x="13849350" y="605790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787400</xdr:colOff>
      <xdr:row>7</xdr:row>
      <xdr:rowOff>368300</xdr:rowOff>
    </xdr:from>
    <xdr:to>
      <xdr:col>3</xdr:col>
      <xdr:colOff>1663700</xdr:colOff>
      <xdr:row>7</xdr:row>
      <xdr:rowOff>755650</xdr:rowOff>
    </xdr:to>
    <xdr:sp macro="" textlink="">
      <xdr:nvSpPr>
        <xdr:cNvPr id="16" name="TextBox 15">
          <a:extLst>
            <a:ext uri="{FF2B5EF4-FFF2-40B4-BE49-F238E27FC236}">
              <a16:creationId xmlns:a16="http://schemas.microsoft.com/office/drawing/2014/main" id="{70201CED-7C43-4E1D-8F83-AF7662AD5C97}"/>
            </a:ext>
          </a:extLst>
        </xdr:cNvPr>
        <xdr:cNvSpPr txBox="1"/>
      </xdr:nvSpPr>
      <xdr:spPr>
        <a:xfrm>
          <a:off x="12107333" y="5329767"/>
          <a:ext cx="8763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812800</xdr:colOff>
      <xdr:row>6</xdr:row>
      <xdr:rowOff>342900</xdr:rowOff>
    </xdr:from>
    <xdr:to>
      <xdr:col>3</xdr:col>
      <xdr:colOff>1651000</xdr:colOff>
      <xdr:row>6</xdr:row>
      <xdr:rowOff>730250</xdr:rowOff>
    </xdr:to>
    <xdr:sp macro="" textlink="">
      <xdr:nvSpPr>
        <xdr:cNvPr id="17" name="TextBox 16">
          <a:extLst>
            <a:ext uri="{FF2B5EF4-FFF2-40B4-BE49-F238E27FC236}">
              <a16:creationId xmlns:a16="http://schemas.microsoft.com/office/drawing/2014/main" id="{EB94964B-2F13-439D-BBC0-006878F85D21}"/>
            </a:ext>
          </a:extLst>
        </xdr:cNvPr>
        <xdr:cNvSpPr txBox="1"/>
      </xdr:nvSpPr>
      <xdr:spPr>
        <a:xfrm>
          <a:off x="13811250" y="421005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457200</xdr:colOff>
      <xdr:row>5</xdr:row>
      <xdr:rowOff>381000</xdr:rowOff>
    </xdr:from>
    <xdr:to>
      <xdr:col>3</xdr:col>
      <xdr:colOff>762000</xdr:colOff>
      <xdr:row>5</xdr:row>
      <xdr:rowOff>702734</xdr:rowOff>
    </xdr:to>
    <xdr:sp macro="" textlink="">
      <xdr:nvSpPr>
        <xdr:cNvPr id="19" name="Flowchart: Connector 18">
          <a:extLst>
            <a:ext uri="{FF2B5EF4-FFF2-40B4-BE49-F238E27FC236}">
              <a16:creationId xmlns:a16="http://schemas.microsoft.com/office/drawing/2014/main" id="{C4E77A7B-0C63-410F-A18F-282F2F2ADD49}"/>
            </a:ext>
          </a:extLst>
        </xdr:cNvPr>
        <xdr:cNvSpPr/>
      </xdr:nvSpPr>
      <xdr:spPr>
        <a:xfrm>
          <a:off x="11777133" y="3471333"/>
          <a:ext cx="304800" cy="3217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440266</xdr:colOff>
      <xdr:row>6</xdr:row>
      <xdr:rowOff>347133</xdr:rowOff>
    </xdr:from>
    <xdr:to>
      <xdr:col>3</xdr:col>
      <xdr:colOff>753533</xdr:colOff>
      <xdr:row>6</xdr:row>
      <xdr:rowOff>677332</xdr:rowOff>
    </xdr:to>
    <xdr:sp macro="" textlink="">
      <xdr:nvSpPr>
        <xdr:cNvPr id="20" name="Flowchart: Connector 19">
          <a:extLst>
            <a:ext uri="{FF2B5EF4-FFF2-40B4-BE49-F238E27FC236}">
              <a16:creationId xmlns:a16="http://schemas.microsoft.com/office/drawing/2014/main" id="{CC43A946-CC1A-4177-9B96-EFE5E3B1C334}"/>
            </a:ext>
          </a:extLst>
        </xdr:cNvPr>
        <xdr:cNvSpPr/>
      </xdr:nvSpPr>
      <xdr:spPr>
        <a:xfrm>
          <a:off x="11760199" y="4394200"/>
          <a:ext cx="313267" cy="330199"/>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465667</xdr:colOff>
      <xdr:row>7</xdr:row>
      <xdr:rowOff>381000</xdr:rowOff>
    </xdr:from>
    <xdr:to>
      <xdr:col>3</xdr:col>
      <xdr:colOff>800100</xdr:colOff>
      <xdr:row>7</xdr:row>
      <xdr:rowOff>719666</xdr:rowOff>
    </xdr:to>
    <xdr:sp macro="" textlink="">
      <xdr:nvSpPr>
        <xdr:cNvPr id="21" name="Flowchart: Connector 20">
          <a:extLst>
            <a:ext uri="{FF2B5EF4-FFF2-40B4-BE49-F238E27FC236}">
              <a16:creationId xmlns:a16="http://schemas.microsoft.com/office/drawing/2014/main" id="{A5B960FA-1F67-4CB1-B674-56A6E595EBAD}"/>
            </a:ext>
          </a:extLst>
        </xdr:cNvPr>
        <xdr:cNvSpPr/>
      </xdr:nvSpPr>
      <xdr:spPr>
        <a:xfrm>
          <a:off x="11785600" y="5342467"/>
          <a:ext cx="334433" cy="338666"/>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463550</xdr:colOff>
      <xdr:row>8</xdr:row>
      <xdr:rowOff>368300</xdr:rowOff>
    </xdr:from>
    <xdr:to>
      <xdr:col>3</xdr:col>
      <xdr:colOff>793750</xdr:colOff>
      <xdr:row>8</xdr:row>
      <xdr:rowOff>657225</xdr:rowOff>
    </xdr:to>
    <xdr:sp macro="" textlink="">
      <xdr:nvSpPr>
        <xdr:cNvPr id="22" name="Flowchart: Connector 21">
          <a:extLst>
            <a:ext uri="{FF2B5EF4-FFF2-40B4-BE49-F238E27FC236}">
              <a16:creationId xmlns:a16="http://schemas.microsoft.com/office/drawing/2014/main" id="{8A4AB089-957A-4726-BE74-BAFDDCBE67D7}"/>
            </a:ext>
          </a:extLst>
        </xdr:cNvPr>
        <xdr:cNvSpPr/>
      </xdr:nvSpPr>
      <xdr:spPr>
        <a:xfrm>
          <a:off x="13462000" y="6076950"/>
          <a:ext cx="330200" cy="2889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465667</xdr:colOff>
      <xdr:row>9</xdr:row>
      <xdr:rowOff>355600</xdr:rowOff>
    </xdr:from>
    <xdr:to>
      <xdr:col>3</xdr:col>
      <xdr:colOff>778934</xdr:colOff>
      <xdr:row>9</xdr:row>
      <xdr:rowOff>660400</xdr:rowOff>
    </xdr:to>
    <xdr:sp macro="" textlink="">
      <xdr:nvSpPr>
        <xdr:cNvPr id="23" name="Flowchart: Connector 22">
          <a:extLst>
            <a:ext uri="{FF2B5EF4-FFF2-40B4-BE49-F238E27FC236}">
              <a16:creationId xmlns:a16="http://schemas.microsoft.com/office/drawing/2014/main" id="{72FFDA2F-1EBD-44A4-860B-FD74D27F4311}"/>
            </a:ext>
          </a:extLst>
        </xdr:cNvPr>
        <xdr:cNvSpPr/>
      </xdr:nvSpPr>
      <xdr:spPr>
        <a:xfrm>
          <a:off x="11785600" y="7196667"/>
          <a:ext cx="313267" cy="3048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270933</xdr:colOff>
      <xdr:row>11</xdr:row>
      <xdr:rowOff>118533</xdr:rowOff>
    </xdr:from>
    <xdr:to>
      <xdr:col>2</xdr:col>
      <xdr:colOff>592667</xdr:colOff>
      <xdr:row>11</xdr:row>
      <xdr:rowOff>347133</xdr:rowOff>
    </xdr:to>
    <xdr:sp macro="" textlink="">
      <xdr:nvSpPr>
        <xdr:cNvPr id="3" name="Flowchart: Connector 2">
          <a:extLst>
            <a:ext uri="{FF2B5EF4-FFF2-40B4-BE49-F238E27FC236}">
              <a16:creationId xmlns:a16="http://schemas.microsoft.com/office/drawing/2014/main" id="{B1302162-1378-43C1-9F31-DDE6520AC4E3}"/>
            </a:ext>
          </a:extLst>
        </xdr:cNvPr>
        <xdr:cNvSpPr/>
      </xdr:nvSpPr>
      <xdr:spPr>
        <a:xfrm>
          <a:off x="9643533" y="8737600"/>
          <a:ext cx="321734" cy="2286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599405</xdr:colOff>
      <xdr:row>11</xdr:row>
      <xdr:rowOff>70899</xdr:rowOff>
    </xdr:from>
    <xdr:to>
      <xdr:col>2</xdr:col>
      <xdr:colOff>1976364</xdr:colOff>
      <xdr:row>12</xdr:row>
      <xdr:rowOff>1049</xdr:rowOff>
    </xdr:to>
    <xdr:sp macro="" textlink="">
      <xdr:nvSpPr>
        <xdr:cNvPr id="18" name="TextBox 17">
          <a:extLst>
            <a:ext uri="{FF2B5EF4-FFF2-40B4-BE49-F238E27FC236}">
              <a16:creationId xmlns:a16="http://schemas.microsoft.com/office/drawing/2014/main" id="{888B27F0-3145-6E69-C488-B68D7F7A2624}"/>
            </a:ext>
          </a:extLst>
        </xdr:cNvPr>
        <xdr:cNvSpPr txBox="1"/>
      </xdr:nvSpPr>
      <xdr:spPr>
        <a:xfrm>
          <a:off x="10130231" y="8675440"/>
          <a:ext cx="1376959" cy="308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Not applicable</a:t>
          </a:r>
        </a:p>
      </xdr:txBody>
    </xdr:sp>
    <xdr:clientData/>
  </xdr:twoCellAnchor>
  <xdr:twoCellAnchor>
    <xdr:from>
      <xdr:col>2</xdr:col>
      <xdr:colOff>600046</xdr:colOff>
      <xdr:row>12</xdr:row>
      <xdr:rowOff>52431</xdr:rowOff>
    </xdr:from>
    <xdr:to>
      <xdr:col>2</xdr:col>
      <xdr:colOff>1977996</xdr:colOff>
      <xdr:row>12</xdr:row>
      <xdr:rowOff>363581</xdr:rowOff>
    </xdr:to>
    <xdr:sp macro="" textlink="">
      <xdr:nvSpPr>
        <xdr:cNvPr id="24" name="TextBox 23">
          <a:extLst>
            <a:ext uri="{FF2B5EF4-FFF2-40B4-BE49-F238E27FC236}">
              <a16:creationId xmlns:a16="http://schemas.microsoft.com/office/drawing/2014/main" id="{8E73164E-7624-47F9-90B1-20307EFEF323}"/>
            </a:ext>
          </a:extLst>
        </xdr:cNvPr>
        <xdr:cNvSpPr txBox="1"/>
      </xdr:nvSpPr>
      <xdr:spPr>
        <a:xfrm>
          <a:off x="10130872" y="9035642"/>
          <a:ext cx="1377950"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None</a:t>
          </a:r>
          <a:r>
            <a:rPr lang="en-GB" sz="1400" baseline="0"/>
            <a:t> pooled</a:t>
          </a:r>
          <a:endParaRPr lang="en-GB" sz="1400"/>
        </a:p>
      </xdr:txBody>
    </xdr:sp>
    <xdr:clientData/>
  </xdr:twoCellAnchor>
  <xdr:twoCellAnchor>
    <xdr:from>
      <xdr:col>2</xdr:col>
      <xdr:colOff>606803</xdr:colOff>
      <xdr:row>13</xdr:row>
      <xdr:rowOff>53364</xdr:rowOff>
    </xdr:from>
    <xdr:to>
      <xdr:col>2</xdr:col>
      <xdr:colOff>1984753</xdr:colOff>
      <xdr:row>13</xdr:row>
      <xdr:rowOff>366961</xdr:rowOff>
    </xdr:to>
    <xdr:sp macro="" textlink="">
      <xdr:nvSpPr>
        <xdr:cNvPr id="25" name="TextBox 24">
          <a:extLst>
            <a:ext uri="{FF2B5EF4-FFF2-40B4-BE49-F238E27FC236}">
              <a16:creationId xmlns:a16="http://schemas.microsoft.com/office/drawing/2014/main" id="{9B355EC9-C2B1-4807-9EDE-3D017E51DC5A}"/>
            </a:ext>
          </a:extLst>
        </xdr:cNvPr>
        <xdr:cNvSpPr txBox="1"/>
      </xdr:nvSpPr>
      <xdr:spPr>
        <a:xfrm>
          <a:off x="10137629" y="9415245"/>
          <a:ext cx="1377950" cy="31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All</a:t>
          </a:r>
          <a:r>
            <a:rPr lang="en-GB" sz="1400" baseline="0"/>
            <a:t> pooled</a:t>
          </a:r>
          <a:endParaRPr lang="en-GB" sz="1400"/>
        </a:p>
      </xdr:txBody>
    </xdr:sp>
    <xdr:clientData/>
  </xdr:twoCellAnchor>
  <xdr:twoCellAnchor>
    <xdr:from>
      <xdr:col>2</xdr:col>
      <xdr:colOff>584432</xdr:colOff>
      <xdr:row>14</xdr:row>
      <xdr:rowOff>42644</xdr:rowOff>
    </xdr:from>
    <xdr:to>
      <xdr:col>3</xdr:col>
      <xdr:colOff>180975</xdr:colOff>
      <xdr:row>14</xdr:row>
      <xdr:rowOff>356241</xdr:rowOff>
    </xdr:to>
    <xdr:sp macro="" textlink="">
      <xdr:nvSpPr>
        <xdr:cNvPr id="26" name="TextBox 25">
          <a:extLst>
            <a:ext uri="{FF2B5EF4-FFF2-40B4-BE49-F238E27FC236}">
              <a16:creationId xmlns:a16="http://schemas.microsoft.com/office/drawing/2014/main" id="{2CF9EC3C-F57C-4CE5-B76D-73A722DE9490}"/>
            </a:ext>
          </a:extLst>
        </xdr:cNvPr>
        <xdr:cNvSpPr txBox="1"/>
      </xdr:nvSpPr>
      <xdr:spPr>
        <a:xfrm>
          <a:off x="9709382" y="9767669"/>
          <a:ext cx="1492018" cy="31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Partially pooled</a:t>
          </a:r>
        </a:p>
      </xdr:txBody>
    </xdr:sp>
    <xdr:clientData/>
  </xdr:twoCellAnchor>
  <xdr:twoCellAnchor>
    <xdr:from>
      <xdr:col>2</xdr:col>
      <xdr:colOff>267458</xdr:colOff>
      <xdr:row>12</xdr:row>
      <xdr:rowOff>118532</xdr:rowOff>
    </xdr:from>
    <xdr:to>
      <xdr:col>2</xdr:col>
      <xdr:colOff>597658</xdr:colOff>
      <xdr:row>12</xdr:row>
      <xdr:rowOff>347133</xdr:rowOff>
    </xdr:to>
    <xdr:sp macro="" textlink="">
      <xdr:nvSpPr>
        <xdr:cNvPr id="27" name="Flowchart: Connector 26">
          <a:extLst>
            <a:ext uri="{FF2B5EF4-FFF2-40B4-BE49-F238E27FC236}">
              <a16:creationId xmlns:a16="http://schemas.microsoft.com/office/drawing/2014/main" id="{472638C0-E3BB-4167-91E8-5332B2611910}"/>
            </a:ext>
          </a:extLst>
        </xdr:cNvPr>
        <xdr:cNvSpPr/>
      </xdr:nvSpPr>
      <xdr:spPr>
        <a:xfrm>
          <a:off x="9640058" y="9118599"/>
          <a:ext cx="330200" cy="228601"/>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274216</xdr:colOff>
      <xdr:row>13</xdr:row>
      <xdr:rowOff>110067</xdr:rowOff>
    </xdr:from>
    <xdr:to>
      <xdr:col>2</xdr:col>
      <xdr:colOff>604416</xdr:colOff>
      <xdr:row>13</xdr:row>
      <xdr:rowOff>355601</xdr:rowOff>
    </xdr:to>
    <xdr:sp macro="" textlink="">
      <xdr:nvSpPr>
        <xdr:cNvPr id="28" name="Flowchart: Connector 27">
          <a:extLst>
            <a:ext uri="{FF2B5EF4-FFF2-40B4-BE49-F238E27FC236}">
              <a16:creationId xmlns:a16="http://schemas.microsoft.com/office/drawing/2014/main" id="{E1735075-F568-4CC5-9DB3-069953240BBC}"/>
            </a:ext>
          </a:extLst>
        </xdr:cNvPr>
        <xdr:cNvSpPr/>
      </xdr:nvSpPr>
      <xdr:spPr>
        <a:xfrm>
          <a:off x="9646816" y="9491134"/>
          <a:ext cx="330200" cy="2455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270934</xdr:colOff>
      <xdr:row>14</xdr:row>
      <xdr:rowOff>67733</xdr:rowOff>
    </xdr:from>
    <xdr:to>
      <xdr:col>2</xdr:col>
      <xdr:colOff>584200</xdr:colOff>
      <xdr:row>14</xdr:row>
      <xdr:rowOff>355600</xdr:rowOff>
    </xdr:to>
    <xdr:sp macro="" textlink="">
      <xdr:nvSpPr>
        <xdr:cNvPr id="29" name="Flowchart: Connector 28">
          <a:extLst>
            <a:ext uri="{FF2B5EF4-FFF2-40B4-BE49-F238E27FC236}">
              <a16:creationId xmlns:a16="http://schemas.microsoft.com/office/drawing/2014/main" id="{294CD288-DD85-4401-B989-577F3D23ABC2}"/>
            </a:ext>
          </a:extLst>
        </xdr:cNvPr>
        <xdr:cNvSpPr/>
      </xdr:nvSpPr>
      <xdr:spPr>
        <a:xfrm>
          <a:off x="9643534" y="9829800"/>
          <a:ext cx="313266" cy="28786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199</xdr:row>
          <xdr:rowOff>336550</xdr:rowOff>
        </xdr:from>
        <xdr:to>
          <xdr:col>1</xdr:col>
          <xdr:colOff>603250</xdr:colOff>
          <xdr:row>199</xdr:row>
          <xdr:rowOff>565150</xdr:rowOff>
        </xdr:to>
        <xdr:sp macro="" textlink="">
          <xdr:nvSpPr>
            <xdr:cNvPr id="1848" name="Option Button 824" descr="Yes" hidden="1">
              <a:extLst>
                <a:ext uri="{63B3BB69-23CF-44E3-9099-C40C66FF867C}">
                  <a14:compatExt spid="_x0000_s1848"/>
                </a:ext>
                <a:ext uri="{FF2B5EF4-FFF2-40B4-BE49-F238E27FC236}">
                  <a16:creationId xmlns:a16="http://schemas.microsoft.com/office/drawing/2014/main" id="{00000000-0008-0000-07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336550</xdr:rowOff>
        </xdr:from>
        <xdr:to>
          <xdr:col>2</xdr:col>
          <xdr:colOff>565150</xdr:colOff>
          <xdr:row>199</xdr:row>
          <xdr:rowOff>565150</xdr:rowOff>
        </xdr:to>
        <xdr:sp macro="" textlink="">
          <xdr:nvSpPr>
            <xdr:cNvPr id="1849" name="Option Button 825" descr="No" hidden="1">
              <a:extLst>
                <a:ext uri="{63B3BB69-23CF-44E3-9099-C40C66FF867C}">
                  <a14:compatExt spid="_x0000_s1849"/>
                </a:ext>
                <a:ext uri="{FF2B5EF4-FFF2-40B4-BE49-F238E27FC236}">
                  <a16:creationId xmlns:a16="http://schemas.microsoft.com/office/drawing/2014/main" id="{00000000-0008-0000-07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482600</xdr:colOff>
      <xdr:row>199</xdr:row>
      <xdr:rowOff>266700</xdr:rowOff>
    </xdr:from>
    <xdr:ext cx="469900" cy="342786"/>
    <xdr:sp macro="" textlink="">
      <xdr:nvSpPr>
        <xdr:cNvPr id="2" name="TextBox 1">
          <a:extLst>
            <a:ext uri="{FF2B5EF4-FFF2-40B4-BE49-F238E27FC236}">
              <a16:creationId xmlns:a16="http://schemas.microsoft.com/office/drawing/2014/main" id="{38FC5067-A3DE-900C-851E-37DBD15B7F0C}"/>
            </a:ext>
          </a:extLst>
        </xdr:cNvPr>
        <xdr:cNvSpPr txBox="1"/>
      </xdr:nvSpPr>
      <xdr:spPr>
        <a:xfrm>
          <a:off x="7067550" y="185305700"/>
          <a:ext cx="4699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a:t>Yes</a:t>
          </a:r>
        </a:p>
      </xdr:txBody>
    </xdr:sp>
    <xdr:clientData/>
  </xdr:oneCellAnchor>
  <xdr:oneCellAnchor>
    <xdr:from>
      <xdr:col>2</xdr:col>
      <xdr:colOff>400050</xdr:colOff>
      <xdr:row>199</xdr:row>
      <xdr:rowOff>266700</xdr:rowOff>
    </xdr:from>
    <xdr:ext cx="469900" cy="342786"/>
    <xdr:sp macro="" textlink="">
      <xdr:nvSpPr>
        <xdr:cNvPr id="3" name="TextBox 2">
          <a:extLst>
            <a:ext uri="{FF2B5EF4-FFF2-40B4-BE49-F238E27FC236}">
              <a16:creationId xmlns:a16="http://schemas.microsoft.com/office/drawing/2014/main" id="{98869EB4-C506-45D4-88D8-B756E28F231F}"/>
            </a:ext>
          </a:extLst>
        </xdr:cNvPr>
        <xdr:cNvSpPr txBox="1"/>
      </xdr:nvSpPr>
      <xdr:spPr>
        <a:xfrm>
          <a:off x="7905750" y="185305700"/>
          <a:ext cx="4699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a:t>No</a:t>
          </a:r>
        </a:p>
      </xdr:txBody>
    </xdr:sp>
    <xdr:clientData/>
  </xdr:oneCellAnchor>
  <xdr:twoCellAnchor>
    <xdr:from>
      <xdr:col>1</xdr:col>
      <xdr:colOff>175261</xdr:colOff>
      <xdr:row>199</xdr:row>
      <xdr:rowOff>304800</xdr:rowOff>
    </xdr:from>
    <xdr:to>
      <xdr:col>1</xdr:col>
      <xdr:colOff>487681</xdr:colOff>
      <xdr:row>199</xdr:row>
      <xdr:rowOff>601980</xdr:rowOff>
    </xdr:to>
    <xdr:sp macro="" textlink="">
      <xdr:nvSpPr>
        <xdr:cNvPr id="4" name="Flowchart: Connector 3">
          <a:extLst>
            <a:ext uri="{FF2B5EF4-FFF2-40B4-BE49-F238E27FC236}">
              <a16:creationId xmlns:a16="http://schemas.microsoft.com/office/drawing/2014/main" id="{33803333-7401-4470-8747-183F6A1FB5E4}"/>
            </a:ext>
          </a:extLst>
        </xdr:cNvPr>
        <xdr:cNvSpPr/>
      </xdr:nvSpPr>
      <xdr:spPr>
        <a:xfrm>
          <a:off x="6644641" y="187970160"/>
          <a:ext cx="312420" cy="29718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137160</xdr:colOff>
      <xdr:row>199</xdr:row>
      <xdr:rowOff>304800</xdr:rowOff>
    </xdr:from>
    <xdr:to>
      <xdr:col>2</xdr:col>
      <xdr:colOff>434340</xdr:colOff>
      <xdr:row>199</xdr:row>
      <xdr:rowOff>617220</xdr:rowOff>
    </xdr:to>
    <xdr:sp macro="" textlink="">
      <xdr:nvSpPr>
        <xdr:cNvPr id="5" name="Flowchart: Connector 4">
          <a:extLst>
            <a:ext uri="{FF2B5EF4-FFF2-40B4-BE49-F238E27FC236}">
              <a16:creationId xmlns:a16="http://schemas.microsoft.com/office/drawing/2014/main" id="{6D389094-3460-4BD5-8780-8D06896942D4}"/>
            </a:ext>
          </a:extLst>
        </xdr:cNvPr>
        <xdr:cNvSpPr/>
      </xdr:nvSpPr>
      <xdr:spPr>
        <a:xfrm>
          <a:off x="7520940" y="187970160"/>
          <a:ext cx="297180" cy="31242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1593850</xdr:colOff>
          <xdr:row>12</xdr:row>
          <xdr:rowOff>107950</xdr:rowOff>
        </xdr:from>
        <xdr:to>
          <xdr:col>1</xdr:col>
          <xdr:colOff>1905000</xdr:colOff>
          <xdr:row>12</xdr:row>
          <xdr:rowOff>495300</xdr:rowOff>
        </xdr:to>
        <xdr:sp macro="" textlink="">
          <xdr:nvSpPr>
            <xdr:cNvPr id="17409" name="Option Button 1" descr="Approve"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1593850</xdr:colOff>
          <xdr:row>13</xdr:row>
          <xdr:rowOff>114300</xdr:rowOff>
        </xdr:from>
        <xdr:to>
          <xdr:col>1</xdr:col>
          <xdr:colOff>1898650</xdr:colOff>
          <xdr:row>13</xdr:row>
          <xdr:rowOff>412750</xdr:rowOff>
        </xdr:to>
        <xdr:sp macro="" textlink="">
          <xdr:nvSpPr>
            <xdr:cNvPr id="17410" name="Option Button 2" descr="Reject"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6470650</xdr:colOff>
          <xdr:row>12</xdr:row>
          <xdr:rowOff>0</xdr:rowOff>
        </xdr:from>
        <xdr:to>
          <xdr:col>2</xdr:col>
          <xdr:colOff>0</xdr:colOff>
          <xdr:row>14</xdr:row>
          <xdr:rowOff>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Approve/Reject submission</a:t>
              </a:r>
            </a:p>
          </xdr:txBody>
        </xdr:sp>
        <xdr:clientData/>
      </xdr:twoCellAnchor>
    </mc:Choice>
    <mc:Fallback/>
  </mc:AlternateContent>
  <xdr:twoCellAnchor>
    <xdr:from>
      <xdr:col>1</xdr:col>
      <xdr:colOff>1539240</xdr:colOff>
      <xdr:row>12</xdr:row>
      <xdr:rowOff>160020</xdr:rowOff>
    </xdr:from>
    <xdr:to>
      <xdr:col>1</xdr:col>
      <xdr:colOff>1847850</xdr:colOff>
      <xdr:row>12</xdr:row>
      <xdr:rowOff>447675</xdr:rowOff>
    </xdr:to>
    <xdr:sp macro="" textlink="">
      <xdr:nvSpPr>
        <xdr:cNvPr id="2" name="Flowchart: Connector 1">
          <a:extLst>
            <a:ext uri="{FF2B5EF4-FFF2-40B4-BE49-F238E27FC236}">
              <a16:creationId xmlns:a16="http://schemas.microsoft.com/office/drawing/2014/main" id="{AA0181B4-2AE7-4A03-84BC-62F231F7E1CD}"/>
            </a:ext>
          </a:extLst>
        </xdr:cNvPr>
        <xdr:cNvSpPr/>
      </xdr:nvSpPr>
      <xdr:spPr>
        <a:xfrm>
          <a:off x="7879080" y="4968240"/>
          <a:ext cx="308610" cy="28765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1531620</xdr:colOff>
      <xdr:row>13</xdr:row>
      <xdr:rowOff>114300</xdr:rowOff>
    </xdr:from>
    <xdr:to>
      <xdr:col>1</xdr:col>
      <xdr:colOff>1844040</xdr:colOff>
      <xdr:row>13</xdr:row>
      <xdr:rowOff>419100</xdr:rowOff>
    </xdr:to>
    <xdr:sp macro="" textlink="">
      <xdr:nvSpPr>
        <xdr:cNvPr id="3" name="Flowchart: Connector 2">
          <a:extLst>
            <a:ext uri="{FF2B5EF4-FFF2-40B4-BE49-F238E27FC236}">
              <a16:creationId xmlns:a16="http://schemas.microsoft.com/office/drawing/2014/main" id="{0EC0B8B8-D2FE-4CF0-9C95-3E5A96D9DEFC}"/>
            </a:ext>
          </a:extLst>
        </xdr:cNvPr>
        <xdr:cNvSpPr/>
      </xdr:nvSpPr>
      <xdr:spPr>
        <a:xfrm>
          <a:off x="7871460" y="5554980"/>
          <a:ext cx="312420" cy="3048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1943100</xdr:colOff>
      <xdr:row>12</xdr:row>
      <xdr:rowOff>127000</xdr:rowOff>
    </xdr:from>
    <xdr:to>
      <xdr:col>1</xdr:col>
      <xdr:colOff>2965450</xdr:colOff>
      <xdr:row>12</xdr:row>
      <xdr:rowOff>527050</xdr:rowOff>
    </xdr:to>
    <xdr:sp macro="" textlink="">
      <xdr:nvSpPr>
        <xdr:cNvPr id="4" name="TextBox 3">
          <a:extLst>
            <a:ext uri="{FF2B5EF4-FFF2-40B4-BE49-F238E27FC236}">
              <a16:creationId xmlns:a16="http://schemas.microsoft.com/office/drawing/2014/main" id="{AA3C15DD-49C4-0311-A974-8E204D1EAFA3}"/>
            </a:ext>
          </a:extLst>
        </xdr:cNvPr>
        <xdr:cNvSpPr txBox="1"/>
      </xdr:nvSpPr>
      <xdr:spPr>
        <a:xfrm>
          <a:off x="8401050" y="4965700"/>
          <a:ext cx="10223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Approve</a:t>
          </a:r>
        </a:p>
      </xdr:txBody>
    </xdr:sp>
    <xdr:clientData/>
  </xdr:twoCellAnchor>
  <xdr:twoCellAnchor>
    <xdr:from>
      <xdr:col>1</xdr:col>
      <xdr:colOff>1949450</xdr:colOff>
      <xdr:row>13</xdr:row>
      <xdr:rowOff>95250</xdr:rowOff>
    </xdr:from>
    <xdr:to>
      <xdr:col>1</xdr:col>
      <xdr:colOff>2971800</xdr:colOff>
      <xdr:row>13</xdr:row>
      <xdr:rowOff>495300</xdr:rowOff>
    </xdr:to>
    <xdr:sp macro="" textlink="">
      <xdr:nvSpPr>
        <xdr:cNvPr id="5" name="TextBox 4">
          <a:extLst>
            <a:ext uri="{FF2B5EF4-FFF2-40B4-BE49-F238E27FC236}">
              <a16:creationId xmlns:a16="http://schemas.microsoft.com/office/drawing/2014/main" id="{89189704-D38B-4608-83DD-A4442A26CAFE}"/>
            </a:ext>
          </a:extLst>
        </xdr:cNvPr>
        <xdr:cNvSpPr txBox="1"/>
      </xdr:nvSpPr>
      <xdr:spPr>
        <a:xfrm>
          <a:off x="8407400" y="5568950"/>
          <a:ext cx="10223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Reject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23.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academies-budget-forecast-return-guide-to-using-the-online-form/academies-budget-forecast-guidance-for-completing-the-online-form" TargetMode="External"/><Relationship Id="rId2" Type="http://schemas.openxmlformats.org/officeDocument/2006/relationships/hyperlink" Target="https://services.signin.education.gov.uk/" TargetMode="External"/><Relationship Id="rId1" Type="http://schemas.openxmlformats.org/officeDocument/2006/relationships/hyperlink" Target="https://services.signin.education.gov.uk/" TargetMode="External"/><Relationship Id="rId6" Type="http://schemas.openxmlformats.org/officeDocument/2006/relationships/printerSettings" Target="../printerSettings/printerSettings2.bin"/><Relationship Id="rId5" Type="http://schemas.openxmlformats.org/officeDocument/2006/relationships/hyperlink" Target="https://services.signin.education.gov.uk/" TargetMode="External"/><Relationship Id="rId4" Type="http://schemas.openxmlformats.org/officeDocument/2006/relationships/hyperlink" Target="https://services.signin.education.gov.u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academies-budget-forecast-return-guide-to-using-the-online-form/re-brokerage-of-academies" TargetMode="External"/><Relationship Id="rId7" Type="http://schemas.openxmlformats.org/officeDocument/2006/relationships/printerSettings" Target="../printerSettings/printerSettings3.bin"/><Relationship Id="rId2" Type="http://schemas.openxmlformats.org/officeDocument/2006/relationships/hyperlink" Target="https://www.gov.uk/government/publications/academies-chart-of-accounts" TargetMode="External"/><Relationship Id="rId1" Type="http://schemas.openxmlformats.org/officeDocument/2006/relationships/hyperlink" Target="https://customerhelpportal.education.gov.uk/access-the-enquiry-portal/" TargetMode="External"/><Relationship Id="rId6" Type="http://schemas.openxmlformats.org/officeDocument/2006/relationships/hyperlink" Target="https://customerhelpportal.education.gov.uk/" TargetMode="External"/><Relationship Id="rId5" Type="http://schemas.openxmlformats.org/officeDocument/2006/relationships/hyperlink" Target="https://www.gov.uk/guidance/academies-budget-forecast-return" TargetMode="External"/><Relationship Id="rId4" Type="http://schemas.openxmlformats.org/officeDocument/2006/relationships/hyperlink" Target="https://www.gov.uk/government/publications/academies-budget-forecast-return-guide-to-using-the-online-form/academies-budget-forecast-guidance-for-completing-the-online-for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ustomerhelpportal.education.gov.uk/access-the-enquiry-portal/"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hyperlink" Target="https://customerhelpportal.education.gov.uk/" TargetMode="External"/><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1F57-295A-4D12-AB93-D32F4B2C650E}">
  <sheetPr codeName="Sheet12"/>
  <dimension ref="A1:E7"/>
  <sheetViews>
    <sheetView tabSelected="1" workbookViewId="0"/>
  </sheetViews>
  <sheetFormatPr defaultColWidth="0" defaultRowHeight="14" zeroHeight="1" x14ac:dyDescent="0.3"/>
  <cols>
    <col min="1" max="1" width="75.453125" style="95" customWidth="1"/>
    <col min="2" max="2" width="25" style="95" customWidth="1"/>
    <col min="3" max="4" width="31.54296875" style="95" customWidth="1"/>
    <col min="5" max="5" width="52.54296875" style="493" customWidth="1"/>
    <col min="6" max="16384" width="9.453125" style="31" hidden="1"/>
  </cols>
  <sheetData>
    <row r="1" spans="1:5" s="171" customFormat="1" ht="60" customHeight="1" x14ac:dyDescent="0.35">
      <c r="A1" s="24" t="s">
        <v>1723</v>
      </c>
      <c r="B1" s="172"/>
      <c r="C1" s="243" t="s">
        <v>0</v>
      </c>
      <c r="D1" s="172"/>
      <c r="E1" s="243"/>
    </row>
    <row r="2" spans="1:5" s="171" customFormat="1" ht="20.149999999999999" customHeight="1" x14ac:dyDescent="0.35">
      <c r="A2" s="446" t="s">
        <v>1656</v>
      </c>
      <c r="B2" s="172"/>
      <c r="C2" s="172"/>
      <c r="D2" s="172"/>
      <c r="E2" s="243"/>
    </row>
    <row r="3" spans="1:5" ht="62" x14ac:dyDescent="0.35">
      <c r="A3" s="249" t="s">
        <v>1486</v>
      </c>
      <c r="B3" s="172"/>
      <c r="C3" s="172"/>
      <c r="D3" s="172"/>
      <c r="E3" s="172"/>
    </row>
    <row r="4" spans="1:5" s="175" customFormat="1" ht="50.15" customHeight="1" x14ac:dyDescent="0.6">
      <c r="A4" s="492" t="s">
        <v>1</v>
      </c>
      <c r="B4" s="173"/>
      <c r="C4" s="173"/>
      <c r="D4" s="174"/>
      <c r="E4" s="174"/>
    </row>
    <row r="5" spans="1:5" ht="45" customHeight="1" x14ac:dyDescent="0.35">
      <c r="A5" s="198" t="s">
        <v>2</v>
      </c>
      <c r="B5" s="198" t="s">
        <v>3</v>
      </c>
      <c r="C5" s="198" t="s">
        <v>4</v>
      </c>
      <c r="D5" s="198" t="s">
        <v>5</v>
      </c>
      <c r="E5" s="200" t="s">
        <v>6</v>
      </c>
    </row>
    <row r="6" spans="1:5" x14ac:dyDescent="0.3">
      <c r="A6" s="622" t="s">
        <v>1784</v>
      </c>
      <c r="B6" s="648">
        <v>46203</v>
      </c>
      <c r="C6" s="95" t="s">
        <v>1785</v>
      </c>
      <c r="D6" s="95" t="s">
        <v>1786</v>
      </c>
      <c r="E6" s="493" t="s">
        <v>1787</v>
      </c>
    </row>
    <row r="7" spans="1:5" ht="14.5" x14ac:dyDescent="0.35">
      <c r="A7" s="509" t="s">
        <v>0</v>
      </c>
    </row>
  </sheetData>
  <sheetProtection algorithmName="SHA-512" hashValue="PmaMjkLc7s04uivbPx072DdAjpkV92xbOfARUIRNtlyvYbUwOsaZz6Ik1BGRcSWYPXIdNVM8Y3GwEVpYzuyCUQ==" saltValue="ieLS3XWwnGnBwlJaLxUBfw==" spinCount="100000" sheet="1" objects="1" scenarios="1"/>
  <hyperlinks>
    <hyperlink ref="A7" location="Index!A1" display="Index page" xr:uid="{DAE11FA8-B30D-4F2C-83B3-997508B98F1D}"/>
    <hyperlink ref="C1" location="Index!A1" display="Index page" xr:uid="{0A303DBE-EB9E-4A3B-92B2-644143220C15}"/>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756B-24B6-4C58-B248-A0FE9E540677}">
  <dimension ref="A1:AF26"/>
  <sheetViews>
    <sheetView zoomScaleNormal="100" workbookViewId="0"/>
  </sheetViews>
  <sheetFormatPr defaultColWidth="0" defaultRowHeight="14.5" zeroHeight="1" x14ac:dyDescent="0.35"/>
  <cols>
    <col min="1" max="1" width="88.453125" customWidth="1"/>
    <col min="2" max="3" width="30.54296875" customWidth="1"/>
    <col min="4" max="4" width="35.1796875" customWidth="1"/>
    <col min="5" max="32" width="0" hidden="1" customWidth="1"/>
    <col min="33" max="16384" width="8.54296875" hidden="1"/>
  </cols>
  <sheetData>
    <row r="1" spans="1:32" ht="60" customHeight="1" x14ac:dyDescent="0.35">
      <c r="A1" s="278" t="s">
        <v>1521</v>
      </c>
      <c r="B1" s="162"/>
      <c r="C1" s="485" t="s">
        <v>0</v>
      </c>
      <c r="D1" s="162"/>
      <c r="E1" s="162"/>
      <c r="F1" s="162"/>
      <c r="G1" s="465"/>
      <c r="H1" s="162"/>
      <c r="I1" s="162"/>
      <c r="J1" s="162"/>
      <c r="K1" s="162"/>
      <c r="L1" s="162"/>
    </row>
    <row r="2" spans="1:32" s="8" customFormat="1" ht="29.15" customHeight="1" x14ac:dyDescent="0.35">
      <c r="A2" s="496" t="s">
        <v>1759</v>
      </c>
      <c r="B2" s="162"/>
      <c r="C2" s="162"/>
      <c r="D2" s="162"/>
      <c r="E2" s="162"/>
      <c r="F2" s="162"/>
      <c r="G2" s="15"/>
      <c r="H2" s="15"/>
      <c r="I2" s="15"/>
      <c r="J2" s="15"/>
      <c r="R2" s="470"/>
      <c r="X2" s="9"/>
      <c r="Y2" s="470"/>
      <c r="Z2" s="470"/>
      <c r="AA2" s="471"/>
      <c r="AB2" s="215"/>
      <c r="AC2" s="215"/>
      <c r="AD2" s="471"/>
      <c r="AE2" s="215"/>
      <c r="AF2" s="216"/>
    </row>
    <row r="3" spans="1:32" s="8" customFormat="1" ht="280.14999999999998" customHeight="1" x14ac:dyDescent="0.35">
      <c r="A3" s="294" t="s">
        <v>1721</v>
      </c>
      <c r="B3" s="162"/>
      <c r="C3" s="494"/>
      <c r="D3" s="162"/>
      <c r="E3" s="162"/>
      <c r="F3" s="162"/>
      <c r="G3" s="15"/>
      <c r="H3" s="15"/>
      <c r="I3" s="15"/>
      <c r="J3" s="15"/>
      <c r="R3" s="470"/>
      <c r="X3" s="9"/>
      <c r="Y3" s="470"/>
      <c r="Z3" s="470"/>
      <c r="AA3" s="471"/>
      <c r="AB3" s="215"/>
      <c r="AC3" s="215"/>
      <c r="AD3" s="471"/>
      <c r="AE3" s="215"/>
      <c r="AF3" s="216"/>
    </row>
    <row r="4" spans="1:32" s="15" customFormat="1" ht="35.15" customHeight="1" x14ac:dyDescent="0.35">
      <c r="A4" s="472" t="s">
        <v>1493</v>
      </c>
      <c r="B4" s="162"/>
      <c r="C4" s="162"/>
      <c r="D4" s="162"/>
      <c r="E4" s="162"/>
      <c r="F4" s="162"/>
    </row>
    <row r="5" spans="1:32" s="15" customFormat="1" ht="17.5" x14ac:dyDescent="0.35">
      <c r="A5" s="591">
        <f>'BFR 2026'!$L$88</f>
        <v>0</v>
      </c>
      <c r="B5" s="162"/>
      <c r="C5" s="495"/>
      <c r="D5" s="578"/>
      <c r="E5" s="162"/>
      <c r="F5" s="162"/>
    </row>
    <row r="6" spans="1:32" s="8" customFormat="1" ht="35.15" customHeight="1" x14ac:dyDescent="0.35">
      <c r="A6" s="484" t="s">
        <v>1494</v>
      </c>
      <c r="B6" s="162"/>
      <c r="C6" s="162"/>
      <c r="D6" s="162"/>
      <c r="E6" s="162"/>
      <c r="F6" s="162"/>
      <c r="K6" s="470"/>
      <c r="Q6" s="9"/>
      <c r="R6" s="470"/>
      <c r="S6" s="470"/>
      <c r="T6" s="471"/>
      <c r="U6" s="215"/>
      <c r="V6" s="215"/>
      <c r="W6" s="471"/>
      <c r="X6" s="215"/>
      <c r="Y6" s="216"/>
    </row>
    <row r="7" spans="1:32" s="15" customFormat="1" ht="90" customHeight="1" x14ac:dyDescent="0.35">
      <c r="A7" s="504" t="str">
        <f>IF('BFR 2026'!$M$45=0,"*Error* Total revenue income (Line 298) cannot be £0",IFERROR('BFR 2026'!$L$88/'BFR 2026'!$M$45,""))</f>
        <v>*Error* Total revenue income (Line 298) cannot be £0</v>
      </c>
      <c r="B7" s="162"/>
      <c r="C7" s="495"/>
      <c r="D7" s="593" t="str">
        <f>IFERROR(IF(AND(A7&lt;&gt;"",ISNUMBER(A7),A7&lt;=0),HYPERLINK("#'Summary Declaration'!A1","As your reserves ratio in cell A7 is 0 or negative, you are not required to complete this section. Skip to 'Summary Declaration' tab to continue."),IF(AND(A7&lt;&gt;"",ISNUMBER(A7),A7&gt;=0.2),HYPERLINK("#'Reserve balance details'!A1","As your positive reserves ratio in cell A7 is 20% or higher, you are not required to complete this section. Navigate to the 'Reserve balance details' tab to continue."),"")),"")</f>
        <v/>
      </c>
      <c r="E7" s="162"/>
      <c r="F7" s="162"/>
      <c r="K7" s="473"/>
      <c r="Q7" s="9"/>
      <c r="R7" s="473"/>
      <c r="S7" s="473"/>
      <c r="T7" s="215"/>
      <c r="U7" s="215"/>
      <c r="V7" s="215"/>
      <c r="W7" s="215"/>
      <c r="X7" s="215"/>
      <c r="Y7" s="474"/>
    </row>
    <row r="8" spans="1:32" s="51" customFormat="1" ht="45" customHeight="1" x14ac:dyDescent="0.6">
      <c r="A8" s="605" t="s">
        <v>1492</v>
      </c>
      <c r="B8" s="162"/>
      <c r="C8" s="162"/>
      <c r="D8" s="162"/>
      <c r="E8" s="50"/>
      <c r="G8" s="50"/>
      <c r="H8" s="50"/>
      <c r="I8" s="50"/>
      <c r="J8" s="50"/>
    </row>
    <row r="9" spans="1:32" s="342" customFormat="1" ht="131.25" customHeight="1" x14ac:dyDescent="0.35">
      <c r="A9" s="658" t="s">
        <v>1747</v>
      </c>
      <c r="B9" s="303"/>
      <c r="C9" s="162"/>
      <c r="D9" s="529" t="str">
        <f>IF(AND(A7&gt;0,A7&lt;20%),IF(OR(ISBLANK(B9),B9&gt;100%),"You must enter a percentage % between 0 - 100",""),"")</f>
        <v/>
      </c>
      <c r="E9" s="32"/>
      <c r="F9" s="592"/>
      <c r="G9" s="592"/>
      <c r="H9" s="592"/>
      <c r="R9" s="32"/>
    </row>
    <row r="10" spans="1:32" ht="60" customHeight="1" x14ac:dyDescent="0.35">
      <c r="A10" s="481" t="s">
        <v>1738</v>
      </c>
      <c r="B10" s="649" t="s">
        <v>1706</v>
      </c>
      <c r="C10" s="609"/>
      <c r="D10" s="609"/>
    </row>
    <row r="11" spans="1:32" ht="34.9" customHeight="1" x14ac:dyDescent="0.5">
      <c r="A11" s="395" t="s">
        <v>1748</v>
      </c>
      <c r="B11" s="611" t="b">
        <v>0</v>
      </c>
      <c r="C11" s="609"/>
      <c r="D11" s="609"/>
    </row>
    <row r="12" spans="1:32" ht="34.9" customHeight="1" x14ac:dyDescent="0.5">
      <c r="A12" s="395" t="s">
        <v>1749</v>
      </c>
      <c r="B12" s="612" t="b">
        <v>0</v>
      </c>
      <c r="C12" s="609"/>
      <c r="D12" s="609"/>
    </row>
    <row r="13" spans="1:32" ht="34.9" customHeight="1" x14ac:dyDescent="0.5">
      <c r="A13" s="395" t="s">
        <v>1750</v>
      </c>
      <c r="B13" s="612" t="b">
        <v>0</v>
      </c>
      <c r="C13" s="609"/>
      <c r="D13" s="609"/>
    </row>
    <row r="14" spans="1:32" ht="34.9" customHeight="1" x14ac:dyDescent="0.5">
      <c r="A14" s="395" t="s">
        <v>1751</v>
      </c>
      <c r="B14" s="612" t="b">
        <v>0</v>
      </c>
      <c r="C14" s="609"/>
      <c r="D14" s="609"/>
    </row>
    <row r="15" spans="1:32" ht="57" customHeight="1" x14ac:dyDescent="0.5">
      <c r="A15" s="395" t="s">
        <v>1752</v>
      </c>
      <c r="B15" s="613" t="b">
        <v>0</v>
      </c>
      <c r="C15" s="609"/>
      <c r="D15" s="609"/>
    </row>
    <row r="16" spans="1:32" ht="25.4" customHeight="1" x14ac:dyDescent="0.35">
      <c r="A16" s="342"/>
      <c r="B16" s="576"/>
      <c r="C16" s="609"/>
      <c r="D16" s="609"/>
    </row>
    <row r="17" spans="1:32" ht="81" customHeight="1" x14ac:dyDescent="0.35">
      <c r="A17" s="659" t="s">
        <v>1756</v>
      </c>
      <c r="B17" s="660" t="s">
        <v>1753</v>
      </c>
      <c r="C17" s="660" t="s">
        <v>1754</v>
      </c>
      <c r="D17" s="660" t="s">
        <v>1755</v>
      </c>
    </row>
    <row r="18" spans="1:32" ht="75" customHeight="1" x14ac:dyDescent="0.5">
      <c r="A18" s="225" t="s">
        <v>1760</v>
      </c>
      <c r="B18" s="614" t="b">
        <v>0</v>
      </c>
      <c r="C18" s="614" t="b">
        <v>0</v>
      </c>
      <c r="D18" s="614" t="b">
        <v>0</v>
      </c>
    </row>
    <row r="19" spans="1:32" ht="75" customHeight="1" x14ac:dyDescent="0.5">
      <c r="A19" s="25" t="s">
        <v>1488</v>
      </c>
      <c r="B19" s="614" t="b">
        <v>0</v>
      </c>
      <c r="C19" s="614" t="b">
        <v>0</v>
      </c>
      <c r="D19" s="614" t="b">
        <v>0</v>
      </c>
    </row>
    <row r="20" spans="1:32" ht="249.5" x14ac:dyDescent="0.5">
      <c r="A20" s="225" t="s">
        <v>1757</v>
      </c>
      <c r="B20" s="614" t="b">
        <v>0</v>
      </c>
      <c r="C20" s="614" t="b">
        <v>0</v>
      </c>
      <c r="D20" s="614" t="b">
        <v>0</v>
      </c>
    </row>
    <row r="21" spans="1:32" ht="228" customHeight="1" x14ac:dyDescent="0.5">
      <c r="A21" s="225" t="s">
        <v>1758</v>
      </c>
      <c r="B21" s="614" t="b">
        <v>0</v>
      </c>
      <c r="C21" s="614" t="b">
        <v>0</v>
      </c>
      <c r="D21" s="614" t="b">
        <v>0</v>
      </c>
    </row>
    <row r="22" spans="1:32" ht="135.75" customHeight="1" x14ac:dyDescent="0.5">
      <c r="A22" s="225" t="s">
        <v>1745</v>
      </c>
      <c r="B22" s="614" t="b">
        <v>0</v>
      </c>
      <c r="C22" s="614" t="b">
        <v>0</v>
      </c>
      <c r="D22" s="614" t="b">
        <v>0</v>
      </c>
    </row>
    <row r="23" spans="1:32" ht="91.4" customHeight="1" x14ac:dyDescent="0.5">
      <c r="A23" s="26" t="s">
        <v>1489</v>
      </c>
      <c r="B23" s="614" t="b">
        <v>0</v>
      </c>
      <c r="C23" s="614" t="b">
        <v>0</v>
      </c>
      <c r="D23" s="614" t="b">
        <v>0</v>
      </c>
    </row>
    <row r="24" spans="1:32" ht="83.9" customHeight="1" x14ac:dyDescent="0.5">
      <c r="A24" s="26" t="s">
        <v>1490</v>
      </c>
      <c r="B24" s="614" t="b">
        <v>0</v>
      </c>
      <c r="C24" s="614" t="b">
        <v>0</v>
      </c>
      <c r="D24" s="614" t="b">
        <v>0</v>
      </c>
    </row>
    <row r="25" spans="1:32" s="8" customFormat="1" ht="45" customHeight="1" x14ac:dyDescent="0.35">
      <c r="A25" s="207" t="s">
        <v>0</v>
      </c>
      <c r="C25" s="9"/>
      <c r="D25" s="9"/>
      <c r="E25" s="10"/>
      <c r="F25" s="10"/>
      <c r="G25" s="10"/>
      <c r="H25" s="10"/>
      <c r="I25" s="10"/>
      <c r="J25" s="10"/>
      <c r="R25" s="12"/>
      <c r="T25" s="13"/>
      <c r="U25" s="13"/>
      <c r="X25" s="9"/>
      <c r="Y25" s="12"/>
      <c r="Z25" s="12"/>
      <c r="AA25" s="214"/>
      <c r="AB25" s="215"/>
      <c r="AC25" s="215"/>
      <c r="AD25" s="214"/>
      <c r="AE25" s="212"/>
      <c r="AF25" s="216"/>
    </row>
    <row r="26" spans="1:32" hidden="1" x14ac:dyDescent="0.35">
      <c r="B26" s="162"/>
      <c r="C26" s="162"/>
      <c r="D26" s="162"/>
    </row>
  </sheetData>
  <sheetProtection algorithmName="SHA-512" hashValue="eR3cXW33P/7lS05eCRSAVETAU3QNEUvyra2b/4BUfKyGUcY3Vw+QtnQXoHrWOVGRAyy8CQn9rgNiQRCiGjZfZA==" saltValue="UDdGktDcJj3j7ocnNA5+CQ==" spinCount="100000" sheet="1" objects="1" scenarios="1"/>
  <conditionalFormatting sqref="A5">
    <cfRule type="cellIs" dxfId="231" priority="87" operator="greaterThan">
      <formula>0</formula>
    </cfRule>
    <cfRule type="cellIs" dxfId="230" priority="96" operator="lessThan">
      <formula>0</formula>
    </cfRule>
    <cfRule type="cellIs" dxfId="229" priority="90" operator="lessThan">
      <formula>0</formula>
    </cfRule>
    <cfRule type="cellIs" dxfId="228" priority="89" operator="lessThan">
      <formula>0</formula>
    </cfRule>
    <cfRule type="cellIs" dxfId="227" priority="95" operator="lessThan">
      <formula>0</formula>
    </cfRule>
    <cfRule type="cellIs" dxfId="226" priority="94" operator="lessThan">
      <formula>0</formula>
    </cfRule>
    <cfRule type="cellIs" dxfId="225" priority="93" operator="lessThan">
      <formula>0</formula>
    </cfRule>
    <cfRule type="cellIs" dxfId="224" priority="92" operator="lessThan">
      <formula>0</formula>
    </cfRule>
    <cfRule type="cellIs" dxfId="223" priority="99" operator="lessThan">
      <formula>0</formula>
    </cfRule>
    <cfRule type="cellIs" dxfId="222" priority="91" operator="lessThan">
      <formula>0</formula>
    </cfRule>
    <cfRule type="cellIs" dxfId="221" priority="86" operator="lessThan">
      <formula>0</formula>
    </cfRule>
    <cfRule type="cellIs" dxfId="220" priority="88" operator="greaterThan">
      <formula>0</formula>
    </cfRule>
    <cfRule type="cellIs" dxfId="219" priority="97" operator="lessThan">
      <formula>0</formula>
    </cfRule>
    <cfRule type="cellIs" dxfId="218" priority="98" operator="lessThan">
      <formula>0</formula>
    </cfRule>
  </conditionalFormatting>
  <conditionalFormatting sqref="A7 A16">
    <cfRule type="cellIs" dxfId="217" priority="75" operator="lessThan">
      <formula>0</formula>
    </cfRule>
    <cfRule type="cellIs" dxfId="216" priority="74" operator="greaterThan">
      <formula>0</formula>
    </cfRule>
    <cfRule type="cellIs" dxfId="215" priority="73" operator="greaterThan">
      <formula>0</formula>
    </cfRule>
    <cfRule type="containsText" dxfId="214" priority="71" operator="containsText" text="error">
      <formula>NOT(ISERROR(SEARCH("error",A7)))</formula>
    </cfRule>
    <cfRule type="cellIs" dxfId="213" priority="83" operator="lessThan">
      <formula>0</formula>
    </cfRule>
    <cfRule type="cellIs" dxfId="212" priority="85" operator="lessThan">
      <formula>0</formula>
    </cfRule>
    <cfRule type="cellIs" dxfId="211" priority="84" operator="lessThan">
      <formula>0</formula>
    </cfRule>
    <cfRule type="cellIs" dxfId="210" priority="82" operator="lessThan">
      <formula>0</formula>
    </cfRule>
    <cfRule type="cellIs" dxfId="209" priority="81" operator="lessThan">
      <formula>0</formula>
    </cfRule>
    <cfRule type="cellIs" dxfId="208" priority="80" operator="lessThan">
      <formula>0</formula>
    </cfRule>
    <cfRule type="cellIs" dxfId="207" priority="79" operator="lessThan">
      <formula>0</formula>
    </cfRule>
    <cfRule type="cellIs" dxfId="206" priority="72" operator="lessThan">
      <formula>0</formula>
    </cfRule>
    <cfRule type="cellIs" dxfId="205" priority="78" operator="lessThan">
      <formula>0</formula>
    </cfRule>
    <cfRule type="cellIs" dxfId="204" priority="77" operator="lessThan">
      <formula>0</formula>
    </cfRule>
    <cfRule type="cellIs" dxfId="203" priority="76" operator="lessThan">
      <formula>0</formula>
    </cfRule>
  </conditionalFormatting>
  <conditionalFormatting sqref="A10">
    <cfRule type="cellIs" dxfId="202" priority="8" operator="lessThan">
      <formula>0</formula>
    </cfRule>
    <cfRule type="cellIs" dxfId="201" priority="7" operator="lessThan">
      <formula>0</formula>
    </cfRule>
    <cfRule type="cellIs" dxfId="200" priority="6" operator="lessThan">
      <formula>0</formula>
    </cfRule>
    <cfRule type="cellIs" dxfId="199" priority="5" operator="lessThan">
      <formula>0</formula>
    </cfRule>
    <cfRule type="cellIs" dxfId="198" priority="2" operator="lessThan">
      <formula>0</formula>
    </cfRule>
    <cfRule type="cellIs" dxfId="197" priority="11" operator="lessThan">
      <formula>0</formula>
    </cfRule>
    <cfRule type="cellIs" dxfId="196" priority="10" operator="lessThan">
      <formula>0</formula>
    </cfRule>
    <cfRule type="cellIs" dxfId="195" priority="9" operator="lessThan">
      <formula>0</formula>
    </cfRule>
  </conditionalFormatting>
  <conditionalFormatting sqref="A10:B10">
    <cfRule type="cellIs" dxfId="194" priority="4" operator="greaterThan">
      <formula>0</formula>
    </cfRule>
    <cfRule type="cellIs" dxfId="193" priority="12" operator="lessThan">
      <formula>0</formula>
    </cfRule>
    <cfRule type="cellIs" dxfId="192" priority="13" operator="lessThan">
      <formula>0</formula>
    </cfRule>
    <cfRule type="cellIs" dxfId="191" priority="14" operator="lessThan">
      <formula>0</formula>
    </cfRule>
    <cfRule type="cellIs" dxfId="190" priority="15" operator="lessThan">
      <formula>0</formula>
    </cfRule>
    <cfRule type="containsText" dxfId="189" priority="1" operator="containsText" text="error">
      <formula>NOT(ISERROR(SEARCH("error",A10)))</formula>
    </cfRule>
    <cfRule type="cellIs" dxfId="188" priority="3" operator="greaterThan">
      <formula>0</formula>
    </cfRule>
  </conditionalFormatting>
  <conditionalFormatting sqref="B10">
    <cfRule type="cellIs" dxfId="187" priority="48" operator="lessThan">
      <formula>0</formula>
    </cfRule>
    <cfRule type="cellIs" dxfId="186" priority="47" operator="lessThan">
      <formula>0</formula>
    </cfRule>
    <cfRule type="cellIs" dxfId="185" priority="46" operator="lessThan">
      <formula>0</formula>
    </cfRule>
    <cfRule type="cellIs" dxfId="184" priority="45" operator="lessThan">
      <formula>0</formula>
    </cfRule>
    <cfRule type="cellIs" dxfId="183" priority="44" operator="lessThan">
      <formula>0</formula>
    </cfRule>
    <cfRule type="cellIs" dxfId="182" priority="43" operator="lessThan">
      <formula>0</formula>
    </cfRule>
    <cfRule type="cellIs" dxfId="181" priority="42" operator="lessThan">
      <formula>0</formula>
    </cfRule>
    <cfRule type="cellIs" dxfId="180" priority="41" operator="lessThan">
      <formula>0</formula>
    </cfRule>
  </conditionalFormatting>
  <conditionalFormatting sqref="D9">
    <cfRule type="containsText" dxfId="179" priority="50" operator="containsText" text="%">
      <formula>NOT(ISERROR(SEARCH("%",D9)))</formula>
    </cfRule>
  </conditionalFormatting>
  <conditionalFormatting sqref="F8:H9 J8:L9 N8:O9">
    <cfRule type="cellIs" dxfId="178" priority="62" operator="lessThan">
      <formula>0</formula>
    </cfRule>
    <cfRule type="cellIs" dxfId="177" priority="59" operator="lessThan">
      <formula>0</formula>
    </cfRule>
    <cfRule type="cellIs" dxfId="176" priority="64" operator="lessThan">
      <formula>0</formula>
    </cfRule>
    <cfRule type="cellIs" dxfId="175" priority="63" operator="lessThan">
      <formula>0</formula>
    </cfRule>
  </conditionalFormatting>
  <conditionalFormatting sqref="F8:H9 J8:L9">
    <cfRule type="cellIs" dxfId="174" priority="54" operator="greaterThan">
      <formula>0</formula>
    </cfRule>
    <cfRule type="cellIs" dxfId="173" priority="53" operator="greaterThan">
      <formula>0</formula>
    </cfRule>
  </conditionalFormatting>
  <conditionalFormatting sqref="F9:H9">
    <cfRule type="cellIs" dxfId="172" priority="58" operator="lessThan">
      <formula>0</formula>
    </cfRule>
    <cfRule type="cellIs" dxfId="171" priority="57" operator="lessThan">
      <formula>0</formula>
    </cfRule>
    <cfRule type="cellIs" dxfId="170" priority="55" operator="lessThan">
      <formula>0</formula>
    </cfRule>
    <cfRule type="cellIs" dxfId="169" priority="56" operator="lessThan">
      <formula>0</formula>
    </cfRule>
  </conditionalFormatting>
  <conditionalFormatting sqref="H8:H9">
    <cfRule type="cellIs" dxfId="168" priority="69" operator="equal">
      <formula>"Check Validation"</formula>
    </cfRule>
    <cfRule type="cellIs" dxfId="167" priority="70" operator="equal">
      <formula>"Check Validations"</formula>
    </cfRule>
  </conditionalFormatting>
  <conditionalFormatting sqref="N8:P9">
    <cfRule type="cellIs" dxfId="166" priority="61" operator="greaterThan">
      <formula>0</formula>
    </cfRule>
    <cfRule type="cellIs" dxfId="165" priority="60" operator="greaterThan">
      <formula>0</formula>
    </cfRule>
    <cfRule type="cellIs" dxfId="164" priority="65" operator="lessThan">
      <formula>0</formula>
    </cfRule>
    <cfRule type="cellIs" dxfId="163" priority="66" operator="lessThan">
      <formula>0</formula>
    </cfRule>
    <cfRule type="cellIs" dxfId="162" priority="67" operator="lessThan">
      <formula>0</formula>
    </cfRule>
    <cfRule type="cellIs" dxfId="161" priority="68" operator="lessThan">
      <formula>0</formula>
    </cfRule>
  </conditionalFormatting>
  <dataValidations count="2">
    <dataValidation type="list" allowBlank="1" showInputMessage="1" showErrorMessage="1" sqref="Q8:Q9 J9" xr:uid="{CB14C739-17C3-4451-A0A0-DC7849340DA9}">
      <formula1>$C$49:$C$50</formula1>
    </dataValidation>
    <dataValidation type="custom" allowBlank="1" showInputMessage="1" showErrorMessage="1" errorTitle="Error" error="Input is disabled as cell A7 is not between 0 and 20%._x000a__x000a_Navigate to 'Reserve balance details' tab _x000a_or skip to 'Summary declaration' tab if cell A7 is 0 or a negative %_x000a__x000a_Click link in D7 for the correct tab" sqref="B9" xr:uid="{9786DC9B-BB94-4AB6-BC28-2D5A898744D4}">
      <formula1>AND($A$7&gt;0,$A$7&lt;20%)</formula1>
    </dataValidation>
  </dataValidations>
  <hyperlinks>
    <hyperlink ref="C1" location="Index!A1" display="Index page" xr:uid="{C3FAF65F-125F-42AE-86A3-88C5A92E2347}"/>
    <hyperlink ref="A25" location="Index!A1" display="Index page" xr:uid="{0085D1EE-0270-4DC2-BC9C-947176417708}"/>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C6B2-0ACB-4BA0-86A8-8263E9C84A4A}">
  <sheetPr codeName="Sheet8"/>
  <dimension ref="A1:S35"/>
  <sheetViews>
    <sheetView showGridLines="0" zoomScaleNormal="100" workbookViewId="0"/>
  </sheetViews>
  <sheetFormatPr defaultColWidth="0" defaultRowHeight="15.75" customHeight="1" zeroHeight="1" x14ac:dyDescent="0.35"/>
  <cols>
    <col min="1" max="1" width="87" style="31" customWidth="1"/>
    <col min="2" max="2" width="11.54296875" style="31" customWidth="1"/>
    <col min="3" max="3" width="22.453125" style="31" customWidth="1"/>
    <col min="4" max="4" width="18" style="31" customWidth="1"/>
    <col min="5" max="5" width="3.54296875" style="31" customWidth="1"/>
    <col min="6" max="6" width="18.54296875" style="31" customWidth="1"/>
    <col min="7" max="7" width="20.453125" style="31" customWidth="1"/>
    <col min="8" max="8" width="18.54296875" style="31" customWidth="1"/>
    <col min="9" max="9" width="3.54296875" style="31" customWidth="1"/>
    <col min="10" max="10" width="18.54296875" style="31" customWidth="1"/>
    <col min="11" max="12" width="20" style="31" customWidth="1"/>
    <col min="13" max="13" width="3.54296875" style="31" customWidth="1"/>
    <col min="14" max="16" width="18.54296875" style="31" customWidth="1"/>
    <col min="17" max="17" width="12.453125" style="31" hidden="1" customWidth="1"/>
    <col min="18" max="18" width="22.54296875" style="32" hidden="1" customWidth="1"/>
    <col min="19" max="16384" width="8.54296875" style="31" hidden="1"/>
  </cols>
  <sheetData>
    <row r="1" spans="1:19" s="8" customFormat="1" ht="60" customHeight="1" x14ac:dyDescent="0.35">
      <c r="A1" s="24" t="s">
        <v>40</v>
      </c>
      <c r="C1" s="9"/>
      <c r="D1" s="9"/>
      <c r="E1" s="10"/>
      <c r="F1" s="11"/>
      <c r="G1" s="30" t="s">
        <v>0</v>
      </c>
      <c r="H1" s="10"/>
      <c r="I1" s="10"/>
      <c r="J1" s="10"/>
      <c r="O1" s="342"/>
      <c r="P1" s="30"/>
    </row>
    <row r="2" spans="1:19" s="33" customFormat="1" ht="18.75" customHeight="1" x14ac:dyDescent="0.35">
      <c r="A2" s="440" t="s">
        <v>1501</v>
      </c>
      <c r="B2" s="357"/>
      <c r="C2" s="357"/>
      <c r="D2" s="342"/>
      <c r="E2" s="342"/>
      <c r="F2" s="342"/>
      <c r="G2" s="342"/>
      <c r="H2" s="342"/>
      <c r="I2" s="342"/>
      <c r="J2" s="342"/>
      <c r="K2" s="132"/>
      <c r="L2" s="133"/>
      <c r="M2" s="133"/>
      <c r="N2" s="297"/>
      <c r="O2" s="297"/>
      <c r="P2" s="297"/>
      <c r="Q2" s="298"/>
      <c r="R2" s="353"/>
      <c r="S2" s="353"/>
    </row>
    <row r="3" spans="1:19" s="97" customFormat="1" ht="75.75" customHeight="1" x14ac:dyDescent="0.35">
      <c r="A3" s="439" t="s">
        <v>1481</v>
      </c>
      <c r="R3" s="39"/>
    </row>
    <row r="4" spans="1:19" s="15" customFormat="1" ht="180" customHeight="1" x14ac:dyDescent="0.35">
      <c r="A4" s="432" t="s">
        <v>1659</v>
      </c>
      <c r="B4" s="31"/>
      <c r="C4" s="31"/>
      <c r="D4" s="9"/>
      <c r="E4" s="10"/>
      <c r="F4" s="11"/>
      <c r="G4" s="10"/>
      <c r="H4" s="10"/>
      <c r="I4" s="10"/>
      <c r="J4" s="10"/>
      <c r="K4" s="14"/>
      <c r="L4" s="14"/>
      <c r="M4" s="14"/>
    </row>
    <row r="5" spans="1:19" s="217" customFormat="1" ht="30" customHeight="1" x14ac:dyDescent="0.4">
      <c r="A5" s="306" t="s">
        <v>1523</v>
      </c>
      <c r="B5" s="31"/>
      <c r="C5" s="9"/>
      <c r="D5" s="9"/>
      <c r="E5" s="10"/>
      <c r="F5" s="11"/>
      <c r="G5" s="10"/>
      <c r="H5" s="13"/>
      <c r="I5" s="13"/>
      <c r="J5" s="13"/>
      <c r="K5" s="14"/>
      <c r="L5" s="14"/>
      <c r="M5" s="14"/>
      <c r="N5" s="15"/>
      <c r="O5" s="15"/>
      <c r="P5" s="15"/>
    </row>
    <row r="6" spans="1:19" s="217" customFormat="1" ht="20" x14ac:dyDescent="0.4">
      <c r="A6" s="27" t="s">
        <v>1482</v>
      </c>
      <c r="B6" s="9"/>
      <c r="C6" s="9"/>
      <c r="D6" s="9"/>
      <c r="E6" s="10"/>
      <c r="F6" s="11"/>
      <c r="G6" s="10"/>
      <c r="H6" s="13"/>
      <c r="I6" s="13"/>
      <c r="J6" s="13"/>
      <c r="K6" s="14"/>
      <c r="L6" s="14"/>
      <c r="M6" s="14"/>
      <c r="N6" s="15"/>
      <c r="O6" s="15"/>
      <c r="P6" s="15"/>
    </row>
    <row r="7" spans="1:19" s="48" customFormat="1" ht="45" customHeight="1" x14ac:dyDescent="0.7">
      <c r="A7" s="290" t="s">
        <v>408</v>
      </c>
      <c r="B7" s="46"/>
      <c r="C7" s="46"/>
      <c r="D7" s="46"/>
      <c r="E7" s="47"/>
      <c r="F7" s="47"/>
      <c r="G7" s="47"/>
      <c r="H7" s="47"/>
      <c r="I7" s="47"/>
      <c r="J7" s="47"/>
      <c r="K7" s="47"/>
    </row>
    <row r="8" spans="1:19" s="51" customFormat="1" ht="45" customHeight="1" x14ac:dyDescent="0.6">
      <c r="A8" s="605" t="s">
        <v>405</v>
      </c>
      <c r="B8" s="49"/>
      <c r="C8" s="49"/>
      <c r="D8" s="50"/>
      <c r="E8" s="50"/>
      <c r="F8" s="50"/>
      <c r="G8" s="50"/>
      <c r="H8" s="50"/>
      <c r="I8" s="50"/>
      <c r="J8" s="50"/>
    </row>
    <row r="9" spans="1:19" ht="46.5" x14ac:dyDescent="0.35">
      <c r="A9" s="43" t="s">
        <v>409</v>
      </c>
      <c r="B9" s="44" t="s">
        <v>92</v>
      </c>
      <c r="C9" s="43" t="s">
        <v>410</v>
      </c>
      <c r="D9" s="45" t="s">
        <v>411</v>
      </c>
      <c r="E9" s="342"/>
      <c r="F9" s="34" t="str">
        <f>"Actuals                       Sep "&amp;MID($H$9,25,2)&amp;" - Mar "&amp;MID($H$9,28,2) &amp;" £'000"</f>
        <v>Actuals                       Sep 24 - Mar 25 £'000</v>
      </c>
      <c r="G9" s="34" t="str">
        <f>"Actuals                       Apr "&amp;MID($H$9,28,2)&amp;" - Aug "&amp;MID($H$9,28,2) &amp;" £'000"</f>
        <v>Actuals                       Apr 25 - Aug 25 £'000</v>
      </c>
      <c r="H9" s="34" t="str">
        <f>"TOTAL                 "&amp;RIGHT('Version control'!$A$1,4)-2&amp;"/"&amp;RIGHT('Version control'!$A$1,4)-2001&amp;"         £'000"</f>
        <v>TOTAL                 2024/25         £'000</v>
      </c>
      <c r="I9" s="342"/>
      <c r="J9" s="34" t="str">
        <f>"Actuals                       Sep "&amp;MID($L$9,25,2)&amp;" - Mar "&amp;MID($L$9,28,2) &amp;" £'000"</f>
        <v>Actuals                       Sep 25 - Mar 26 £'000</v>
      </c>
      <c r="K9" s="34" t="str">
        <f>"Forecast                       Apr "&amp;MID($L$9,28,2)&amp;" - Aug "&amp;MID($L$9,28,2) &amp;" £'000"</f>
        <v>Forecast                       Apr 26 - Aug 26 £'000</v>
      </c>
      <c r="L9" s="34" t="str">
        <f>"TOTAL                 "&amp;RIGHT('Version control'!$A$1,4)-1&amp;"/"&amp;RIGHT('Version control'!$A$1,4)-2000&amp;"            £'000"</f>
        <v>TOTAL                 2025/26            £'000</v>
      </c>
      <c r="M9" s="380"/>
      <c r="N9" s="34" t="str">
        <f>"Forecast                       Sep "&amp;MID($P$9,25,2)&amp;" - Mar "&amp;MID($P$9,28,2) &amp;" £'000"</f>
        <v>Forecast                       Sep 26 - Mar 27 £'000</v>
      </c>
      <c r="O9" s="34" t="str">
        <f>"Forecast                       Apr "&amp;MID($P$9,28,2)&amp;" - Aug "&amp;MID($P$9,28,2) &amp;" £'000"</f>
        <v>Forecast                       Apr 27 - Aug 27 £'000</v>
      </c>
      <c r="P9" s="34" t="str">
        <f>"TOTAL                 "&amp;RIGHT('Version control'!$A$1,4)&amp;"/"&amp;RIGHT('Version control'!$A$1,4)-2000+1&amp;"         £'000"</f>
        <v>TOTAL                 2026/27         £'000</v>
      </c>
    </row>
    <row r="10" spans="1:19" s="8" customFormat="1" ht="46.5" x14ac:dyDescent="0.35">
      <c r="A10" s="42" t="s">
        <v>405</v>
      </c>
      <c r="B10" s="36">
        <v>400</v>
      </c>
      <c r="C10" s="37" t="s">
        <v>200</v>
      </c>
      <c r="D10" s="38" t="s">
        <v>412</v>
      </c>
      <c r="E10" s="342"/>
      <c r="F10" s="254">
        <f>'BFR 2026'!G81</f>
        <v>0</v>
      </c>
      <c r="G10" s="254">
        <f>'BFR 2026'!H81</f>
        <v>0</v>
      </c>
      <c r="H10" s="254">
        <f>'BFR 2026'!I81</f>
        <v>0</v>
      </c>
      <c r="I10" s="342"/>
      <c r="J10" s="254">
        <f>'BFR 2026'!K81</f>
        <v>0</v>
      </c>
      <c r="K10" s="254">
        <f>'BFR 2026'!L81</f>
        <v>0</v>
      </c>
      <c r="L10" s="254">
        <f>'BFR 2026'!M81</f>
        <v>0</v>
      </c>
      <c r="M10" s="380"/>
      <c r="N10" s="254">
        <f>'BFR 2026'!O81</f>
        <v>0</v>
      </c>
      <c r="O10" s="254">
        <f>'BFR 2026'!P81</f>
        <v>0</v>
      </c>
      <c r="P10" s="254">
        <f>'BFR 2026'!Q81</f>
        <v>0</v>
      </c>
    </row>
    <row r="11" spans="1:19" s="33" customFormat="1" ht="15.5" x14ac:dyDescent="0.35">
      <c r="A11" s="220" t="s">
        <v>413</v>
      </c>
      <c r="B11" s="54"/>
      <c r="C11" s="54"/>
      <c r="D11" s="55"/>
      <c r="E11" s="32"/>
      <c r="F11" s="307">
        <f>F10*1000</f>
        <v>0</v>
      </c>
      <c r="G11" s="307">
        <f>G10*1000</f>
        <v>0</v>
      </c>
      <c r="H11" s="307">
        <f>H10*1000</f>
        <v>0</v>
      </c>
      <c r="I11" s="32"/>
      <c r="J11" s="307">
        <f>J10*1000</f>
        <v>0</v>
      </c>
      <c r="K11" s="307">
        <f>K10*1000</f>
        <v>0</v>
      </c>
      <c r="L11" s="307">
        <f>L10*1000</f>
        <v>0</v>
      </c>
      <c r="M11" s="39"/>
      <c r="N11" s="307">
        <f>N10*1000</f>
        <v>0</v>
      </c>
      <c r="O11" s="307">
        <f>O10*1000</f>
        <v>0</v>
      </c>
      <c r="P11" s="307">
        <f>P10*1000</f>
        <v>0</v>
      </c>
    </row>
    <row r="12" spans="1:19" s="51" customFormat="1" ht="45" customHeight="1" x14ac:dyDescent="0.6">
      <c r="A12" s="605" t="s">
        <v>1672</v>
      </c>
      <c r="B12" s="49"/>
      <c r="C12" s="49"/>
      <c r="D12" s="50"/>
      <c r="E12" s="50"/>
      <c r="F12" s="50"/>
      <c r="G12" s="50"/>
      <c r="H12" s="50"/>
      <c r="I12" s="50"/>
      <c r="J12" s="50"/>
    </row>
    <row r="13" spans="1:19" s="19" customFormat="1" ht="46.5" x14ac:dyDescent="0.35">
      <c r="A13" s="43" t="s">
        <v>409</v>
      </c>
      <c r="B13" s="44" t="s">
        <v>92</v>
      </c>
      <c r="C13" s="43" t="s">
        <v>410</v>
      </c>
      <c r="D13" s="45" t="s">
        <v>411</v>
      </c>
      <c r="E13" s="342"/>
      <c r="F13" s="34" t="str">
        <f>F9</f>
        <v>Actuals                       Sep 24 - Mar 25 £'000</v>
      </c>
      <c r="G13" s="34" t="str">
        <f>G9</f>
        <v>Actuals                       Apr 25 - Aug 25 £'000</v>
      </c>
      <c r="H13" s="34" t="str">
        <f>H9</f>
        <v>TOTAL                 2024/25         £'000</v>
      </c>
      <c r="I13" s="342"/>
      <c r="J13" s="34" t="str">
        <f>J9</f>
        <v>Actuals                       Sep 25 - Mar 26 £'000</v>
      </c>
      <c r="K13" s="34" t="str">
        <f>K9</f>
        <v>Forecast                       Apr 26 - Aug 26 £'000</v>
      </c>
      <c r="L13" s="34" t="str">
        <f>L9</f>
        <v>TOTAL                 2025/26            £'000</v>
      </c>
      <c r="M13" s="380"/>
      <c r="N13" s="34" t="str">
        <f>N9</f>
        <v>Forecast                       Sep 26 - Mar 27 £'000</v>
      </c>
      <c r="O13" s="34" t="str">
        <f>O9</f>
        <v>Forecast                       Apr 27 - Aug 27 £'000</v>
      </c>
      <c r="P13" s="34" t="str">
        <f>P9</f>
        <v>TOTAL                 2026/27         £'000</v>
      </c>
    </row>
    <row r="14" spans="1:19" s="8" customFormat="1" ht="46.5" x14ac:dyDescent="0.35">
      <c r="A14" s="42" t="s">
        <v>270</v>
      </c>
      <c r="B14" s="36">
        <v>660</v>
      </c>
      <c r="C14" s="37" t="s">
        <v>414</v>
      </c>
      <c r="D14" s="38" t="s">
        <v>418</v>
      </c>
      <c r="E14" s="342"/>
      <c r="F14" s="254">
        <f>'BFR 2026'!G139</f>
        <v>0</v>
      </c>
      <c r="G14" s="254">
        <f>'BFR 2026'!H139</f>
        <v>0</v>
      </c>
      <c r="H14" s="254">
        <f>'BFR 2026'!I139</f>
        <v>0</v>
      </c>
      <c r="I14" s="342"/>
      <c r="J14" s="254">
        <f>'BFR 2026'!K139</f>
        <v>0</v>
      </c>
      <c r="K14" s="254">
        <f>'BFR 2026'!L139</f>
        <v>0</v>
      </c>
      <c r="L14" s="254">
        <f>'BFR 2026'!M139</f>
        <v>0</v>
      </c>
      <c r="M14" s="380"/>
      <c r="N14" s="254">
        <f>'BFR 2026'!O139</f>
        <v>0</v>
      </c>
      <c r="O14" s="254">
        <f>'BFR 2026'!P139</f>
        <v>0</v>
      </c>
      <c r="P14" s="254">
        <f>'BFR 2026'!Q139</f>
        <v>0</v>
      </c>
    </row>
    <row r="15" spans="1:19" s="33" customFormat="1" ht="15.5" x14ac:dyDescent="0.35">
      <c r="A15" s="220" t="s">
        <v>413</v>
      </c>
      <c r="B15" s="54"/>
      <c r="C15" s="54"/>
      <c r="D15" s="55"/>
      <c r="E15" s="32"/>
      <c r="F15" s="307">
        <f>F14*1000</f>
        <v>0</v>
      </c>
      <c r="G15" s="307">
        <f>G14*1000</f>
        <v>0</v>
      </c>
      <c r="H15" s="307">
        <f>H14*1000</f>
        <v>0</v>
      </c>
      <c r="I15" s="32"/>
      <c r="J15" s="307">
        <f>J14*1000</f>
        <v>0</v>
      </c>
      <c r="K15" s="307">
        <f>K14*1000</f>
        <v>0</v>
      </c>
      <c r="L15" s="307">
        <f>L14*1000</f>
        <v>0</v>
      </c>
      <c r="M15" s="39"/>
      <c r="N15" s="307">
        <f>N14*1000</f>
        <v>0</v>
      </c>
      <c r="O15" s="307">
        <f>O14*1000</f>
        <v>0</v>
      </c>
      <c r="P15" s="307">
        <f>P14*1000</f>
        <v>0</v>
      </c>
    </row>
    <row r="16" spans="1:19" s="51" customFormat="1" ht="45" customHeight="1" x14ac:dyDescent="0.6">
      <c r="A16" s="605" t="s">
        <v>1673</v>
      </c>
      <c r="B16" s="49"/>
      <c r="C16" s="49"/>
      <c r="D16" s="50"/>
      <c r="E16" s="50"/>
      <c r="F16" s="50"/>
      <c r="G16" s="50"/>
      <c r="H16" s="50"/>
      <c r="I16" s="50"/>
      <c r="J16" s="50"/>
    </row>
    <row r="17" spans="1:18" ht="62.9" customHeight="1" x14ac:dyDescent="0.35">
      <c r="A17" s="43" t="s">
        <v>409</v>
      </c>
      <c r="B17" s="44" t="s">
        <v>92</v>
      </c>
      <c r="C17" s="43" t="s">
        <v>410</v>
      </c>
      <c r="D17" s="45" t="s">
        <v>411</v>
      </c>
      <c r="E17" s="342"/>
      <c r="F17" s="34" t="str">
        <f>"Balance at"&amp; CHAR(10) &amp;" 31 Aug "&amp;MID($H$9,25,2) &amp;"       £'000"</f>
        <v>Balance at
 31 Aug 24       £'000</v>
      </c>
      <c r="G17" s="34" t="str">
        <f>"Balance at"&amp; CHAR(10) &amp;" 31 Mar "&amp;MID($H$9,28,2) &amp;" £'000"</f>
        <v>Balance at
 31 Mar 25 £'000</v>
      </c>
      <c r="H17" s="343"/>
      <c r="I17" s="342"/>
      <c r="J17" s="34" t="str">
        <f>"Balance at"&amp; CHAR(10) &amp;"31 Aug "&amp;MID($L$9,25,2) &amp;"       £'000"</f>
        <v>Balance at
31 Aug 25       £'000</v>
      </c>
      <c r="K17" s="34" t="str">
        <f>"Balance at"&amp; CHAR(10) &amp;"31 Mar "&amp;MID($L$9,28,2) &amp;"       £'000"</f>
        <v>Balance at
31 Mar 26       £'000</v>
      </c>
      <c r="L17" s="34" t="str">
        <f>"Balance at"&amp; CHAR(10) &amp;"31 Aug "&amp;MID($L$9,28,2) &amp;"        £'000"</f>
        <v>Balance at
31 Aug 26        £'000</v>
      </c>
      <c r="M17" s="380"/>
      <c r="N17" s="34" t="str">
        <f>"Balance at"&amp; CHAR(10) &amp;"31 Apr "&amp;MID($P$9,25,2) &amp;"       £'000"</f>
        <v>Balance at
31 Apr 26       £'000</v>
      </c>
      <c r="O17" s="34" t="str">
        <f>"Balance at"&amp; CHAR(10) &amp;"31 Aug "&amp;MID($P$9,28,2) &amp;"       £'000"</f>
        <v>Balance at
31 Aug 27       £'000</v>
      </c>
    </row>
    <row r="18" spans="1:18" s="8" customFormat="1" ht="31" x14ac:dyDescent="0.35">
      <c r="A18" s="42" t="s">
        <v>415</v>
      </c>
      <c r="B18" s="36">
        <v>1001</v>
      </c>
      <c r="C18" s="37" t="s">
        <v>416</v>
      </c>
      <c r="D18" s="38" t="s">
        <v>418</v>
      </c>
      <c r="E18" s="342"/>
      <c r="F18" s="254">
        <f>'BFR 2026'!G196</f>
        <v>0</v>
      </c>
      <c r="G18" s="254">
        <f>'BFR 2026'!H196</f>
        <v>0</v>
      </c>
      <c r="H18" s="343"/>
      <c r="I18" s="342"/>
      <c r="J18" s="254">
        <f>'BFR 2026'!K196</f>
        <v>0</v>
      </c>
      <c r="K18" s="254">
        <f>'BFR 2026'!L196</f>
        <v>0</v>
      </c>
      <c r="L18" s="254">
        <f>'BFR 2026'!M196</f>
        <v>0</v>
      </c>
      <c r="M18" s="380"/>
      <c r="N18" s="254">
        <f>'BFR 2026'!O196</f>
        <v>0</v>
      </c>
      <c r="O18" s="254">
        <f>'BFR 2026'!P196</f>
        <v>0</v>
      </c>
      <c r="P18" s="31"/>
    </row>
    <row r="19" spans="1:18" s="33" customFormat="1" ht="15.5" x14ac:dyDescent="0.35">
      <c r="A19" s="220" t="s">
        <v>413</v>
      </c>
      <c r="B19" s="54"/>
      <c r="C19" s="54"/>
      <c r="D19" s="55"/>
      <c r="E19" s="32"/>
      <c r="F19" s="307">
        <f>F18*1000</f>
        <v>0</v>
      </c>
      <c r="G19" s="307">
        <f>G18*1000</f>
        <v>0</v>
      </c>
      <c r="H19" s="343"/>
      <c r="I19" s="32"/>
      <c r="J19" s="307">
        <f>J18*1000</f>
        <v>0</v>
      </c>
      <c r="K19" s="307">
        <f>K18*1000</f>
        <v>0</v>
      </c>
      <c r="L19" s="307">
        <f>L18*1000</f>
        <v>0</v>
      </c>
      <c r="M19" s="39"/>
      <c r="N19" s="307">
        <f>N18*1000</f>
        <v>0</v>
      </c>
      <c r="O19" s="307">
        <f>O18*1000</f>
        <v>0</v>
      </c>
      <c r="P19" s="31"/>
    </row>
    <row r="20" spans="1:18" s="48" customFormat="1" ht="45" customHeight="1" x14ac:dyDescent="0.7">
      <c r="A20" s="290" t="s">
        <v>1674</v>
      </c>
      <c r="B20" s="46"/>
      <c r="C20" s="46"/>
      <c r="D20" s="46"/>
      <c r="E20" s="47"/>
      <c r="F20" s="47"/>
      <c r="G20" s="47"/>
      <c r="H20" s="47"/>
      <c r="I20" s="47"/>
      <c r="J20" s="47"/>
      <c r="K20" s="47"/>
    </row>
    <row r="21" spans="1:18" s="51" customFormat="1" ht="45" customHeight="1" x14ac:dyDescent="0.6">
      <c r="A21" s="605" t="s">
        <v>406</v>
      </c>
      <c r="B21" s="49"/>
      <c r="C21" s="49"/>
      <c r="D21" s="50"/>
      <c r="E21" s="50"/>
      <c r="F21" s="50"/>
      <c r="G21" s="50"/>
      <c r="H21" s="50"/>
      <c r="I21" s="50"/>
      <c r="J21" s="50"/>
    </row>
    <row r="22" spans="1:18" ht="31" x14ac:dyDescent="0.35">
      <c r="A22" s="43" t="s">
        <v>409</v>
      </c>
      <c r="B22" s="44" t="s">
        <v>92</v>
      </c>
      <c r="C22" s="43" t="s">
        <v>410</v>
      </c>
      <c r="D22" s="45" t="s">
        <v>411</v>
      </c>
      <c r="E22" s="342"/>
      <c r="F22" s="34" t="str">
        <f>RIGHT('Version control'!$A$1,4)&amp;"/"&amp;RIGHT('Version control'!$A$1,4)-2000+1 &amp;"                               £'000"</f>
        <v>2026/27                               £'000</v>
      </c>
      <c r="G22" s="34" t="str">
        <f>RIGHT('Version control'!$A$1,4)+1&amp;"/"&amp;RIGHT('Version control'!$A$1,4)-2000+2 &amp;"                               £'000"</f>
        <v>2027/28                               £'000</v>
      </c>
      <c r="H22" s="34" t="str">
        <f>RIGHT('Version control'!$A$1,4)+2&amp;"/"&amp;RIGHT('Version control'!$A$1,4)-2000+3 &amp;"                               £'000"</f>
        <v>2028/29                               £'000</v>
      </c>
      <c r="I22" s="342"/>
      <c r="J22" s="342"/>
      <c r="K22" s="342"/>
      <c r="L22" s="342"/>
      <c r="M22" s="380"/>
      <c r="N22" s="342"/>
      <c r="O22" s="342"/>
    </row>
    <row r="23" spans="1:18" ht="31" x14ac:dyDescent="0.35">
      <c r="A23" s="42" t="s">
        <v>417</v>
      </c>
      <c r="B23" s="36">
        <v>4000</v>
      </c>
      <c r="C23" s="37" t="s">
        <v>406</v>
      </c>
      <c r="D23" s="38" t="s">
        <v>418</v>
      </c>
      <c r="E23" s="342"/>
      <c r="F23" s="254">
        <f>'BFR 2026'!G312</f>
        <v>0</v>
      </c>
      <c r="G23" s="254">
        <f>'BFR 2026'!H312</f>
        <v>0</v>
      </c>
      <c r="H23" s="254">
        <f>'BFR 2026'!I312</f>
        <v>0</v>
      </c>
      <c r="I23" s="342"/>
      <c r="J23" s="342"/>
      <c r="K23" s="342"/>
      <c r="L23" s="342"/>
      <c r="M23" s="380"/>
      <c r="N23" s="342"/>
      <c r="O23" s="342"/>
    </row>
    <row r="24" spans="1:18" s="33" customFormat="1" ht="15.5" x14ac:dyDescent="0.35">
      <c r="A24" s="53" t="s">
        <v>413</v>
      </c>
      <c r="B24" s="54"/>
      <c r="C24" s="54"/>
      <c r="D24" s="55"/>
      <c r="E24" s="32"/>
      <c r="F24" s="308">
        <f>F23*1000</f>
        <v>0</v>
      </c>
      <c r="G24" s="308">
        <f>G23*1000</f>
        <v>0</v>
      </c>
      <c r="H24" s="308">
        <f>H23*1000</f>
        <v>0</v>
      </c>
      <c r="I24" s="342"/>
      <c r="J24" s="40"/>
      <c r="K24" s="342"/>
      <c r="L24" s="41"/>
      <c r="M24" s="380"/>
      <c r="N24" s="342"/>
      <c r="O24" s="342"/>
      <c r="P24" s="342"/>
      <c r="Q24" s="342"/>
      <c r="R24" s="32"/>
    </row>
    <row r="25" spans="1:18" s="51" customFormat="1" ht="45" customHeight="1" x14ac:dyDescent="0.6">
      <c r="A25" s="605" t="s">
        <v>364</v>
      </c>
      <c r="B25" s="49"/>
      <c r="C25" s="49"/>
      <c r="D25" s="50"/>
      <c r="E25" s="50"/>
      <c r="F25" s="50"/>
      <c r="G25" s="50"/>
      <c r="H25" s="50"/>
    </row>
    <row r="26" spans="1:18" s="19" customFormat="1" ht="45" customHeight="1" x14ac:dyDescent="0.35">
      <c r="A26" s="43" t="s">
        <v>409</v>
      </c>
      <c r="B26" s="44" t="s">
        <v>92</v>
      </c>
      <c r="C26" s="43" t="s">
        <v>410</v>
      </c>
      <c r="D26" s="45" t="s">
        <v>411</v>
      </c>
      <c r="E26" s="342"/>
      <c r="F26" s="34" t="str">
        <f>RIGHT('Version control'!$A$1,4)&amp;"/"&amp;RIGHT('Version control'!$A$1,4)-2000+1 &amp;"                               £'000"</f>
        <v>2026/27                               £'000</v>
      </c>
      <c r="G26" s="34" t="str">
        <f>RIGHT('Version control'!$A$1,4)+1&amp;"/"&amp;RIGHT('Version control'!$A$1,4)-2000+2 &amp;"                               £'000"</f>
        <v>2027/28                               £'000</v>
      </c>
      <c r="H26" s="34" t="str">
        <f>RIGHT('Version control'!$A$1,4)+2&amp;"/"&amp;RIGHT('Version control'!$A$1,4)-2000+3 &amp;"                               £'000"</f>
        <v>2028/29                               £'000</v>
      </c>
    </row>
    <row r="27" spans="1:18" ht="31" x14ac:dyDescent="0.35">
      <c r="A27" s="42" t="s">
        <v>419</v>
      </c>
      <c r="B27" s="36">
        <v>6600</v>
      </c>
      <c r="C27" s="37" t="s">
        <v>364</v>
      </c>
      <c r="D27" s="38" t="s">
        <v>418</v>
      </c>
      <c r="E27" s="342"/>
      <c r="F27" s="254">
        <f>'BFR 2026'!G324</f>
        <v>0</v>
      </c>
      <c r="G27" s="254">
        <f>'BFR 2026'!H324</f>
        <v>0</v>
      </c>
      <c r="H27" s="254">
        <f>'BFR 2026'!I324</f>
        <v>0</v>
      </c>
    </row>
    <row r="28" spans="1:18" s="33" customFormat="1" ht="15.5" x14ac:dyDescent="0.35">
      <c r="A28" s="53" t="s">
        <v>413</v>
      </c>
      <c r="B28" s="54"/>
      <c r="C28" s="54"/>
      <c r="D28" s="55"/>
      <c r="E28" s="32"/>
      <c r="F28" s="308">
        <f>F27*1000</f>
        <v>0</v>
      </c>
      <c r="G28" s="308">
        <f t="shared" ref="G28:H28" si="0">G27*1000</f>
        <v>0</v>
      </c>
      <c r="H28" s="308">
        <f t="shared" si="0"/>
        <v>0</v>
      </c>
      <c r="I28" s="342"/>
      <c r="J28" s="342"/>
      <c r="K28" s="342"/>
      <c r="L28" s="342"/>
      <c r="M28" s="342"/>
      <c r="N28" s="342"/>
      <c r="O28" s="342"/>
      <c r="P28" s="342"/>
      <c r="Q28" s="342"/>
      <c r="R28" s="32"/>
    </row>
    <row r="29" spans="1:18" s="51" customFormat="1" ht="45" customHeight="1" x14ac:dyDescent="0.6">
      <c r="A29" s="605" t="s">
        <v>387</v>
      </c>
      <c r="B29" s="49"/>
      <c r="C29" s="49"/>
      <c r="D29" s="50"/>
      <c r="E29" s="50"/>
      <c r="F29" s="309"/>
      <c r="G29" s="309"/>
      <c r="H29" s="309"/>
    </row>
    <row r="30" spans="1:18" s="19" customFormat="1" ht="45" customHeight="1" x14ac:dyDescent="0.35">
      <c r="A30" s="43" t="s">
        <v>409</v>
      </c>
      <c r="B30" s="44" t="s">
        <v>92</v>
      </c>
      <c r="C30" s="43" t="s">
        <v>410</v>
      </c>
      <c r="D30" s="45" t="s">
        <v>411</v>
      </c>
      <c r="E30" s="342"/>
      <c r="F30" s="34" t="str">
        <f>RIGHT('Version control'!$A$1,4)&amp;"/"&amp;RIGHT('Version control'!$A$1,4)-2000+1 &amp;"                               £'000"</f>
        <v>2026/27                               £'000</v>
      </c>
      <c r="G30" s="34" t="str">
        <f>RIGHT('Version control'!$A$1,4)+1&amp;"/"&amp;RIGHT('Version control'!$A$1,4)-2000+2 &amp;"                               £'000"</f>
        <v>2027/28                               £'000</v>
      </c>
      <c r="H30" s="34" t="str">
        <f>RIGHT('Version control'!$A$1,4)+2&amp;"/"&amp;RIGHT('Version control'!$A$1,4)-2000+3 &amp;"                               £'000"</f>
        <v>2028/29                               £'000</v>
      </c>
    </row>
    <row r="31" spans="1:18" ht="31" x14ac:dyDescent="0.35">
      <c r="A31" s="42" t="s">
        <v>420</v>
      </c>
      <c r="B31" s="36">
        <v>8000</v>
      </c>
      <c r="C31" s="37" t="s">
        <v>387</v>
      </c>
      <c r="D31" s="38" t="s">
        <v>418</v>
      </c>
      <c r="E31" s="342"/>
      <c r="F31" s="254">
        <f>'BFR 2026'!G337</f>
        <v>0</v>
      </c>
      <c r="G31" s="254">
        <f>'BFR 2026'!H337</f>
        <v>0</v>
      </c>
      <c r="H31" s="254">
        <f>'BFR 2026'!I337</f>
        <v>0</v>
      </c>
    </row>
    <row r="32" spans="1:18" s="33" customFormat="1" ht="15.5" x14ac:dyDescent="0.35">
      <c r="A32" s="53" t="s">
        <v>413</v>
      </c>
      <c r="B32" s="54"/>
      <c r="C32" s="54"/>
      <c r="D32" s="55"/>
      <c r="E32" s="32"/>
      <c r="F32" s="308">
        <f>F31*1000</f>
        <v>0</v>
      </c>
      <c r="G32" s="308">
        <f>G31*1000</f>
        <v>0</v>
      </c>
      <c r="H32" s="308">
        <f>H31*1000</f>
        <v>0</v>
      </c>
      <c r="I32" s="342"/>
      <c r="J32" s="342"/>
      <c r="K32" s="342"/>
      <c r="L32" s="342"/>
      <c r="M32" s="342"/>
      <c r="N32" s="342"/>
      <c r="O32" s="342"/>
      <c r="P32" s="342"/>
      <c r="Q32" s="342"/>
      <c r="R32" s="32"/>
    </row>
    <row r="33" spans="1:8" s="48" customFormat="1" ht="45" customHeight="1" x14ac:dyDescent="0.7">
      <c r="A33" s="290" t="s">
        <v>421</v>
      </c>
      <c r="B33" s="46"/>
      <c r="C33" s="46"/>
      <c r="D33" s="46"/>
      <c r="E33" s="47"/>
      <c r="G33" s="47"/>
      <c r="H33" s="47"/>
    </row>
    <row r="34" spans="1:8" ht="50.15" customHeight="1" x14ac:dyDescent="0.35">
      <c r="A34" s="201" t="s">
        <v>422</v>
      </c>
      <c r="B34" s="52"/>
      <c r="C34" s="410" t="str">
        <f>IF(B34="Yes"," ","*Error* - You must answer Yes ")</f>
        <v xml:space="preserve">*Error* - You must answer Yes </v>
      </c>
      <c r="D34" s="342"/>
      <c r="E34" s="342"/>
      <c r="F34" s="411"/>
    </row>
    <row r="35" spans="1:8" ht="45" customHeight="1" x14ac:dyDescent="0.35">
      <c r="A35" s="299" t="s">
        <v>0</v>
      </c>
    </row>
  </sheetData>
  <sheetProtection algorithmName="SHA-512" hashValue="pI7HPv9eVVbWAxMd5qV2keniAvURXdaqs+UXew4Hwj+AEjRNGZvR6fWPJf0c7w/Nd+HlYMOnnaqxY3bO6/hzFA==" saltValue="1Olb+A2ARkKFMS9VDPV/JQ==" spinCount="100000" sheet="1" objects="1" scenarios="1"/>
  <conditionalFormatting sqref="C34">
    <cfRule type="containsText" dxfId="160" priority="116" operator="containsText" text="OK">
      <formula>NOT(ISERROR(SEARCH("OK",C34)))</formula>
    </cfRule>
    <cfRule type="containsText" dxfId="159" priority="111" operator="containsText" text="Error">
      <formula>NOT(ISERROR(SEARCH("Error",C34)))</formula>
    </cfRule>
    <cfRule type="notContainsText" dxfId="158" priority="115" operator="notContains" text="OK">
      <formula>ISERROR(SEARCH("OK",C34))</formula>
    </cfRule>
    <cfRule type="containsText" dxfId="157" priority="114" operator="containsText" text="Error">
      <formula>NOT(ISERROR(SEARCH("Error",C34)))</formula>
    </cfRule>
    <cfRule type="containsBlanks" dxfId="156" priority="113">
      <formula>LEN(TRIM(C34))=0</formula>
    </cfRule>
    <cfRule type="containsText" dxfId="155" priority="112" operator="containsText" text="Error">
      <formula>NOT(ISERROR(SEARCH("Error",C34)))</formula>
    </cfRule>
  </conditionalFormatting>
  <conditionalFormatting sqref="F18:G19 N18:O19">
    <cfRule type="cellIs" dxfId="154" priority="71" operator="greaterThan">
      <formula>0</formula>
    </cfRule>
    <cfRule type="cellIs" dxfId="153" priority="70" operator="greaterThan">
      <formula>0</formula>
    </cfRule>
  </conditionalFormatting>
  <conditionalFormatting sqref="F10:H11 J10:L11 F18:G19 J18:L19 N18:O19">
    <cfRule type="cellIs" dxfId="152" priority="73" operator="lessThan">
      <formula>0</formula>
    </cfRule>
    <cfRule type="cellIs" dxfId="151" priority="72" operator="lessThan">
      <formula>0</formula>
    </cfRule>
    <cfRule type="cellIs" dxfId="150" priority="69" operator="lessThan">
      <formula>0</formula>
    </cfRule>
    <cfRule type="cellIs" dxfId="149" priority="74" operator="lessThan">
      <formula>0</formula>
    </cfRule>
  </conditionalFormatting>
  <conditionalFormatting sqref="F10:H11 J10:L11 J18:L19 F31:H32">
    <cfRule type="cellIs" dxfId="148" priority="22" operator="greaterThan">
      <formula>0</formula>
    </cfRule>
    <cfRule type="cellIs" dxfId="147" priority="23" operator="greaterThan">
      <formula>0</formula>
    </cfRule>
  </conditionalFormatting>
  <conditionalFormatting sqref="F23:H24">
    <cfRule type="cellIs" dxfId="146" priority="56" operator="lessThan">
      <formula>0</formula>
    </cfRule>
    <cfRule type="cellIs" dxfId="145" priority="52" operator="greaterThan">
      <formula>0</formula>
    </cfRule>
    <cfRule type="cellIs" dxfId="144" priority="55" operator="lessThan">
      <formula>0</formula>
    </cfRule>
    <cfRule type="cellIs" dxfId="143" priority="53" operator="greaterThan">
      <formula>0</formula>
    </cfRule>
    <cfRule type="cellIs" dxfId="142" priority="54" operator="lessThan">
      <formula>0</formula>
    </cfRule>
    <cfRule type="cellIs" dxfId="141" priority="51" operator="lessThan">
      <formula>0</formula>
    </cfRule>
  </conditionalFormatting>
  <conditionalFormatting sqref="F27:H27">
    <cfRule type="cellIs" dxfId="140" priority="3" operator="lessThan">
      <formula>0</formula>
    </cfRule>
    <cfRule type="cellIs" dxfId="139" priority="6" operator="lessThan">
      <formula>0</formula>
    </cfRule>
    <cfRule type="cellIs" dxfId="138" priority="8" operator="lessThan">
      <formula>0</formula>
    </cfRule>
    <cfRule type="cellIs" dxfId="137" priority="9" operator="lessThan">
      <formula>0</formula>
    </cfRule>
    <cfRule type="cellIs" dxfId="136" priority="7" operator="lessThan">
      <formula>0</formula>
    </cfRule>
    <cfRule type="cellIs" dxfId="135" priority="14" operator="lessThan">
      <formula>0</formula>
    </cfRule>
    <cfRule type="cellIs" dxfId="134" priority="13" operator="lessThan">
      <formula>0</formula>
    </cfRule>
    <cfRule type="cellIs" dxfId="133" priority="12" operator="lessThan">
      <formula>0</formula>
    </cfRule>
  </conditionalFormatting>
  <conditionalFormatting sqref="F27:H28">
    <cfRule type="cellIs" dxfId="132" priority="4" operator="greaterThan">
      <formula>0</formula>
    </cfRule>
    <cfRule type="cellIs" dxfId="131" priority="5" operator="greaterThan">
      <formula>0</formula>
    </cfRule>
    <cfRule type="cellIs" dxfId="130" priority="20" operator="lessThan">
      <formula>0</formula>
    </cfRule>
    <cfRule type="cellIs" dxfId="129" priority="19" operator="lessThan">
      <formula>0</formula>
    </cfRule>
    <cfRule type="cellIs" dxfId="128" priority="18" operator="lessThan">
      <formula>0</formula>
    </cfRule>
    <cfRule type="cellIs" dxfId="127" priority="15" operator="lessThan">
      <formula>0</formula>
    </cfRule>
  </conditionalFormatting>
  <conditionalFormatting sqref="F31:H31">
    <cfRule type="cellIs" dxfId="126" priority="27" operator="lessThan">
      <formula>0</formula>
    </cfRule>
    <cfRule type="cellIs" dxfId="125" priority="31" operator="lessThan">
      <formula>0</formula>
    </cfRule>
    <cfRule type="cellIs" dxfId="124" priority="32" operator="lessThan">
      <formula>0</formula>
    </cfRule>
    <cfRule type="cellIs" dxfId="123" priority="30" operator="lessThan">
      <formula>0</formula>
    </cfRule>
    <cfRule type="cellIs" dxfId="122" priority="26" operator="lessThan">
      <formula>0</formula>
    </cfRule>
    <cfRule type="cellIs" dxfId="121" priority="25" operator="lessThan">
      <formula>0</formula>
    </cfRule>
    <cfRule type="cellIs" dxfId="120" priority="24" operator="lessThan">
      <formula>0</formula>
    </cfRule>
    <cfRule type="cellIs" dxfId="119" priority="21" operator="lessThan">
      <formula>0</formula>
    </cfRule>
  </conditionalFormatting>
  <conditionalFormatting sqref="F31:H32">
    <cfRule type="cellIs" dxfId="118" priority="36" operator="lessThan">
      <formula>0</formula>
    </cfRule>
    <cfRule type="cellIs" dxfId="117" priority="37" operator="lessThan">
      <formula>0</formula>
    </cfRule>
    <cfRule type="cellIs" dxfId="116" priority="38" operator="lessThan">
      <formula>0</formula>
    </cfRule>
    <cfRule type="cellIs" dxfId="115" priority="33" operator="lessThan">
      <formula>0</formula>
    </cfRule>
  </conditionalFormatting>
  <conditionalFormatting sqref="H17:H19">
    <cfRule type="cellIs" dxfId="114" priority="430" operator="equal">
      <formula>"Check Validations"</formula>
    </cfRule>
    <cfRule type="cellIs" dxfId="113" priority="429" operator="equal">
      <formula>"Check Validation"</formula>
    </cfRule>
  </conditionalFormatting>
  <conditionalFormatting sqref="J14:L15">
    <cfRule type="cellIs" dxfId="112" priority="81" operator="lessThan">
      <formula>0</formula>
    </cfRule>
    <cfRule type="cellIs" dxfId="111" priority="82" operator="greaterThan">
      <formula>0</formula>
    </cfRule>
    <cfRule type="cellIs" dxfId="110" priority="83" operator="greaterThan">
      <formula>0</formula>
    </cfRule>
    <cfRule type="cellIs" dxfId="109" priority="85" operator="lessThan">
      <formula>0</formula>
    </cfRule>
    <cfRule type="cellIs" dxfId="108" priority="86" operator="lessThan">
      <formula>0</formula>
    </cfRule>
    <cfRule type="cellIs" dxfId="107" priority="84" operator="lessThan">
      <formula>0</formula>
    </cfRule>
  </conditionalFormatting>
  <conditionalFormatting sqref="K2:M2">
    <cfRule type="cellIs" dxfId="106" priority="2" operator="notEqual">
      <formula>""""""</formula>
    </cfRule>
  </conditionalFormatting>
  <conditionalFormatting sqref="N10:P11 F14:H15">
    <cfRule type="cellIs" dxfId="105" priority="87" operator="lessThan">
      <formula>0</formula>
    </cfRule>
    <cfRule type="cellIs" dxfId="104" priority="88" operator="greaterThan">
      <formula>0</formula>
    </cfRule>
    <cfRule type="cellIs" dxfId="103" priority="89" operator="greaterThan">
      <formula>0</formula>
    </cfRule>
    <cfRule type="cellIs" dxfId="102" priority="90" operator="lessThan">
      <formula>0</formula>
    </cfRule>
    <cfRule type="cellIs" dxfId="101" priority="91" operator="lessThan">
      <formula>0</formula>
    </cfRule>
    <cfRule type="cellIs" dxfId="100" priority="92" operator="lessThan">
      <formula>0</formula>
    </cfRule>
  </conditionalFormatting>
  <conditionalFormatting sqref="N14:P15">
    <cfRule type="cellIs" dxfId="99" priority="80" operator="lessThan">
      <formula>0</formula>
    </cfRule>
    <cfRule type="cellIs" dxfId="98" priority="75" operator="lessThan">
      <formula>0</formula>
    </cfRule>
    <cfRule type="cellIs" dxfId="97" priority="76" operator="greaterThan">
      <formula>0</formula>
    </cfRule>
    <cfRule type="cellIs" dxfId="96" priority="77" operator="greaterThan">
      <formula>0</formula>
    </cfRule>
    <cfRule type="cellIs" dxfId="95" priority="78" operator="lessThan">
      <formula>0</formula>
    </cfRule>
    <cfRule type="cellIs" dxfId="94" priority="79" operator="lessThan">
      <formula>0</formula>
    </cfRule>
  </conditionalFormatting>
  <dataValidations disablePrompts="1" count="1">
    <dataValidation type="list" allowBlank="1" showInputMessage="1" showErrorMessage="1" sqref="J28 Q19 J24 Q15 J32 Q11" xr:uid="{9CC4F909-8B6C-4E7D-BB9B-D8EDF7576DDC}">
      <formula1>$C$57:$C$58</formula1>
    </dataValidation>
  </dataValidations>
  <hyperlinks>
    <hyperlink ref="A35" location="Index!A1" display="Index page" xr:uid="{8A3F423A-F8A4-4685-8A24-6A034B10B3E3}"/>
    <hyperlink ref="G1" location="Index!A1" display="Index page" xr:uid="{4FC8DAA9-BB5F-44E0-9F36-318F35BBAE13}"/>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6"/>
  <sheetViews>
    <sheetView zoomScaleNormal="100" workbookViewId="0"/>
  </sheetViews>
  <sheetFormatPr defaultColWidth="0" defaultRowHeight="14" zeroHeight="1" x14ac:dyDescent="0.3"/>
  <cols>
    <col min="1" max="1" width="88.453125" style="229" customWidth="1"/>
    <col min="2" max="2" width="50.54296875" style="229" customWidth="1"/>
    <col min="3" max="3" width="41.453125" style="229" customWidth="1"/>
    <col min="4" max="7" width="9" style="229" hidden="1" customWidth="1"/>
    <col min="8" max="8" width="61.54296875" style="229" hidden="1" customWidth="1"/>
    <col min="9" max="10" width="9" style="229" hidden="1" customWidth="1"/>
    <col min="11" max="14" width="9" style="228" hidden="1" customWidth="1"/>
    <col min="15" max="15" width="3.54296875" style="228" hidden="1" customWidth="1"/>
    <col min="16" max="16" width="15.54296875" style="228" hidden="1" customWidth="1"/>
    <col min="17" max="21" width="0" style="228" hidden="1" customWidth="1"/>
    <col min="22" max="16382" width="0" style="229" hidden="1"/>
    <col min="16383" max="16383" width="3.54296875" style="229" hidden="1" customWidth="1"/>
    <col min="16384" max="16384" width="8.453125" style="229" hidden="1" customWidth="1"/>
  </cols>
  <sheetData>
    <row r="1" spans="1:19" s="226" customFormat="1" ht="50.25" customHeight="1" x14ac:dyDescent="0.35">
      <c r="A1" s="573" t="s">
        <v>41</v>
      </c>
      <c r="B1" s="234"/>
      <c r="C1" s="463" t="s">
        <v>0</v>
      </c>
    </row>
    <row r="2" spans="1:19" s="33" customFormat="1" ht="18.75" customHeight="1" x14ac:dyDescent="0.35">
      <c r="A2" s="440" t="s">
        <v>1678</v>
      </c>
      <c r="B2" s="607"/>
      <c r="C2" s="607"/>
      <c r="D2" s="342"/>
      <c r="E2" s="342"/>
      <c r="F2" s="342"/>
      <c r="G2" s="342"/>
      <c r="H2" s="342"/>
      <c r="I2" s="342"/>
      <c r="J2" s="342"/>
      <c r="K2" s="132"/>
      <c r="L2" s="133"/>
      <c r="M2" s="133"/>
      <c r="N2" s="297"/>
      <c r="O2" s="297"/>
      <c r="P2" s="297"/>
      <c r="Q2" s="298"/>
      <c r="R2" s="353"/>
      <c r="S2" s="353"/>
    </row>
    <row r="3" spans="1:19" s="226" customFormat="1" ht="45" customHeight="1" x14ac:dyDescent="0.35">
      <c r="A3" s="412" t="s">
        <v>1677</v>
      </c>
      <c r="B3" s="234"/>
      <c r="C3" s="234"/>
    </row>
    <row r="4" spans="1:19" s="226" customFormat="1" ht="17.5" x14ac:dyDescent="0.35">
      <c r="A4" s="198" t="s">
        <v>51</v>
      </c>
      <c r="B4" s="200" t="s">
        <v>1679</v>
      </c>
      <c r="C4" s="198" t="s">
        <v>52</v>
      </c>
    </row>
    <row r="5" spans="1:19" s="226" customFormat="1" ht="30" customHeight="1" x14ac:dyDescent="0.35">
      <c r="A5" s="336" t="s">
        <v>423</v>
      </c>
      <c r="B5" s="413"/>
      <c r="C5" s="410" t="str">
        <f>IF(B5="","*Error* - This cell should not be blank."," ")</f>
        <v>*Error* - This cell should not be blank.</v>
      </c>
    </row>
    <row r="6" spans="1:19" s="226" customFormat="1" ht="30" customHeight="1" x14ac:dyDescent="0.35">
      <c r="A6" s="336" t="s">
        <v>1668</v>
      </c>
      <c r="B6" s="413"/>
      <c r="C6" s="410" t="str">
        <f>IF(B6="","*Error* - This cell should not be blank."," ")</f>
        <v>*Error* - This cell should not be blank.</v>
      </c>
    </row>
    <row r="7" spans="1:19" s="226" customFormat="1" ht="30" customHeight="1" x14ac:dyDescent="0.35">
      <c r="A7" s="336" t="s">
        <v>425</v>
      </c>
      <c r="B7" s="155"/>
      <c r="C7" s="410" t="str">
        <f>IF(B7="","*Error* - This cell should not be blank.","")</f>
        <v>*Error* - This cell should not be blank.</v>
      </c>
    </row>
    <row r="8" spans="1:19" s="226" customFormat="1" ht="30" customHeight="1" x14ac:dyDescent="0.35">
      <c r="A8" s="336" t="s">
        <v>424</v>
      </c>
      <c r="B8" s="598"/>
      <c r="C8" s="410" t="str">
        <f>IF(B8="","*Error* - This cell should not be blank."," ")</f>
        <v>*Error* - This cell should not be blank.</v>
      </c>
    </row>
    <row r="9" spans="1:19" s="226" customFormat="1" ht="83.15" customHeight="1" x14ac:dyDescent="0.35">
      <c r="A9" s="410" t="s">
        <v>426</v>
      </c>
      <c r="B9" s="414"/>
      <c r="C9" s="410" t="str">
        <f>IF(B9="","*Error* - This cell should not be blank."," ")</f>
        <v>*Error* - This cell should not be blank.</v>
      </c>
    </row>
    <row r="10" spans="1:19" s="226" customFormat="1" ht="30" customHeight="1" x14ac:dyDescent="0.35">
      <c r="A10" s="410" t="s">
        <v>427</v>
      </c>
      <c r="B10" s="415"/>
      <c r="C10" s="410" t="str">
        <f>IF(B10="","*Error* - This cell should not be blank."," ")</f>
        <v>*Error* - This cell should not be blank.</v>
      </c>
    </row>
    <row r="11" spans="1:19" s="230" customFormat="1" ht="40.4" customHeight="1" x14ac:dyDescent="0.7">
      <c r="A11" s="606" t="s">
        <v>39</v>
      </c>
      <c r="B11" s="46"/>
      <c r="C11" s="235"/>
    </row>
    <row r="12" spans="1:19" s="226" customFormat="1" ht="63" customHeight="1" x14ac:dyDescent="0.35">
      <c r="A12" s="412" t="s">
        <v>428</v>
      </c>
      <c r="B12" s="413"/>
      <c r="C12" s="410" t="str">
        <f>IF(B12="Yes"," ","*Error* - You must answer Yes ")</f>
        <v xml:space="preserve">*Error* - You must answer Yes </v>
      </c>
    </row>
    <row r="13" spans="1:19" s="230" customFormat="1" ht="45" customHeight="1" x14ac:dyDescent="0.7">
      <c r="A13" s="606" t="s">
        <v>429</v>
      </c>
      <c r="B13" s="46"/>
      <c r="C13" s="235"/>
    </row>
    <row r="14" spans="1:19" s="226" customFormat="1" ht="40.15" customHeight="1" x14ac:dyDescent="0.35">
      <c r="A14" s="395" t="s">
        <v>1675</v>
      </c>
      <c r="B14" s="293">
        <f>'Validations table'!B5</f>
        <v>9</v>
      </c>
      <c r="C14" s="410" t="str">
        <f>IF(B14&gt;0,"*Error* - Clear all validations triggered before inputting on the online form","")</f>
        <v>*Error* - Clear all validations triggered before inputting on the online form</v>
      </c>
    </row>
    <row r="15" spans="1:19" ht="45" customHeight="1" x14ac:dyDescent="0.35">
      <c r="A15" s="530" t="s">
        <v>1479</v>
      </c>
      <c r="B15" s="237"/>
      <c r="C15" s="237"/>
    </row>
    <row r="16" spans="1:19" hidden="1" x14ac:dyDescent="0.3">
      <c r="A16" s="237"/>
      <c r="B16" s="237"/>
      <c r="C16" s="237"/>
    </row>
  </sheetData>
  <sheetProtection algorithmName="SHA-512" hashValue="03jo0BWWF2ABrG4W+zymkjV/dSNPAv7LpkKDkxeQwuARXcjaDzHA3BvNSEewxsgn01jGX7QsrgNkE6CliSqC7Q==" saltValue="LJ90cMBNm5GMkaLAlYtDPw==" spinCount="100000" sheet="1" objects="1" scenarios="1"/>
  <conditionalFormatting sqref="B14">
    <cfRule type="cellIs" dxfId="93" priority="2" operator="lessThan">
      <formula>0</formula>
    </cfRule>
    <cfRule type="cellIs" dxfId="92" priority="3" operator="greaterThan">
      <formula>0</formula>
    </cfRule>
    <cfRule type="cellIs" dxfId="91" priority="4" operator="greaterThan">
      <formula>0</formula>
    </cfRule>
    <cfRule type="cellIs" dxfId="90" priority="5" operator="lessThan">
      <formula>0</formula>
    </cfRule>
    <cfRule type="cellIs" dxfId="89" priority="6" operator="lessThan">
      <formula>0</formula>
    </cfRule>
    <cfRule type="cellIs" dxfId="88" priority="7" operator="lessThan">
      <formula>0</formula>
    </cfRule>
  </conditionalFormatting>
  <conditionalFormatting sqref="C5:C10">
    <cfRule type="containsText" dxfId="87" priority="32" operator="containsText" text="Error">
      <formula>NOT(ISERROR(SEARCH("Error",C5)))</formula>
    </cfRule>
    <cfRule type="containsText" dxfId="86" priority="33" operator="containsText" text="Error">
      <formula>NOT(ISERROR(SEARCH("Error",C5)))</formula>
    </cfRule>
    <cfRule type="containsBlanks" dxfId="85" priority="34">
      <formula>LEN(TRIM(C5))=0</formula>
    </cfRule>
    <cfRule type="containsText" dxfId="84" priority="35" operator="containsText" text="Error">
      <formula>NOT(ISERROR(SEARCH("Error",C5)))</formula>
    </cfRule>
    <cfRule type="notContainsText" dxfId="83" priority="36" operator="notContains" text="OK">
      <formula>ISERROR(SEARCH("OK",C5))</formula>
    </cfRule>
    <cfRule type="containsText" dxfId="82" priority="37" operator="containsText" text="OK">
      <formula>NOT(ISERROR(SEARCH("OK",C5)))</formula>
    </cfRule>
  </conditionalFormatting>
  <conditionalFormatting sqref="C12">
    <cfRule type="containsText" dxfId="81" priority="26" operator="containsText" text="Error">
      <formula>NOT(ISERROR(SEARCH("Error",C12)))</formula>
    </cfRule>
    <cfRule type="containsText" dxfId="80" priority="27" operator="containsText" text="Error">
      <formula>NOT(ISERROR(SEARCH("Error",C12)))</formula>
    </cfRule>
    <cfRule type="containsBlanks" dxfId="79" priority="28">
      <formula>LEN(TRIM(C12))=0</formula>
    </cfRule>
    <cfRule type="containsText" dxfId="78" priority="29" operator="containsText" text="Error">
      <formula>NOT(ISERROR(SEARCH("Error",C12)))</formula>
    </cfRule>
    <cfRule type="notContainsText" dxfId="77" priority="30" operator="notContains" text="OK">
      <formula>ISERROR(SEARCH("OK",C12))</formula>
    </cfRule>
    <cfRule type="containsText" dxfId="76" priority="31" operator="containsText" text="OK">
      <formula>NOT(ISERROR(SEARCH("OK",C12)))</formula>
    </cfRule>
  </conditionalFormatting>
  <conditionalFormatting sqref="C14">
    <cfRule type="containsText" dxfId="75" priority="8" operator="containsText" text="Error">
      <formula>NOT(ISERROR(SEARCH("Error",C14)))</formula>
    </cfRule>
    <cfRule type="containsText" dxfId="74" priority="9" operator="containsText" text="Error">
      <formula>NOT(ISERROR(SEARCH("Error",C14)))</formula>
    </cfRule>
    <cfRule type="containsBlanks" dxfId="73" priority="10">
      <formula>LEN(TRIM(C14))=0</formula>
    </cfRule>
    <cfRule type="containsText" dxfId="72" priority="11" operator="containsText" text="Error">
      <formula>NOT(ISERROR(SEARCH("Error",C14)))</formula>
    </cfRule>
    <cfRule type="notContainsText" dxfId="71" priority="12" operator="notContains" text="OK">
      <formula>ISERROR(SEARCH("OK",C14))</formula>
    </cfRule>
    <cfRule type="containsText" dxfId="70" priority="13" operator="containsText" text="OK">
      <formula>NOT(ISERROR(SEARCH("OK",C14)))</formula>
    </cfRule>
  </conditionalFormatting>
  <conditionalFormatting sqref="K2:M2">
    <cfRule type="cellIs" dxfId="69" priority="1" operator="notEqual">
      <formula>""""""</formula>
    </cfRule>
  </conditionalFormatting>
  <dataValidations count="3">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8" xr:uid="{EA604A05-A130-42D5-9DBD-B92DCCCE5B56}">
      <formula1>ISNUMBER(MATCH("*@*.?*",B8,0))</formula1>
    </dataValidation>
    <dataValidation type="date" operator="greaterThan" allowBlank="1" showInputMessage="1" showErrorMessage="1" errorTitle="Data you entered is not a date" error="Please click 'Retry' button to enter a valid date in format xx/xx/xxxx" prompt="Enter in date format e,g. xx/xx/xxxx" sqref="B10" xr:uid="{7D6F78E1-06CC-48C2-BDB4-4BF911A3B0BB}">
      <formula1>45802</formula1>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7" xr:uid="{B6C0838F-A699-4F9F-80EA-41624E67F8C3}">
      <formula1>0</formula1>
      <formula2>99999999999</formula2>
    </dataValidation>
  </dataValidations>
  <hyperlinks>
    <hyperlink ref="C1" location="Index!A1" display="Index page" xr:uid="{FD5E3767-10CC-4F7D-BD36-685C0077DA85}"/>
    <hyperlink ref="A15" location="Index!A1" display="Navigate to index page" xr:uid="{D08CDD85-ED79-4E59-AE84-3B2EA9CB354D}"/>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H23"/>
  <sheetViews>
    <sheetView zoomScaleNormal="100" workbookViewId="0"/>
  </sheetViews>
  <sheetFormatPr defaultColWidth="0" defaultRowHeight="17.5" zeroHeight="1" x14ac:dyDescent="0.3"/>
  <cols>
    <col min="1" max="1" width="83.7265625" style="227" customWidth="1"/>
    <col min="2" max="2" width="52.54296875" style="227" customWidth="1"/>
    <col min="3" max="3" width="44.54296875" style="227" customWidth="1"/>
    <col min="4" max="4" width="9" style="227" hidden="1" customWidth="1"/>
    <col min="5" max="8" width="9" style="229" hidden="1" customWidth="1"/>
    <col min="9" max="9" width="10" style="229" hidden="1" customWidth="1"/>
    <col min="10" max="10" width="13.453125" style="229" hidden="1" customWidth="1"/>
    <col min="11" max="14" width="9" style="228" hidden="1" customWidth="1"/>
    <col min="15" max="15" width="14.54296875" style="228" hidden="1" customWidth="1"/>
    <col min="16" max="16" width="15" style="228" hidden="1" customWidth="1"/>
    <col min="17" max="20" width="0" style="228" hidden="1" customWidth="1"/>
    <col min="21" max="320" width="0" style="229" hidden="1" customWidth="1"/>
    <col min="321" max="16384" width="9" style="229" hidden="1"/>
  </cols>
  <sheetData>
    <row r="1" spans="1:19" s="227" customFormat="1" ht="60" customHeight="1" x14ac:dyDescent="0.35">
      <c r="A1" s="285" t="s">
        <v>1497</v>
      </c>
      <c r="B1" s="234"/>
      <c r="C1" s="463" t="s">
        <v>0</v>
      </c>
    </row>
    <row r="2" spans="1:19" s="33" customFormat="1" ht="18.75" customHeight="1" x14ac:dyDescent="0.35">
      <c r="A2" s="440" t="s">
        <v>1660</v>
      </c>
      <c r="B2" s="357"/>
      <c r="C2" s="599"/>
      <c r="D2" s="342"/>
      <c r="E2" s="342"/>
      <c r="F2" s="342"/>
      <c r="G2" s="342"/>
      <c r="H2" s="342"/>
      <c r="I2" s="342"/>
      <c r="J2" s="342"/>
      <c r="K2" s="132"/>
      <c r="L2" s="133"/>
      <c r="M2" s="133"/>
      <c r="N2" s="297"/>
      <c r="O2" s="297"/>
      <c r="P2" s="297"/>
      <c r="Q2" s="298"/>
      <c r="R2" s="353"/>
      <c r="S2" s="353"/>
    </row>
    <row r="3" spans="1:19" s="226" customFormat="1" ht="35.25" customHeight="1" x14ac:dyDescent="0.35">
      <c r="A3" s="412" t="s">
        <v>1508</v>
      </c>
      <c r="B3" s="234"/>
      <c r="C3" s="238"/>
    </row>
    <row r="4" spans="1:19" s="230" customFormat="1" ht="50.15" customHeight="1" x14ac:dyDescent="0.7">
      <c r="A4" s="608" t="s">
        <v>430</v>
      </c>
      <c r="B4" s="234"/>
      <c r="C4" s="238"/>
    </row>
    <row r="5" spans="1:19" s="226" customFormat="1" x14ac:dyDescent="0.35">
      <c r="A5" s="198" t="s">
        <v>51</v>
      </c>
      <c r="B5" s="200" t="s">
        <v>1679</v>
      </c>
      <c r="C5" s="198" t="s">
        <v>52</v>
      </c>
    </row>
    <row r="6" spans="1:19" s="226" customFormat="1" ht="25.4" customHeight="1" x14ac:dyDescent="0.35">
      <c r="A6" s="342" t="s">
        <v>423</v>
      </c>
      <c r="B6" s="416"/>
      <c r="C6" s="410" t="str">
        <f>IF(B6="","*Error* - This cell should not be blank."," ")</f>
        <v>*Error* - This cell should not be blank.</v>
      </c>
    </row>
    <row r="7" spans="1:19" s="226" customFormat="1" ht="25.4" customHeight="1" x14ac:dyDescent="0.35">
      <c r="A7" s="342" t="s">
        <v>424</v>
      </c>
      <c r="B7" s="598"/>
      <c r="C7" s="410" t="str">
        <f>IF(B7="","*Error* - This cell should not be blank."," ")</f>
        <v>*Error* - This cell should not be blank.</v>
      </c>
    </row>
    <row r="8" spans="1:19" s="226" customFormat="1" ht="25.4" customHeight="1" x14ac:dyDescent="0.35">
      <c r="A8" s="342" t="s">
        <v>425</v>
      </c>
      <c r="B8" s="155"/>
      <c r="C8" s="410" t="str">
        <f>IF(B8="","*Error* - This cell should not be blank."," ")</f>
        <v>*Error* - This cell should not be blank.</v>
      </c>
    </row>
    <row r="9" spans="1:19" s="226" customFormat="1" x14ac:dyDescent="0.35">
      <c r="A9" s="134" t="s">
        <v>431</v>
      </c>
      <c r="B9" s="416"/>
      <c r="C9" s="410" t="str">
        <f>IF(B9="","*Error* - You must answer Yes or No"," ")</f>
        <v>*Error* - You must answer Yes or No</v>
      </c>
    </row>
    <row r="10" spans="1:19" s="226" customFormat="1" ht="40.15" customHeight="1" x14ac:dyDescent="0.35">
      <c r="A10" s="134" t="s">
        <v>432</v>
      </c>
      <c r="B10" s="154"/>
      <c r="C10" s="410" t="str">
        <f>IF(AND($B$9="No",ISBLANK($B$10)=TRUE),"*Error* - Mandatory field, please provide the name of the Accounting Officer",IF(AND($B$9="No",ISBLANK($B$10)=FALSE)," ",IF(AND($B$9="Yes",ISBLANK($B$10)=TRUE)," ",IF(AND($B$9="Yes",ISBLANK($B$10)=FALSE),"*Error* - If the answer to question above is 'Yes', this cell must be blank","*Error* - Please answer 'Yes' or 'No' to the question 'Are you the Accounting Officer?"""))))</f>
        <v>*Error* - Please answer 'Yes' or 'No' to the question 'Are you the Accounting Officer?"</v>
      </c>
    </row>
    <row r="11" spans="1:19" s="226" customFormat="1" ht="40.15" customHeight="1" x14ac:dyDescent="0.35">
      <c r="A11" s="395" t="s">
        <v>433</v>
      </c>
      <c r="B11" s="574"/>
      <c r="C11" s="410" t="str">
        <f>IF(AND($B$9="No",ISBLANK($B$11)=TRUE),"*Error* - Mandatory field, please provide the name of the Accounting Officer",IF(AND($B$9="No",ISBLANK($B$11)=FALSE)," ",IF(AND($B$9="Yes",ISBLANK($B$11)=TRUE)," ",IF(AND($B$9="Yes",ISBLANK($B$11)=FALSE),"*Error* - If the answer to question above is 'Yes', this cell must be blank","*Error* - Please answer 'Yes' or 'No' to the question 'Are you the Accounting Officer?"""))))</f>
        <v>*Error* - Please answer 'Yes' or 'No' to the question 'Are you the Accounting Officer?"</v>
      </c>
    </row>
    <row r="12" spans="1:19" s="226" customFormat="1" ht="45" customHeight="1" x14ac:dyDescent="0.35">
      <c r="A12" s="395" t="s">
        <v>1507</v>
      </c>
      <c r="B12" s="597"/>
      <c r="C12" s="237"/>
    </row>
    <row r="13" spans="1:19" s="226" customFormat="1" ht="50.15" customHeight="1" x14ac:dyDescent="0.35">
      <c r="A13" s="239" t="s">
        <v>434</v>
      </c>
      <c r="B13" s="596"/>
      <c r="C13" s="505" t="str">
        <f>IF('Finance questions'!F5=1,"APPROVED: If you are completing an excel version, this return is now ready complete on the online form","")</f>
        <v>APPROVED: If you are completing an excel version, this return is now ready complete on the online form</v>
      </c>
    </row>
    <row r="14" spans="1:19" s="226" customFormat="1" ht="50.15" customHeight="1" x14ac:dyDescent="0.35">
      <c r="A14" s="231" t="s">
        <v>435</v>
      </c>
      <c r="B14" s="597"/>
      <c r="C14" s="506" t="str">
        <f>IF('Finance questions'!F5=2,"REJECTED. Please notify preparer","")</f>
        <v/>
      </c>
    </row>
    <row r="15" spans="1:19" s="226" customFormat="1" ht="59.9" customHeight="1" x14ac:dyDescent="0.35">
      <c r="A15" s="166" t="s">
        <v>426</v>
      </c>
      <c r="B15" s="416"/>
      <c r="C15" s="410" t="str">
        <f>IF(B15="","*Error* - This cell should not be blank."," ")</f>
        <v>*Error* - This cell should not be blank.</v>
      </c>
    </row>
    <row r="16" spans="1:19" s="226" customFormat="1" ht="32.15" customHeight="1" x14ac:dyDescent="0.35">
      <c r="A16" s="166" t="s">
        <v>436</v>
      </c>
      <c r="B16" s="415"/>
      <c r="C16" s="410" t="str">
        <f>IF(B16="","*Error* - This cell should not be blank."," ")</f>
        <v>*Error* - This cell should not be blank.</v>
      </c>
    </row>
    <row r="17" spans="1:3" s="230" customFormat="1" ht="40.4" customHeight="1" x14ac:dyDescent="0.7">
      <c r="A17" s="608" t="s">
        <v>39</v>
      </c>
      <c r="B17" s="616"/>
      <c r="C17" s="46"/>
    </row>
    <row r="18" spans="1:3" s="230" customFormat="1" ht="129.75" customHeight="1" x14ac:dyDescent="0.7">
      <c r="A18" s="594" t="str">
        <f>IF(B9="No","I confirm that I have been authorised by the trust's accounting officer to submit this return." &amp; CHAR(10) &amp; " - In doing so I confirm, on behalf of the trust's accounting officer, that the entries in the budget forecast return have been prepared on a consistent basis;"
&amp; CHAR(10) &amp; " - and presented in accordance with the guidance notes issued by the Department for Education." &amp; CHAR(10) &amp; " - This return reflects the trust's financial position as accurately as possible.", IF(B9="Yes","I confirm that the entries in the budget forecast return have been prepared on a consistent basis;" &amp; CHAR(10) &amp; " - and presented in accordance with the guidance notes issued by the Department for Education.",""))</f>
        <v/>
      </c>
      <c r="B18" s="416"/>
      <c r="C18" s="410" t="str">
        <f>IF(B18="Yes"," ","*Error* - You must answer Yes ")</f>
        <v xml:space="preserve">*Error* - You must answer Yes </v>
      </c>
    </row>
    <row r="19" spans="1:3" s="226" customFormat="1" ht="45" customHeight="1" x14ac:dyDescent="0.35">
      <c r="A19" s="595" t="s">
        <v>437</v>
      </c>
      <c r="B19" s="416"/>
      <c r="C19" s="410" t="str">
        <f>IF(B19="Yes"," ","*Error* - You must answer Yes ")</f>
        <v xml:space="preserve">*Error* - You must answer Yes </v>
      </c>
    </row>
    <row r="20" spans="1:3" s="226" customFormat="1" ht="45" customHeight="1" x14ac:dyDescent="0.35">
      <c r="A20" s="594" t="s">
        <v>438</v>
      </c>
      <c r="B20" s="416"/>
      <c r="C20" s="410" t="str">
        <f>IF(B20="Yes"," ","*Error* - You must answer Yes ")</f>
        <v xml:space="preserve">*Error* - You must answer Yes </v>
      </c>
    </row>
    <row r="21" spans="1:3" s="230" customFormat="1" ht="45" customHeight="1" x14ac:dyDescent="0.7">
      <c r="A21" s="608" t="s">
        <v>429</v>
      </c>
      <c r="B21" s="291"/>
      <c r="C21" s="235"/>
    </row>
    <row r="22" spans="1:3" s="226" customFormat="1" ht="40.4" customHeight="1" x14ac:dyDescent="0.35">
      <c r="A22" s="395" t="s">
        <v>1676</v>
      </c>
      <c r="B22" s="292">
        <f>'Validations table'!B5</f>
        <v>9</v>
      </c>
      <c r="C22" s="410" t="str">
        <f>IF(B22&gt;0,"*Error* - Clear all validations triggered before inputting on the online form","")</f>
        <v>*Error* - Clear all validations triggered before inputting on the online form</v>
      </c>
    </row>
    <row r="23" spans="1:3" ht="45" customHeight="1" x14ac:dyDescent="0.35">
      <c r="A23" s="433" t="s">
        <v>1479</v>
      </c>
      <c r="B23" s="21"/>
      <c r="C23" s="21"/>
    </row>
  </sheetData>
  <sheetProtection algorithmName="SHA-512" hashValue="fyIEHQKIKldLqsRfPUk1JGPpGG7fvX/zMRh6AehqynDSuMRplwLY7a3jc/6mZLE1uqswY7TloMZ16wYItpIjFw==" saltValue="OmN3LM7eSOVV5UqB9okZuw==" spinCount="100000" sheet="1" objects="1" scenarios="1"/>
  <conditionalFormatting sqref="B22">
    <cfRule type="cellIs" dxfId="68" priority="14" operator="lessThan">
      <formula>0</formula>
    </cfRule>
    <cfRule type="cellIs" dxfId="67" priority="15" operator="greaterThan">
      <formula>0</formula>
    </cfRule>
    <cfRule type="cellIs" dxfId="66" priority="16" operator="greaterThan">
      <formula>0</formula>
    </cfRule>
    <cfRule type="cellIs" dxfId="65" priority="17" operator="lessThan">
      <formula>0</formula>
    </cfRule>
    <cfRule type="cellIs" dxfId="64" priority="18" operator="lessThan">
      <formula>0</formula>
    </cfRule>
    <cfRule type="cellIs" dxfId="63" priority="19" operator="lessThan">
      <formula>0</formula>
    </cfRule>
  </conditionalFormatting>
  <conditionalFormatting sqref="C6:C11">
    <cfRule type="containsText" dxfId="62" priority="2" operator="containsText" text="Error">
      <formula>NOT(ISERROR(SEARCH("Error",C6)))</formula>
    </cfRule>
    <cfRule type="containsText" dxfId="61" priority="3" operator="containsText" text="Error">
      <formula>NOT(ISERROR(SEARCH("Error",C6)))</formula>
    </cfRule>
    <cfRule type="containsBlanks" dxfId="60" priority="4">
      <formula>LEN(TRIM(C6))=0</formula>
    </cfRule>
    <cfRule type="containsText" dxfId="59" priority="5" operator="containsText" text="Error">
      <formula>NOT(ISERROR(SEARCH("Error",C6)))</formula>
    </cfRule>
    <cfRule type="notContainsText" dxfId="58" priority="6" operator="notContains" text="OK">
      <formula>ISERROR(SEARCH("OK",C6))</formula>
    </cfRule>
    <cfRule type="containsText" dxfId="57" priority="7" operator="containsText" text="OK">
      <formula>NOT(ISERROR(SEARCH("OK",C6)))</formula>
    </cfRule>
  </conditionalFormatting>
  <conditionalFormatting sqref="C15:C16">
    <cfRule type="containsText" dxfId="56" priority="32" operator="containsText" text="Error">
      <formula>NOT(ISERROR(SEARCH("Error",C15)))</formula>
    </cfRule>
    <cfRule type="containsText" dxfId="55" priority="33" operator="containsText" text="Error">
      <formula>NOT(ISERROR(SEARCH("Error",C15)))</formula>
    </cfRule>
    <cfRule type="containsBlanks" dxfId="54" priority="34">
      <formula>LEN(TRIM(C15))=0</formula>
    </cfRule>
    <cfRule type="containsText" dxfId="53" priority="35" operator="containsText" text="Error">
      <formula>NOT(ISERROR(SEARCH("Error",C15)))</formula>
    </cfRule>
    <cfRule type="notContainsText" dxfId="52" priority="36" operator="notContains" text="OK">
      <formula>ISERROR(SEARCH("OK",C15))</formula>
    </cfRule>
    <cfRule type="containsText" dxfId="51" priority="37" operator="containsText" text="OK">
      <formula>NOT(ISERROR(SEARCH("OK",C15)))</formula>
    </cfRule>
  </conditionalFormatting>
  <conditionalFormatting sqref="C18:C20">
    <cfRule type="containsText" dxfId="50" priority="26" operator="containsText" text="Error">
      <formula>NOT(ISERROR(SEARCH("Error",C18)))</formula>
    </cfRule>
    <cfRule type="containsText" dxfId="49" priority="27" operator="containsText" text="Error">
      <formula>NOT(ISERROR(SEARCH("Error",C18)))</formula>
    </cfRule>
    <cfRule type="containsBlanks" dxfId="48" priority="28">
      <formula>LEN(TRIM(C18))=0</formula>
    </cfRule>
    <cfRule type="containsText" dxfId="47" priority="29" operator="containsText" text="Error">
      <formula>NOT(ISERROR(SEARCH("Error",C18)))</formula>
    </cfRule>
    <cfRule type="notContainsText" dxfId="46" priority="30" operator="notContains" text="OK">
      <formula>ISERROR(SEARCH("OK",C18))</formula>
    </cfRule>
    <cfRule type="containsText" dxfId="45" priority="31" operator="containsText" text="OK">
      <formula>NOT(ISERROR(SEARCH("OK",C18)))</formula>
    </cfRule>
  </conditionalFormatting>
  <conditionalFormatting sqref="C22">
    <cfRule type="containsText" dxfId="44" priority="20" operator="containsText" text="Error">
      <formula>NOT(ISERROR(SEARCH("Error",C22)))</formula>
    </cfRule>
    <cfRule type="containsText" dxfId="43" priority="21" operator="containsText" text="Error">
      <formula>NOT(ISERROR(SEARCH("Error",C22)))</formula>
    </cfRule>
    <cfRule type="containsBlanks" dxfId="42" priority="22">
      <formula>LEN(TRIM(C22))=0</formula>
    </cfRule>
    <cfRule type="containsText" dxfId="41" priority="23" operator="containsText" text="Error">
      <formula>NOT(ISERROR(SEARCH("Error",C22)))</formula>
    </cfRule>
    <cfRule type="notContainsText" dxfId="40" priority="24" operator="notContains" text="OK">
      <formula>ISERROR(SEARCH("OK",C22))</formula>
    </cfRule>
    <cfRule type="containsText" dxfId="39" priority="25" operator="containsText" text="OK">
      <formula>NOT(ISERROR(SEARCH("OK",C22)))</formula>
    </cfRule>
  </conditionalFormatting>
  <conditionalFormatting sqref="K2:M2">
    <cfRule type="cellIs" dxfId="38" priority="1" operator="notEqual">
      <formula>""""""</formula>
    </cfRule>
  </conditionalFormatting>
  <dataValidations count="3">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7 B11" xr:uid="{D2969952-F3F9-4027-AD3C-D1C95061F639}">
      <formula1>ISNUMBER(MATCH("*@*.?*",B7,0))</formula1>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8" xr:uid="{2183D4E8-D75B-4EF6-9DC8-10D3316FC0DA}">
      <formula1>0</formula1>
      <formula2>99999999999</formula2>
    </dataValidation>
    <dataValidation type="date" operator="greaterThan" allowBlank="1" showInputMessage="1" showErrorMessage="1" errorTitle="Data you entered is not a date" error="Please click 'Retry' button to enter a valid date in format xx/xx/xxxx" prompt="Enter in date format e,g. xx/xx/xxxx" sqref="B16" xr:uid="{70087C00-497C-4DF2-87E9-3383CE980AB7}">
      <formula1>45802</formula1>
    </dataValidation>
  </dataValidations>
  <hyperlinks>
    <hyperlink ref="C1" location="Index!A1" display="Index page" xr:uid="{790ECDE0-4E0E-4C5F-87CC-DFE086A614F7}"/>
    <hyperlink ref="A23" location="Index!A1" display="Navigate to index page" xr:uid="{A817B6AD-BB30-42BF-9E42-63AD2FC97FB4}"/>
  </hyperlinks>
  <pageMargins left="0.7" right="0.7" top="0.75" bottom="0.75" header="0.3" footer="0.3"/>
  <headerFooter>
    <oddHeader>&amp;C&amp;"Aptos"&amp;11&amp;K000000 OFFICIAL - FOR PUBLIC RELEASE&amp;1#_x000D_</oddHeader>
    <oddFooter>&amp;C_x000D_&amp;1#&amp;"Aptos"&amp;11&amp;K000000 OFFICIAL - FOR PUBLIC RELEASE</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7409" r:id="rId3" name="Option Button 1">
              <controlPr defaultSize="0" autoFill="0" autoLine="0" autoPict="0" altText="Approve">
                <anchor moveWithCells="1">
                  <from>
                    <xdr:col>1</xdr:col>
                    <xdr:colOff>1593850</xdr:colOff>
                    <xdr:row>12</xdr:row>
                    <xdr:rowOff>107950</xdr:rowOff>
                  </from>
                  <to>
                    <xdr:col>1</xdr:col>
                    <xdr:colOff>1905000</xdr:colOff>
                    <xdr:row>12</xdr:row>
                    <xdr:rowOff>495300</xdr:rowOff>
                  </to>
                </anchor>
              </controlPr>
            </control>
          </mc:Choice>
        </mc:AlternateContent>
        <mc:AlternateContent xmlns:mc="http://schemas.openxmlformats.org/markup-compatibility/2006">
          <mc:Choice Requires="x14">
            <control shapeId="17410" r:id="rId4" name="Option Button 2">
              <controlPr defaultSize="0" autoFill="0" autoLine="0" autoPict="0" altText="Reject">
                <anchor moveWithCells="1">
                  <from>
                    <xdr:col>1</xdr:col>
                    <xdr:colOff>1593850</xdr:colOff>
                    <xdr:row>13</xdr:row>
                    <xdr:rowOff>114300</xdr:rowOff>
                  </from>
                  <to>
                    <xdr:col>1</xdr:col>
                    <xdr:colOff>1898650</xdr:colOff>
                    <xdr:row>13</xdr:row>
                    <xdr:rowOff>412750</xdr:rowOff>
                  </to>
                </anchor>
              </controlPr>
            </control>
          </mc:Choice>
        </mc:AlternateContent>
        <mc:AlternateContent xmlns:mc="http://schemas.openxmlformats.org/markup-compatibility/2006">
          <mc:Choice Requires="x14">
            <control shapeId="17411" r:id="rId5" name="Group Box 3">
              <controlPr defaultSize="0" autoFill="0" autoPict="0">
                <anchor moveWithCells="1">
                  <from>
                    <xdr:col>0</xdr:col>
                    <xdr:colOff>6470650</xdr:colOff>
                    <xdr:row>12</xdr:row>
                    <xdr:rowOff>0</xdr:rowOff>
                  </from>
                  <to>
                    <xdr:col>2</xdr:col>
                    <xdr:colOff>0</xdr:colOff>
                    <xdr:row>14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229"/>
  <sheetViews>
    <sheetView showGridLines="0" workbookViewId="0"/>
  </sheetViews>
  <sheetFormatPr defaultColWidth="0" defaultRowHeight="14" zeroHeight="1" x14ac:dyDescent="0.3"/>
  <cols>
    <col min="1" max="1" width="83.453125" style="31" customWidth="1"/>
    <col min="2" max="2" width="30.453125" style="646" customWidth="1"/>
    <col min="3" max="3" width="35.453125" style="647" customWidth="1"/>
    <col min="4" max="4" width="87.453125" style="647" bestFit="1" customWidth="1"/>
    <col min="5" max="16384" width="19" style="31" hidden="1"/>
  </cols>
  <sheetData>
    <row r="1" spans="1:19" s="21" customFormat="1" ht="45" customHeight="1" x14ac:dyDescent="0.35">
      <c r="A1" s="617" t="s">
        <v>439</v>
      </c>
      <c r="C1" s="463" t="s">
        <v>0</v>
      </c>
      <c r="D1" s="618"/>
    </row>
    <row r="2" spans="1:19" s="33" customFormat="1" ht="18.75" customHeight="1" x14ac:dyDescent="0.35">
      <c r="A2" s="619" t="s">
        <v>1484</v>
      </c>
      <c r="B2" s="21"/>
      <c r="C2" s="620"/>
      <c r="D2" s="621"/>
      <c r="E2" s="342"/>
      <c r="F2" s="342"/>
      <c r="G2" s="342"/>
      <c r="H2" s="342"/>
      <c r="I2" s="342"/>
      <c r="J2" s="342"/>
      <c r="K2" s="132"/>
      <c r="L2" s="133"/>
      <c r="M2" s="133"/>
      <c r="N2" s="297"/>
      <c r="O2" s="297"/>
      <c r="P2" s="297"/>
      <c r="Q2" s="298"/>
      <c r="R2" s="361"/>
      <c r="S2" s="361"/>
    </row>
    <row r="3" spans="1:19" s="622" customFormat="1" ht="45" customHeight="1" x14ac:dyDescent="0.35">
      <c r="A3" s="412" t="s">
        <v>440</v>
      </c>
      <c r="B3" s="21"/>
      <c r="C3" s="620"/>
      <c r="D3" s="21"/>
    </row>
    <row r="4" spans="1:19" s="48" customFormat="1" ht="45" customHeight="1" x14ac:dyDescent="0.7">
      <c r="A4" s="519" t="s">
        <v>441</v>
      </c>
      <c r="B4" s="58"/>
      <c r="C4" s="58"/>
      <c r="D4" s="59"/>
    </row>
    <row r="5" spans="1:19" ht="15.5" x14ac:dyDescent="0.35">
      <c r="A5" s="623" t="s">
        <v>1483</v>
      </c>
      <c r="B5" s="209" t="s">
        <v>442</v>
      </c>
      <c r="C5" s="210" t="s">
        <v>443</v>
      </c>
      <c r="D5" s="210" t="s">
        <v>444</v>
      </c>
    </row>
    <row r="6" spans="1:19" ht="15.5" x14ac:dyDescent="0.35">
      <c r="A6" s="624">
        <v>101</v>
      </c>
      <c r="B6" s="625">
        <f>-100000</f>
        <v>-100000</v>
      </c>
      <c r="C6" s="625">
        <f>100000</f>
        <v>100000</v>
      </c>
      <c r="D6" s="626" t="s">
        <v>115</v>
      </c>
    </row>
    <row r="7" spans="1:19" ht="15.5" x14ac:dyDescent="0.35">
      <c r="A7" s="627">
        <v>102</v>
      </c>
      <c r="B7" s="625">
        <v>0</v>
      </c>
      <c r="C7" s="625">
        <f>800000</f>
        <v>800000</v>
      </c>
      <c r="D7" s="626" t="s">
        <v>118</v>
      </c>
    </row>
    <row r="8" spans="1:19" ht="15.5" x14ac:dyDescent="0.35">
      <c r="A8" s="628">
        <v>103</v>
      </c>
      <c r="B8" s="625">
        <v>0</v>
      </c>
      <c r="C8" s="625">
        <f t="shared" ref="C8:C14" si="0">100000</f>
        <v>100000</v>
      </c>
      <c r="D8" s="629" t="s">
        <v>120</v>
      </c>
    </row>
    <row r="9" spans="1:19" ht="15.5" x14ac:dyDescent="0.35">
      <c r="A9" s="628">
        <v>105</v>
      </c>
      <c r="B9" s="625">
        <v>0</v>
      </c>
      <c r="C9" s="625">
        <f t="shared" si="0"/>
        <v>100000</v>
      </c>
      <c r="D9" s="629" t="s">
        <v>121</v>
      </c>
    </row>
    <row r="10" spans="1:19" ht="15.5" x14ac:dyDescent="0.35">
      <c r="A10" s="628">
        <v>108</v>
      </c>
      <c r="B10" s="625">
        <v>0</v>
      </c>
      <c r="C10" s="625">
        <f t="shared" si="0"/>
        <v>100000</v>
      </c>
      <c r="D10" s="629" t="s">
        <v>123</v>
      </c>
    </row>
    <row r="11" spans="1:19" ht="15.5" x14ac:dyDescent="0.35">
      <c r="A11" s="628">
        <v>132</v>
      </c>
      <c r="B11" s="625">
        <f>-100000</f>
        <v>-100000</v>
      </c>
      <c r="C11" s="625">
        <f t="shared" si="0"/>
        <v>100000</v>
      </c>
      <c r="D11" s="629" t="s">
        <v>125</v>
      </c>
    </row>
    <row r="12" spans="1:19" s="630" customFormat="1" ht="15.5" x14ac:dyDescent="0.35">
      <c r="A12" s="628">
        <v>135</v>
      </c>
      <c r="B12" s="625">
        <v>0</v>
      </c>
      <c r="C12" s="625">
        <f t="shared" si="0"/>
        <v>100000</v>
      </c>
      <c r="D12" s="629" t="s">
        <v>128</v>
      </c>
    </row>
    <row r="13" spans="1:19" s="630" customFormat="1" ht="15.5" x14ac:dyDescent="0.35">
      <c r="A13" s="631">
        <v>136</v>
      </c>
      <c r="B13" s="625">
        <v>0</v>
      </c>
      <c r="C13" s="625">
        <f t="shared" si="0"/>
        <v>100000</v>
      </c>
      <c r="D13" s="629" t="s">
        <v>1731</v>
      </c>
    </row>
    <row r="14" spans="1:19" s="630" customFormat="1" ht="15.5" x14ac:dyDescent="0.35">
      <c r="A14" s="631">
        <v>137</v>
      </c>
      <c r="B14" s="625">
        <v>0</v>
      </c>
      <c r="C14" s="625">
        <f t="shared" si="0"/>
        <v>100000</v>
      </c>
      <c r="D14" s="629" t="s">
        <v>129</v>
      </c>
    </row>
    <row r="15" spans="1:19" ht="15.5" x14ac:dyDescent="0.35">
      <c r="A15" s="631">
        <v>138</v>
      </c>
      <c r="B15" s="625">
        <v>0</v>
      </c>
      <c r="C15" s="625">
        <f>300000</f>
        <v>300000</v>
      </c>
      <c r="D15" s="629" t="s">
        <v>131</v>
      </c>
    </row>
    <row r="16" spans="1:19" ht="15.5" x14ac:dyDescent="0.35">
      <c r="A16" s="628">
        <v>150</v>
      </c>
      <c r="B16" s="625">
        <f>-100000</f>
        <v>-100000</v>
      </c>
      <c r="C16" s="625">
        <f>300000</f>
        <v>300000</v>
      </c>
      <c r="D16" s="629" t="s">
        <v>132</v>
      </c>
    </row>
    <row r="17" spans="1:4" ht="15.5" x14ac:dyDescent="0.35">
      <c r="A17" s="632">
        <v>199</v>
      </c>
      <c r="B17" s="625">
        <v>0</v>
      </c>
      <c r="C17" s="625">
        <v>0</v>
      </c>
      <c r="D17" s="629" t="s">
        <v>133</v>
      </c>
    </row>
    <row r="18" spans="1:4" ht="15.5" x14ac:dyDescent="0.35">
      <c r="A18" s="632">
        <v>200</v>
      </c>
      <c r="B18" s="625">
        <v>-400000</v>
      </c>
      <c r="C18" s="625">
        <f>100000</f>
        <v>100000</v>
      </c>
      <c r="D18" s="629" t="s">
        <v>135</v>
      </c>
    </row>
    <row r="19" spans="1:4" ht="15.5" x14ac:dyDescent="0.35">
      <c r="A19" s="628">
        <v>205</v>
      </c>
      <c r="B19" s="625">
        <v>-400000</v>
      </c>
      <c r="C19" s="625">
        <f>100000</f>
        <v>100000</v>
      </c>
      <c r="D19" s="629" t="s">
        <v>137</v>
      </c>
    </row>
    <row r="20" spans="1:4" ht="15.5" x14ac:dyDescent="0.35">
      <c r="A20" s="628">
        <v>210</v>
      </c>
      <c r="B20" s="625">
        <v>-400000</v>
      </c>
      <c r="C20" s="625">
        <f>100000</f>
        <v>100000</v>
      </c>
      <c r="D20" s="629" t="s">
        <v>140</v>
      </c>
    </row>
    <row r="21" spans="1:4" ht="15.5" x14ac:dyDescent="0.35">
      <c r="A21" s="632">
        <v>211</v>
      </c>
      <c r="B21" s="625">
        <v>-400000</v>
      </c>
      <c r="C21" s="625">
        <f>100000</f>
        <v>100000</v>
      </c>
      <c r="D21" s="629" t="s">
        <v>140</v>
      </c>
    </row>
    <row r="22" spans="1:4" ht="15.5" x14ac:dyDescent="0.35">
      <c r="A22" s="628">
        <v>212</v>
      </c>
      <c r="B22" s="625">
        <v>-400000</v>
      </c>
      <c r="C22" s="625">
        <f>400000</f>
        <v>400000</v>
      </c>
      <c r="D22" s="629" t="str">
        <f>'BFR 2026'!A40</f>
        <v>Revenue surplus transfer of an existing academy in / (out) of the trust</v>
      </c>
    </row>
    <row r="23" spans="1:4" ht="15.5" x14ac:dyDescent="0.35">
      <c r="A23" s="632">
        <v>213</v>
      </c>
      <c r="B23" s="625">
        <v>0</v>
      </c>
      <c r="C23" s="625">
        <v>100000</v>
      </c>
      <c r="D23" s="629" t="s">
        <v>141</v>
      </c>
    </row>
    <row r="24" spans="1:4" ht="15.5" x14ac:dyDescent="0.35">
      <c r="A24" s="628">
        <v>215</v>
      </c>
      <c r="B24" s="625">
        <v>-400000</v>
      </c>
      <c r="C24" s="625">
        <f>400000</f>
        <v>400000</v>
      </c>
      <c r="D24" s="629" t="s">
        <v>147</v>
      </c>
    </row>
    <row r="25" spans="1:4" ht="15.5" x14ac:dyDescent="0.35">
      <c r="A25" s="628">
        <v>218</v>
      </c>
      <c r="B25" s="625">
        <v>0</v>
      </c>
      <c r="C25" s="625">
        <v>0</v>
      </c>
      <c r="D25" s="629"/>
    </row>
    <row r="26" spans="1:4" ht="15.5" x14ac:dyDescent="0.35">
      <c r="A26" s="628">
        <v>220</v>
      </c>
      <c r="B26" s="625">
        <v>-500000</v>
      </c>
      <c r="C26" s="625">
        <f>100000</f>
        <v>100000</v>
      </c>
      <c r="D26" s="629" t="s">
        <v>142</v>
      </c>
    </row>
    <row r="27" spans="1:4" ht="15.5" x14ac:dyDescent="0.35">
      <c r="A27" s="632">
        <v>250</v>
      </c>
      <c r="B27" s="625">
        <v>0</v>
      </c>
      <c r="C27" s="625">
        <v>0</v>
      </c>
      <c r="D27" s="629" t="s">
        <v>150</v>
      </c>
    </row>
    <row r="28" spans="1:4" ht="15.5" x14ac:dyDescent="0.35">
      <c r="A28" s="632">
        <v>255</v>
      </c>
      <c r="B28" s="625">
        <f>-400000</f>
        <v>-400000</v>
      </c>
      <c r="C28" s="625">
        <f>400000</f>
        <v>400000</v>
      </c>
      <c r="D28" s="629" t="s">
        <v>152</v>
      </c>
    </row>
    <row r="29" spans="1:4" ht="15.5" x14ac:dyDescent="0.35">
      <c r="A29" s="632">
        <v>298</v>
      </c>
      <c r="B29" s="625">
        <v>0</v>
      </c>
      <c r="C29" s="625">
        <v>0</v>
      </c>
      <c r="D29" s="629" t="s">
        <v>153</v>
      </c>
    </row>
    <row r="30" spans="1:4" ht="15.5" x14ac:dyDescent="0.35">
      <c r="A30" s="632">
        <v>310</v>
      </c>
      <c r="B30" s="625">
        <v>0</v>
      </c>
      <c r="C30" s="625">
        <f>800000</f>
        <v>800000</v>
      </c>
      <c r="D30" s="629" t="s">
        <v>156</v>
      </c>
    </row>
    <row r="31" spans="1:4" ht="15.5" x14ac:dyDescent="0.35">
      <c r="A31" s="632">
        <v>311</v>
      </c>
      <c r="B31" s="625">
        <v>0</v>
      </c>
      <c r="C31" s="625">
        <f>200000</f>
        <v>200000</v>
      </c>
      <c r="D31" s="629" t="s">
        <v>158</v>
      </c>
    </row>
    <row r="32" spans="1:4" ht="15.5" x14ac:dyDescent="0.35">
      <c r="A32" s="632">
        <v>320</v>
      </c>
      <c r="B32" s="625">
        <v>0</v>
      </c>
      <c r="C32" s="625">
        <f>200000</f>
        <v>200000</v>
      </c>
      <c r="D32" s="629" t="s">
        <v>160</v>
      </c>
    </row>
    <row r="33" spans="1:4" ht="15.5" x14ac:dyDescent="0.35">
      <c r="A33" s="632">
        <v>325</v>
      </c>
      <c r="B33" s="625">
        <v>0</v>
      </c>
      <c r="C33" s="625">
        <f>200000</f>
        <v>200000</v>
      </c>
      <c r="D33" s="629" t="s">
        <v>162</v>
      </c>
    </row>
    <row r="34" spans="1:4" ht="15.5" x14ac:dyDescent="0.35">
      <c r="A34" s="632">
        <v>335</v>
      </c>
      <c r="B34" s="625">
        <v>0</v>
      </c>
      <c r="C34" s="625">
        <v>0</v>
      </c>
      <c r="D34" s="629" t="s">
        <v>164</v>
      </c>
    </row>
    <row r="35" spans="1:4" ht="15.5" x14ac:dyDescent="0.35">
      <c r="A35" s="632">
        <v>336</v>
      </c>
      <c r="B35" s="625">
        <v>0</v>
      </c>
      <c r="C35" s="625">
        <v>100000</v>
      </c>
      <c r="D35" s="629" t="s">
        <v>166</v>
      </c>
    </row>
    <row r="36" spans="1:4" ht="15.5" x14ac:dyDescent="0.35">
      <c r="A36" s="632">
        <v>337</v>
      </c>
      <c r="B36" s="625">
        <v>0</v>
      </c>
      <c r="C36" s="625">
        <v>100000</v>
      </c>
      <c r="D36" s="629" t="s">
        <v>445</v>
      </c>
    </row>
    <row r="37" spans="1:4" ht="15.5" x14ac:dyDescent="0.35">
      <c r="A37" s="632">
        <v>338</v>
      </c>
      <c r="B37" s="625">
        <v>0</v>
      </c>
      <c r="C37" s="625">
        <v>100000</v>
      </c>
      <c r="D37" s="629" t="s">
        <v>446</v>
      </c>
    </row>
    <row r="38" spans="1:4" ht="15.5" x14ac:dyDescent="0.35">
      <c r="A38" s="632">
        <v>339</v>
      </c>
      <c r="B38" s="625">
        <v>0</v>
      </c>
      <c r="C38" s="625">
        <v>100000</v>
      </c>
      <c r="D38" s="629" t="s">
        <v>447</v>
      </c>
    </row>
    <row r="39" spans="1:4" ht="15.5" x14ac:dyDescent="0.35">
      <c r="A39" s="632">
        <v>340</v>
      </c>
      <c r="B39" s="625">
        <v>0</v>
      </c>
      <c r="C39" s="625">
        <v>100000</v>
      </c>
      <c r="D39" s="629" t="s">
        <v>448</v>
      </c>
    </row>
    <row r="40" spans="1:4" ht="15.5" x14ac:dyDescent="0.35">
      <c r="A40" s="632">
        <v>341</v>
      </c>
      <c r="B40" s="625">
        <v>0</v>
      </c>
      <c r="C40" s="625">
        <v>100000</v>
      </c>
      <c r="D40" s="629" t="s">
        <v>176</v>
      </c>
    </row>
    <row r="41" spans="1:4" ht="15.5" x14ac:dyDescent="0.35">
      <c r="A41" s="632">
        <v>342</v>
      </c>
      <c r="B41" s="625">
        <v>0</v>
      </c>
      <c r="C41" s="625">
        <v>100000</v>
      </c>
      <c r="D41" s="629" t="s">
        <v>178</v>
      </c>
    </row>
    <row r="42" spans="1:4" ht="15.5" x14ac:dyDescent="0.35">
      <c r="A42" s="632">
        <v>330</v>
      </c>
      <c r="B42" s="625">
        <v>0</v>
      </c>
      <c r="C42" s="625">
        <f>200000</f>
        <v>200000</v>
      </c>
      <c r="D42" s="629" t="s">
        <v>179</v>
      </c>
    </row>
    <row r="43" spans="1:4" ht="15.5" x14ac:dyDescent="0.35">
      <c r="A43" s="632">
        <v>349</v>
      </c>
      <c r="B43" s="625">
        <v>0</v>
      </c>
      <c r="C43" s="625">
        <v>0</v>
      </c>
      <c r="D43" s="629" t="s">
        <v>449</v>
      </c>
    </row>
    <row r="44" spans="1:4" ht="15.5" x14ac:dyDescent="0.35">
      <c r="A44" s="632">
        <v>350</v>
      </c>
      <c r="B44" s="625">
        <v>-200000</v>
      </c>
      <c r="C44" s="625">
        <f>200000</f>
        <v>200000</v>
      </c>
      <c r="D44" s="629" t="str">
        <f>'BFR 2026'!A71</f>
        <v>Revenue deficit transfer of an existing academy in / (out) of the trust</v>
      </c>
    </row>
    <row r="45" spans="1:4" ht="15.5" x14ac:dyDescent="0.35">
      <c r="A45" s="632">
        <v>351</v>
      </c>
      <c r="B45" s="625">
        <v>0</v>
      </c>
      <c r="C45" s="625">
        <f>200000</f>
        <v>200000</v>
      </c>
      <c r="D45" s="629" t="s">
        <v>189</v>
      </c>
    </row>
    <row r="46" spans="1:4" ht="15.5" x14ac:dyDescent="0.35">
      <c r="A46" s="632">
        <v>352</v>
      </c>
      <c r="B46" s="625">
        <v>0</v>
      </c>
      <c r="C46" s="625">
        <v>0</v>
      </c>
      <c r="D46" s="629" t="s">
        <v>450</v>
      </c>
    </row>
    <row r="47" spans="1:4" ht="15.5" x14ac:dyDescent="0.35">
      <c r="A47" s="632">
        <v>378</v>
      </c>
      <c r="B47" s="625">
        <v>0</v>
      </c>
      <c r="C47" s="625">
        <v>800000</v>
      </c>
      <c r="D47" s="629" t="s">
        <v>451</v>
      </c>
    </row>
    <row r="48" spans="1:4" ht="15.5" x14ac:dyDescent="0.35">
      <c r="A48" s="632">
        <v>379</v>
      </c>
      <c r="B48" s="625">
        <v>0</v>
      </c>
      <c r="C48" s="625">
        <f>200000</f>
        <v>200000</v>
      </c>
      <c r="D48" s="629" t="s">
        <v>184</v>
      </c>
    </row>
    <row r="49" spans="1:4" ht="15.5" x14ac:dyDescent="0.35">
      <c r="A49" s="632">
        <v>380</v>
      </c>
      <c r="B49" s="625">
        <v>0</v>
      </c>
      <c r="C49" s="625">
        <v>0</v>
      </c>
      <c r="D49" s="629" t="s">
        <v>195</v>
      </c>
    </row>
    <row r="50" spans="1:4" ht="15.5" x14ac:dyDescent="0.35">
      <c r="A50" s="632">
        <v>395</v>
      </c>
      <c r="B50" s="625">
        <v>0</v>
      </c>
      <c r="C50" s="625">
        <f>200000</f>
        <v>200000</v>
      </c>
      <c r="D50" s="629" t="s">
        <v>452</v>
      </c>
    </row>
    <row r="51" spans="1:4" s="633" customFormat="1" ht="15.5" x14ac:dyDescent="0.35">
      <c r="A51" s="632">
        <v>400</v>
      </c>
      <c r="B51" s="625">
        <v>0</v>
      </c>
      <c r="C51" s="625">
        <v>0</v>
      </c>
      <c r="D51" s="629" t="s">
        <v>200</v>
      </c>
    </row>
    <row r="52" spans="1:4" ht="15.5" x14ac:dyDescent="0.35">
      <c r="A52" s="632">
        <v>410</v>
      </c>
      <c r="B52" s="625">
        <f>-400000</f>
        <v>-400000</v>
      </c>
      <c r="C52" s="625">
        <f>400000</f>
        <v>400000</v>
      </c>
      <c r="D52" s="629" t="s">
        <v>203</v>
      </c>
    </row>
    <row r="53" spans="1:4" ht="15.5" x14ac:dyDescent="0.35">
      <c r="A53" s="632">
        <v>430</v>
      </c>
      <c r="B53" s="625">
        <v>0</v>
      </c>
      <c r="C53" s="625">
        <v>0</v>
      </c>
      <c r="D53" s="629" t="s">
        <v>453</v>
      </c>
    </row>
    <row r="54" spans="1:4" ht="15.5" x14ac:dyDescent="0.35">
      <c r="A54" s="632">
        <v>510</v>
      </c>
      <c r="B54" s="625">
        <f>-400000</f>
        <v>-400000</v>
      </c>
      <c r="C54" s="625">
        <f>400000</f>
        <v>400000</v>
      </c>
      <c r="D54" s="629" t="s">
        <v>214</v>
      </c>
    </row>
    <row r="55" spans="1:4" ht="15.5" x14ac:dyDescent="0.35">
      <c r="A55" s="632">
        <v>520</v>
      </c>
      <c r="B55" s="625">
        <f>-400000</f>
        <v>-400000</v>
      </c>
      <c r="C55" s="625">
        <f>400000</f>
        <v>400000</v>
      </c>
      <c r="D55" s="629" t="s">
        <v>216</v>
      </c>
    </row>
    <row r="56" spans="1:4" ht="15.5" x14ac:dyDescent="0.35">
      <c r="A56" s="632">
        <v>530</v>
      </c>
      <c r="B56" s="625">
        <f>-400000</f>
        <v>-400000</v>
      </c>
      <c r="C56" s="625">
        <f>400000</f>
        <v>400000</v>
      </c>
      <c r="D56" s="629" t="s">
        <v>217</v>
      </c>
    </row>
    <row r="57" spans="1:4" ht="15.5" x14ac:dyDescent="0.35">
      <c r="A57" s="628">
        <v>540</v>
      </c>
      <c r="B57" s="625">
        <f>-400000</f>
        <v>-400000</v>
      </c>
      <c r="C57" s="625">
        <f>400000</f>
        <v>400000</v>
      </c>
      <c r="D57" s="629" t="s">
        <v>219</v>
      </c>
    </row>
    <row r="58" spans="1:4" ht="15.5" x14ac:dyDescent="0.35">
      <c r="A58" s="632">
        <v>550</v>
      </c>
      <c r="B58" s="625">
        <v>0</v>
      </c>
      <c r="C58" s="625">
        <v>0</v>
      </c>
      <c r="D58" s="629" t="s">
        <v>220</v>
      </c>
    </row>
    <row r="59" spans="1:4" ht="15.5" x14ac:dyDescent="0.35">
      <c r="A59" s="632">
        <v>560</v>
      </c>
      <c r="B59" s="625">
        <f>-400000</f>
        <v>-400000</v>
      </c>
      <c r="C59" s="625">
        <f t="shared" ref="C59:C65" si="1">400000</f>
        <v>400000</v>
      </c>
      <c r="D59" s="629" t="s">
        <v>222</v>
      </c>
    </row>
    <row r="60" spans="1:4" ht="15.5" x14ac:dyDescent="0.35">
      <c r="A60" s="632">
        <v>570</v>
      </c>
      <c r="B60" s="625">
        <f>-400000</f>
        <v>-400000</v>
      </c>
      <c r="C60" s="625">
        <f t="shared" si="1"/>
        <v>400000</v>
      </c>
      <c r="D60" s="629" t="s">
        <v>225</v>
      </c>
    </row>
    <row r="61" spans="1:4" ht="15.5" x14ac:dyDescent="0.35">
      <c r="A61" s="632">
        <v>571</v>
      </c>
      <c r="B61" s="625">
        <f>-400000</f>
        <v>-400000</v>
      </c>
      <c r="C61" s="625">
        <f t="shared" si="1"/>
        <v>400000</v>
      </c>
      <c r="D61" s="629" t="s">
        <v>228</v>
      </c>
    </row>
    <row r="62" spans="1:4" ht="15.5" x14ac:dyDescent="0.35">
      <c r="A62" s="632">
        <v>572</v>
      </c>
      <c r="B62" s="625">
        <v>0</v>
      </c>
      <c r="C62" s="625">
        <f t="shared" si="1"/>
        <v>400000</v>
      </c>
      <c r="D62" s="629" t="s">
        <v>275</v>
      </c>
    </row>
    <row r="63" spans="1:4" ht="15.5" x14ac:dyDescent="0.35">
      <c r="A63" s="632">
        <v>573</v>
      </c>
      <c r="B63" s="625">
        <v>0</v>
      </c>
      <c r="C63" s="625">
        <f t="shared" si="1"/>
        <v>400000</v>
      </c>
      <c r="D63" s="629" t="s">
        <v>276</v>
      </c>
    </row>
    <row r="64" spans="1:4" ht="15.5" x14ac:dyDescent="0.35">
      <c r="A64" s="632">
        <v>574</v>
      </c>
      <c r="B64" s="625">
        <v>0</v>
      </c>
      <c r="C64" s="625">
        <f t="shared" si="1"/>
        <v>400000</v>
      </c>
      <c r="D64" s="629" t="s">
        <v>230</v>
      </c>
    </row>
    <row r="65" spans="1:4" ht="15.5" x14ac:dyDescent="0.35">
      <c r="A65" s="632">
        <v>575</v>
      </c>
      <c r="B65" s="625">
        <v>0</v>
      </c>
      <c r="C65" s="625">
        <f t="shared" si="1"/>
        <v>400000</v>
      </c>
      <c r="D65" s="629" t="s">
        <v>231</v>
      </c>
    </row>
    <row r="66" spans="1:4" ht="15.5" x14ac:dyDescent="0.35">
      <c r="A66" s="632">
        <v>580</v>
      </c>
      <c r="B66" s="625">
        <v>0</v>
      </c>
      <c r="C66" s="625">
        <v>0</v>
      </c>
      <c r="D66" s="629" t="s">
        <v>233</v>
      </c>
    </row>
    <row r="67" spans="1:4" ht="15.5" x14ac:dyDescent="0.35">
      <c r="A67" s="632">
        <v>581</v>
      </c>
      <c r="B67" s="625">
        <v>0</v>
      </c>
      <c r="C67" s="625">
        <v>400000</v>
      </c>
      <c r="D67" s="629" t="s">
        <v>235</v>
      </c>
    </row>
    <row r="68" spans="1:4" ht="15.5" x14ac:dyDescent="0.35">
      <c r="A68" s="632">
        <v>582</v>
      </c>
      <c r="B68" s="625">
        <v>0</v>
      </c>
      <c r="C68" s="625">
        <f>200000</f>
        <v>200000</v>
      </c>
      <c r="D68" s="629" t="s">
        <v>236</v>
      </c>
    </row>
    <row r="69" spans="1:4" ht="15.5" x14ac:dyDescent="0.35">
      <c r="A69" s="632">
        <v>584</v>
      </c>
      <c r="B69" s="625">
        <v>0</v>
      </c>
      <c r="C69" s="625">
        <v>0</v>
      </c>
      <c r="D69" s="629" t="s">
        <v>237</v>
      </c>
    </row>
    <row r="70" spans="1:4" ht="15.5" x14ac:dyDescent="0.35">
      <c r="A70" s="632">
        <v>585</v>
      </c>
      <c r="B70" s="625">
        <v>0</v>
      </c>
      <c r="C70" s="625">
        <v>0</v>
      </c>
      <c r="D70" s="629" t="s">
        <v>239</v>
      </c>
    </row>
    <row r="71" spans="1:4" ht="15.5" x14ac:dyDescent="0.35">
      <c r="A71" s="632">
        <v>599</v>
      </c>
      <c r="B71" s="625">
        <v>0</v>
      </c>
      <c r="C71" s="625">
        <v>0</v>
      </c>
      <c r="D71" s="629" t="s">
        <v>242</v>
      </c>
    </row>
    <row r="72" spans="1:4" ht="15.5" x14ac:dyDescent="0.35">
      <c r="A72" s="628">
        <v>601</v>
      </c>
      <c r="B72" s="625">
        <v>0</v>
      </c>
      <c r="C72" s="625">
        <f t="shared" ref="C72:C84" si="2">400000</f>
        <v>400000</v>
      </c>
      <c r="D72" s="629" t="s">
        <v>245</v>
      </c>
    </row>
    <row r="73" spans="1:4" ht="15.5" x14ac:dyDescent="0.35">
      <c r="A73" s="628">
        <v>605</v>
      </c>
      <c r="B73" s="625">
        <v>0</v>
      </c>
      <c r="C73" s="625">
        <f t="shared" si="2"/>
        <v>400000</v>
      </c>
      <c r="D73" s="629" t="s">
        <v>247</v>
      </c>
    </row>
    <row r="74" spans="1:4" ht="15.5" x14ac:dyDescent="0.35">
      <c r="A74" s="628">
        <v>606</v>
      </c>
      <c r="B74" s="625">
        <v>0</v>
      </c>
      <c r="C74" s="625">
        <f t="shared" si="2"/>
        <v>400000</v>
      </c>
      <c r="D74" s="629" t="s">
        <v>267</v>
      </c>
    </row>
    <row r="75" spans="1:4" ht="15.5" x14ac:dyDescent="0.35">
      <c r="A75" s="628">
        <v>615</v>
      </c>
      <c r="B75" s="625">
        <v>0</v>
      </c>
      <c r="C75" s="625">
        <f t="shared" si="2"/>
        <v>400000</v>
      </c>
      <c r="D75" s="629" t="s">
        <v>249</v>
      </c>
    </row>
    <row r="76" spans="1:4" ht="15.5" x14ac:dyDescent="0.35">
      <c r="A76" s="628">
        <v>620</v>
      </c>
      <c r="B76" s="625">
        <v>0</v>
      </c>
      <c r="C76" s="625">
        <f t="shared" si="2"/>
        <v>400000</v>
      </c>
      <c r="D76" s="629" t="s">
        <v>250</v>
      </c>
    </row>
    <row r="77" spans="1:4" ht="15.5" x14ac:dyDescent="0.35">
      <c r="A77" s="628">
        <v>621</v>
      </c>
      <c r="B77" s="625">
        <v>0</v>
      </c>
      <c r="C77" s="625">
        <v>100000</v>
      </c>
      <c r="D77" s="629" t="s">
        <v>166</v>
      </c>
    </row>
    <row r="78" spans="1:4" ht="15.5" x14ac:dyDescent="0.35">
      <c r="A78" s="628">
        <v>622</v>
      </c>
      <c r="B78" s="625">
        <v>0</v>
      </c>
      <c r="C78" s="625">
        <v>100000</v>
      </c>
      <c r="D78" s="629" t="s">
        <v>253</v>
      </c>
    </row>
    <row r="79" spans="1:4" ht="15.5" x14ac:dyDescent="0.35">
      <c r="A79" s="628">
        <v>623</v>
      </c>
      <c r="B79" s="625">
        <v>0</v>
      </c>
      <c r="C79" s="625">
        <v>100000</v>
      </c>
      <c r="D79" s="629" t="s">
        <v>255</v>
      </c>
    </row>
    <row r="80" spans="1:4" ht="15.5" x14ac:dyDescent="0.35">
      <c r="A80" s="628">
        <v>624</v>
      </c>
      <c r="B80" s="625">
        <v>0</v>
      </c>
      <c r="C80" s="625">
        <v>100000</v>
      </c>
      <c r="D80" s="629" t="s">
        <v>257</v>
      </c>
    </row>
    <row r="81" spans="1:4" ht="15.5" x14ac:dyDescent="0.35">
      <c r="A81" s="628">
        <v>625</v>
      </c>
      <c r="B81" s="625">
        <v>0</v>
      </c>
      <c r="C81" s="625">
        <v>100000</v>
      </c>
      <c r="D81" s="629" t="s">
        <v>259</v>
      </c>
    </row>
    <row r="82" spans="1:4" ht="15.5" x14ac:dyDescent="0.35">
      <c r="A82" s="628">
        <v>636</v>
      </c>
      <c r="B82" s="625">
        <v>0</v>
      </c>
      <c r="C82" s="625">
        <f t="shared" si="2"/>
        <v>400000</v>
      </c>
      <c r="D82" s="629" t="s">
        <v>261</v>
      </c>
    </row>
    <row r="83" spans="1:4" ht="15.5" x14ac:dyDescent="0.35">
      <c r="A83" s="628">
        <v>637</v>
      </c>
      <c r="B83" s="625">
        <v>0</v>
      </c>
      <c r="C83" s="625">
        <f t="shared" si="2"/>
        <v>400000</v>
      </c>
      <c r="D83" s="629" t="s">
        <v>263</v>
      </c>
    </row>
    <row r="84" spans="1:4" ht="15.5" x14ac:dyDescent="0.35">
      <c r="A84" s="628">
        <v>638</v>
      </c>
      <c r="B84" s="625">
        <v>0</v>
      </c>
      <c r="C84" s="625">
        <f t="shared" si="2"/>
        <v>400000</v>
      </c>
      <c r="D84" s="629" t="s">
        <v>265</v>
      </c>
    </row>
    <row r="85" spans="1:4" ht="15.5" x14ac:dyDescent="0.35">
      <c r="A85" s="628">
        <v>639</v>
      </c>
      <c r="B85" s="625">
        <f>-400000</f>
        <v>-400000</v>
      </c>
      <c r="C85" s="625">
        <v>0</v>
      </c>
      <c r="D85" s="629" t="s">
        <v>277</v>
      </c>
    </row>
    <row r="86" spans="1:4" ht="15.5" x14ac:dyDescent="0.35">
      <c r="A86" s="632">
        <v>650</v>
      </c>
      <c r="B86" s="625">
        <v>0</v>
      </c>
      <c r="C86" s="625">
        <v>0</v>
      </c>
      <c r="D86" s="629" t="s">
        <v>269</v>
      </c>
    </row>
    <row r="87" spans="1:4" ht="15.5" x14ac:dyDescent="0.35">
      <c r="A87" s="632">
        <v>660</v>
      </c>
      <c r="B87" s="625">
        <v>0</v>
      </c>
      <c r="C87" s="625">
        <v>0</v>
      </c>
      <c r="D87" s="629" t="s">
        <v>271</v>
      </c>
    </row>
    <row r="88" spans="1:4" ht="15.5" x14ac:dyDescent="0.35">
      <c r="A88" s="632">
        <v>670</v>
      </c>
      <c r="B88" s="625">
        <v>-400000</v>
      </c>
      <c r="C88" s="625">
        <v>400000</v>
      </c>
      <c r="D88" s="629" t="s">
        <v>454</v>
      </c>
    </row>
    <row r="89" spans="1:4" ht="15.5" x14ac:dyDescent="0.35">
      <c r="A89" s="632">
        <v>680</v>
      </c>
      <c r="B89" s="625">
        <v>0</v>
      </c>
      <c r="C89" s="625">
        <v>0</v>
      </c>
      <c r="D89" s="629" t="s">
        <v>455</v>
      </c>
    </row>
    <row r="90" spans="1:4" ht="15.5" x14ac:dyDescent="0.35">
      <c r="A90" s="632">
        <v>700</v>
      </c>
      <c r="B90" s="625">
        <v>0</v>
      </c>
      <c r="C90" s="625">
        <f>400000</f>
        <v>400000</v>
      </c>
      <c r="D90" s="629" t="s">
        <v>280</v>
      </c>
    </row>
    <row r="91" spans="1:4" ht="15.5" x14ac:dyDescent="0.35">
      <c r="A91" s="628">
        <v>701</v>
      </c>
      <c r="B91" s="625">
        <f>-200000</f>
        <v>-200000</v>
      </c>
      <c r="C91" s="625">
        <v>0</v>
      </c>
      <c r="D91" s="629" t="s">
        <v>283</v>
      </c>
    </row>
    <row r="92" spans="1:4" ht="15.5" x14ac:dyDescent="0.35">
      <c r="A92" s="628">
        <v>710</v>
      </c>
      <c r="B92" s="625">
        <f>-100000</f>
        <v>-100000</v>
      </c>
      <c r="C92" s="625">
        <f>100000</f>
        <v>100000</v>
      </c>
      <c r="D92" s="629" t="s">
        <v>287</v>
      </c>
    </row>
    <row r="93" spans="1:4" ht="15.5" x14ac:dyDescent="0.35">
      <c r="A93" s="628">
        <v>712</v>
      </c>
      <c r="B93" s="625">
        <f>-100000</f>
        <v>-100000</v>
      </c>
      <c r="C93" s="625">
        <f>400000</f>
        <v>400000</v>
      </c>
      <c r="D93" s="629" t="s">
        <v>289</v>
      </c>
    </row>
    <row r="94" spans="1:4" ht="15.5" x14ac:dyDescent="0.35">
      <c r="A94" s="628">
        <v>715</v>
      </c>
      <c r="B94" s="625">
        <v>0</v>
      </c>
      <c r="C94" s="625">
        <f>200000</f>
        <v>200000</v>
      </c>
      <c r="D94" s="629" t="s">
        <v>313</v>
      </c>
    </row>
    <row r="95" spans="1:4" ht="15.5" x14ac:dyDescent="0.35">
      <c r="A95" s="628">
        <v>716</v>
      </c>
      <c r="B95" s="625">
        <v>0</v>
      </c>
      <c r="C95" s="625">
        <f>200000</f>
        <v>200000</v>
      </c>
      <c r="D95" s="629" t="s">
        <v>315</v>
      </c>
    </row>
    <row r="96" spans="1:4" ht="15.5" x14ac:dyDescent="0.35">
      <c r="A96" s="628">
        <v>717</v>
      </c>
      <c r="B96" s="625">
        <v>0</v>
      </c>
      <c r="C96" s="625">
        <f>200000</f>
        <v>200000</v>
      </c>
      <c r="D96" s="629" t="s">
        <v>317</v>
      </c>
    </row>
    <row r="97" spans="1:4" ht="15.5" x14ac:dyDescent="0.35">
      <c r="A97" s="632">
        <v>720</v>
      </c>
      <c r="B97" s="625"/>
      <c r="C97" s="625"/>
      <c r="D97" s="629" t="s">
        <v>319</v>
      </c>
    </row>
    <row r="98" spans="1:4" ht="15.5" x14ac:dyDescent="0.35">
      <c r="A98" s="628">
        <v>725</v>
      </c>
      <c r="B98" s="625">
        <v>0</v>
      </c>
      <c r="C98" s="625">
        <f>400000</f>
        <v>400000</v>
      </c>
      <c r="D98" s="629" t="s">
        <v>292</v>
      </c>
    </row>
    <row r="99" spans="1:4" ht="15.5" x14ac:dyDescent="0.35">
      <c r="A99" s="628">
        <v>730</v>
      </c>
      <c r="B99" s="625">
        <v>0</v>
      </c>
      <c r="C99" s="625">
        <f>100000</f>
        <v>100000</v>
      </c>
      <c r="D99" s="629" t="s">
        <v>295</v>
      </c>
    </row>
    <row r="100" spans="1:4" ht="15.5" x14ac:dyDescent="0.35">
      <c r="A100" s="632">
        <v>736</v>
      </c>
      <c r="B100" s="625">
        <v>0</v>
      </c>
      <c r="C100" s="625">
        <f>100000</f>
        <v>100000</v>
      </c>
      <c r="D100" s="629" t="s">
        <v>306</v>
      </c>
    </row>
    <row r="101" spans="1:4" ht="15.5" x14ac:dyDescent="0.35">
      <c r="A101" s="632">
        <v>737</v>
      </c>
      <c r="B101" s="625">
        <f>-100000</f>
        <v>-100000</v>
      </c>
      <c r="C101" s="625">
        <v>0</v>
      </c>
      <c r="D101" s="629" t="s">
        <v>308</v>
      </c>
    </row>
    <row r="102" spans="1:4" ht="15.5" x14ac:dyDescent="0.35">
      <c r="A102" s="632">
        <v>738</v>
      </c>
      <c r="B102" s="625">
        <f>-100000</f>
        <v>-100000</v>
      </c>
      <c r="C102" s="625">
        <v>0</v>
      </c>
      <c r="D102" s="629" t="s">
        <v>310</v>
      </c>
    </row>
    <row r="103" spans="1:4" ht="15.5" x14ac:dyDescent="0.35">
      <c r="A103" s="632">
        <v>780</v>
      </c>
      <c r="B103" s="625">
        <v>0</v>
      </c>
      <c r="C103" s="625">
        <f>100000</f>
        <v>100000</v>
      </c>
      <c r="D103" s="629" t="s">
        <v>298</v>
      </c>
    </row>
    <row r="104" spans="1:4" ht="15.5" x14ac:dyDescent="0.35">
      <c r="A104" s="632">
        <v>785</v>
      </c>
      <c r="B104" s="625">
        <f>-100000</f>
        <v>-100000</v>
      </c>
      <c r="C104" s="625">
        <f>100000</f>
        <v>100000</v>
      </c>
      <c r="D104" s="629" t="s">
        <v>300</v>
      </c>
    </row>
    <row r="105" spans="1:4" ht="15.5" x14ac:dyDescent="0.35">
      <c r="A105" s="632">
        <v>789</v>
      </c>
      <c r="B105" s="625">
        <v>0</v>
      </c>
      <c r="C105" s="625">
        <v>0</v>
      </c>
      <c r="D105" s="629" t="s">
        <v>303</v>
      </c>
    </row>
    <row r="106" spans="1:4" ht="15.5" x14ac:dyDescent="0.35">
      <c r="A106" s="632">
        <v>800</v>
      </c>
      <c r="B106" s="625">
        <f t="shared" ref="B106:B169" si="3">-200000</f>
        <v>-200000</v>
      </c>
      <c r="C106" s="625">
        <f t="shared" ref="C106:C169" si="4">200000</f>
        <v>200000</v>
      </c>
      <c r="D106" s="634" t="s">
        <v>456</v>
      </c>
    </row>
    <row r="107" spans="1:4" ht="15.5" x14ac:dyDescent="0.35">
      <c r="A107" s="632">
        <v>801</v>
      </c>
      <c r="B107" s="625">
        <f t="shared" si="3"/>
        <v>-200000</v>
      </c>
      <c r="C107" s="625">
        <f t="shared" si="4"/>
        <v>200000</v>
      </c>
      <c r="D107" s="634" t="s">
        <v>456</v>
      </c>
    </row>
    <row r="108" spans="1:4" ht="15.5" x14ac:dyDescent="0.35">
      <c r="A108" s="632">
        <v>802</v>
      </c>
      <c r="B108" s="625">
        <f t="shared" si="3"/>
        <v>-200000</v>
      </c>
      <c r="C108" s="625">
        <f t="shared" si="4"/>
        <v>200000</v>
      </c>
      <c r="D108" s="634" t="s">
        <v>456</v>
      </c>
    </row>
    <row r="109" spans="1:4" ht="15.5" x14ac:dyDescent="0.35">
      <c r="A109" s="632">
        <v>803</v>
      </c>
      <c r="B109" s="625">
        <f t="shared" si="3"/>
        <v>-200000</v>
      </c>
      <c r="C109" s="625">
        <f t="shared" si="4"/>
        <v>200000</v>
      </c>
      <c r="D109" s="634" t="s">
        <v>456</v>
      </c>
    </row>
    <row r="110" spans="1:4" ht="15.5" x14ac:dyDescent="0.35">
      <c r="A110" s="632">
        <v>804</v>
      </c>
      <c r="B110" s="625">
        <f t="shared" si="3"/>
        <v>-200000</v>
      </c>
      <c r="C110" s="625">
        <f t="shared" si="4"/>
        <v>200000</v>
      </c>
      <c r="D110" s="634" t="s">
        <v>456</v>
      </c>
    </row>
    <row r="111" spans="1:4" ht="15.5" x14ac:dyDescent="0.35">
      <c r="A111" s="632">
        <v>805</v>
      </c>
      <c r="B111" s="625">
        <f t="shared" si="3"/>
        <v>-200000</v>
      </c>
      <c r="C111" s="625">
        <f t="shared" si="4"/>
        <v>200000</v>
      </c>
      <c r="D111" s="634" t="s">
        <v>456</v>
      </c>
    </row>
    <row r="112" spans="1:4" ht="15.5" x14ac:dyDescent="0.35">
      <c r="A112" s="632">
        <v>806</v>
      </c>
      <c r="B112" s="625">
        <f t="shared" si="3"/>
        <v>-200000</v>
      </c>
      <c r="C112" s="625">
        <f t="shared" si="4"/>
        <v>200000</v>
      </c>
      <c r="D112" s="634" t="s">
        <v>456</v>
      </c>
    </row>
    <row r="113" spans="1:4" ht="15.5" x14ac:dyDescent="0.35">
      <c r="A113" s="632">
        <v>807</v>
      </c>
      <c r="B113" s="625">
        <f t="shared" si="3"/>
        <v>-200000</v>
      </c>
      <c r="C113" s="625">
        <f t="shared" si="4"/>
        <v>200000</v>
      </c>
      <c r="D113" s="634" t="s">
        <v>456</v>
      </c>
    </row>
    <row r="114" spans="1:4" ht="15.5" x14ac:dyDescent="0.35">
      <c r="A114" s="632">
        <v>808</v>
      </c>
      <c r="B114" s="625">
        <f t="shared" si="3"/>
        <v>-200000</v>
      </c>
      <c r="C114" s="625">
        <f t="shared" si="4"/>
        <v>200000</v>
      </c>
      <c r="D114" s="634" t="s">
        <v>456</v>
      </c>
    </row>
    <row r="115" spans="1:4" s="630" customFormat="1" ht="15.5" x14ac:dyDescent="0.35">
      <c r="A115" s="632">
        <v>809</v>
      </c>
      <c r="B115" s="625">
        <f t="shared" si="3"/>
        <v>-200000</v>
      </c>
      <c r="C115" s="625">
        <f t="shared" si="4"/>
        <v>200000</v>
      </c>
      <c r="D115" s="634" t="s">
        <v>456</v>
      </c>
    </row>
    <row r="116" spans="1:4" s="630" customFormat="1" ht="15.5" x14ac:dyDescent="0.35">
      <c r="A116" s="632">
        <v>810</v>
      </c>
      <c r="B116" s="625">
        <f t="shared" si="3"/>
        <v>-200000</v>
      </c>
      <c r="C116" s="625">
        <f t="shared" si="4"/>
        <v>200000</v>
      </c>
      <c r="D116" s="634" t="s">
        <v>456</v>
      </c>
    </row>
    <row r="117" spans="1:4" s="630" customFormat="1" ht="15.5" x14ac:dyDescent="0.35">
      <c r="A117" s="632">
        <v>811</v>
      </c>
      <c r="B117" s="625">
        <f t="shared" si="3"/>
        <v>-200000</v>
      </c>
      <c r="C117" s="625">
        <f t="shared" si="4"/>
        <v>200000</v>
      </c>
      <c r="D117" s="634" t="s">
        <v>456</v>
      </c>
    </row>
    <row r="118" spans="1:4" ht="15.5" x14ac:dyDescent="0.35">
      <c r="A118" s="632">
        <v>812</v>
      </c>
      <c r="B118" s="625">
        <f t="shared" si="3"/>
        <v>-200000</v>
      </c>
      <c r="C118" s="625">
        <f t="shared" si="4"/>
        <v>200000</v>
      </c>
      <c r="D118" s="634" t="s">
        <v>456</v>
      </c>
    </row>
    <row r="119" spans="1:4" ht="15.5" x14ac:dyDescent="0.35">
      <c r="A119" s="632">
        <v>813</v>
      </c>
      <c r="B119" s="625">
        <f t="shared" si="3"/>
        <v>-200000</v>
      </c>
      <c r="C119" s="625">
        <f t="shared" si="4"/>
        <v>200000</v>
      </c>
      <c r="D119" s="634" t="s">
        <v>456</v>
      </c>
    </row>
    <row r="120" spans="1:4" ht="15.5" x14ac:dyDescent="0.35">
      <c r="A120" s="632">
        <v>814</v>
      </c>
      <c r="B120" s="625">
        <f t="shared" si="3"/>
        <v>-200000</v>
      </c>
      <c r="C120" s="625">
        <f t="shared" si="4"/>
        <v>200000</v>
      </c>
      <c r="D120" s="634" t="s">
        <v>456</v>
      </c>
    </row>
    <row r="121" spans="1:4" ht="15.5" x14ac:dyDescent="0.35">
      <c r="A121" s="632">
        <v>815</v>
      </c>
      <c r="B121" s="625">
        <f t="shared" si="3"/>
        <v>-200000</v>
      </c>
      <c r="C121" s="625">
        <f t="shared" si="4"/>
        <v>200000</v>
      </c>
      <c r="D121" s="634" t="s">
        <v>456</v>
      </c>
    </row>
    <row r="122" spans="1:4" ht="15.5" x14ac:dyDescent="0.35">
      <c r="A122" s="632">
        <v>816</v>
      </c>
      <c r="B122" s="625">
        <f t="shared" si="3"/>
        <v>-200000</v>
      </c>
      <c r="C122" s="625">
        <f t="shared" si="4"/>
        <v>200000</v>
      </c>
      <c r="D122" s="634" t="s">
        <v>456</v>
      </c>
    </row>
    <row r="123" spans="1:4" ht="15.5" x14ac:dyDescent="0.35">
      <c r="A123" s="632">
        <v>817</v>
      </c>
      <c r="B123" s="625">
        <f t="shared" si="3"/>
        <v>-200000</v>
      </c>
      <c r="C123" s="625">
        <f t="shared" si="4"/>
        <v>200000</v>
      </c>
      <c r="D123" s="634" t="s">
        <v>456</v>
      </c>
    </row>
    <row r="124" spans="1:4" ht="15.5" x14ac:dyDescent="0.35">
      <c r="A124" s="632">
        <v>818</v>
      </c>
      <c r="B124" s="625">
        <f t="shared" si="3"/>
        <v>-200000</v>
      </c>
      <c r="C124" s="625">
        <f t="shared" si="4"/>
        <v>200000</v>
      </c>
      <c r="D124" s="634" t="s">
        <v>456</v>
      </c>
    </row>
    <row r="125" spans="1:4" ht="15.5" x14ac:dyDescent="0.35">
      <c r="A125" s="632">
        <v>819</v>
      </c>
      <c r="B125" s="625">
        <f t="shared" si="3"/>
        <v>-200000</v>
      </c>
      <c r="C125" s="625">
        <f t="shared" si="4"/>
        <v>200000</v>
      </c>
      <c r="D125" s="634" t="s">
        <v>456</v>
      </c>
    </row>
    <row r="126" spans="1:4" ht="15.5" x14ac:dyDescent="0.35">
      <c r="A126" s="632">
        <v>820</v>
      </c>
      <c r="B126" s="625">
        <f t="shared" si="3"/>
        <v>-200000</v>
      </c>
      <c r="C126" s="625">
        <f t="shared" si="4"/>
        <v>200000</v>
      </c>
      <c r="D126" s="634" t="s">
        <v>456</v>
      </c>
    </row>
    <row r="127" spans="1:4" ht="15.5" x14ac:dyDescent="0.35">
      <c r="A127" s="632">
        <v>821</v>
      </c>
      <c r="B127" s="625">
        <f t="shared" si="3"/>
        <v>-200000</v>
      </c>
      <c r="C127" s="625">
        <f t="shared" si="4"/>
        <v>200000</v>
      </c>
      <c r="D127" s="634" t="s">
        <v>456</v>
      </c>
    </row>
    <row r="128" spans="1:4" ht="15.5" x14ac:dyDescent="0.35">
      <c r="A128" s="632">
        <v>822</v>
      </c>
      <c r="B128" s="625">
        <f t="shared" si="3"/>
        <v>-200000</v>
      </c>
      <c r="C128" s="625">
        <f t="shared" si="4"/>
        <v>200000</v>
      </c>
      <c r="D128" s="634" t="s">
        <v>456</v>
      </c>
    </row>
    <row r="129" spans="1:4" ht="15.5" x14ac:dyDescent="0.35">
      <c r="A129" s="632">
        <v>823</v>
      </c>
      <c r="B129" s="625">
        <f t="shared" si="3"/>
        <v>-200000</v>
      </c>
      <c r="C129" s="625">
        <f t="shared" si="4"/>
        <v>200000</v>
      </c>
      <c r="D129" s="634" t="s">
        <v>456</v>
      </c>
    </row>
    <row r="130" spans="1:4" ht="15.5" x14ac:dyDescent="0.35">
      <c r="A130" s="632">
        <v>824</v>
      </c>
      <c r="B130" s="625">
        <f t="shared" si="3"/>
        <v>-200000</v>
      </c>
      <c r="C130" s="625">
        <f t="shared" si="4"/>
        <v>200000</v>
      </c>
      <c r="D130" s="634" t="s">
        <v>456</v>
      </c>
    </row>
    <row r="131" spans="1:4" ht="15.5" x14ac:dyDescent="0.35">
      <c r="A131" s="632">
        <v>825</v>
      </c>
      <c r="B131" s="625">
        <f t="shared" si="3"/>
        <v>-200000</v>
      </c>
      <c r="C131" s="625">
        <f t="shared" si="4"/>
        <v>200000</v>
      </c>
      <c r="D131" s="634" t="s">
        <v>456</v>
      </c>
    </row>
    <row r="132" spans="1:4" ht="15.5" x14ac:dyDescent="0.35">
      <c r="A132" s="632">
        <v>826</v>
      </c>
      <c r="B132" s="625">
        <f t="shared" si="3"/>
        <v>-200000</v>
      </c>
      <c r="C132" s="625">
        <f t="shared" si="4"/>
        <v>200000</v>
      </c>
      <c r="D132" s="634" t="s">
        <v>456</v>
      </c>
    </row>
    <row r="133" spans="1:4" ht="15.5" x14ac:dyDescent="0.35">
      <c r="A133" s="632">
        <v>827</v>
      </c>
      <c r="B133" s="625">
        <f t="shared" si="3"/>
        <v>-200000</v>
      </c>
      <c r="C133" s="625">
        <f t="shared" si="4"/>
        <v>200000</v>
      </c>
      <c r="D133" s="634" t="s">
        <v>456</v>
      </c>
    </row>
    <row r="134" spans="1:4" ht="15.5" x14ac:dyDescent="0.35">
      <c r="A134" s="632">
        <v>828</v>
      </c>
      <c r="B134" s="625">
        <f t="shared" si="3"/>
        <v>-200000</v>
      </c>
      <c r="C134" s="625">
        <f t="shared" si="4"/>
        <v>200000</v>
      </c>
      <c r="D134" s="634" t="s">
        <v>456</v>
      </c>
    </row>
    <row r="135" spans="1:4" ht="15.5" x14ac:dyDescent="0.35">
      <c r="A135" s="632">
        <v>829</v>
      </c>
      <c r="B135" s="625">
        <f t="shared" si="3"/>
        <v>-200000</v>
      </c>
      <c r="C135" s="625">
        <f t="shared" si="4"/>
        <v>200000</v>
      </c>
      <c r="D135" s="634" t="s">
        <v>456</v>
      </c>
    </row>
    <row r="136" spans="1:4" ht="15.5" x14ac:dyDescent="0.35">
      <c r="A136" s="632">
        <v>830</v>
      </c>
      <c r="B136" s="625">
        <f t="shared" si="3"/>
        <v>-200000</v>
      </c>
      <c r="C136" s="625">
        <f t="shared" si="4"/>
        <v>200000</v>
      </c>
      <c r="D136" s="634" t="s">
        <v>456</v>
      </c>
    </row>
    <row r="137" spans="1:4" ht="15.5" x14ac:dyDescent="0.35">
      <c r="A137" s="632">
        <v>831</v>
      </c>
      <c r="B137" s="625">
        <f t="shared" si="3"/>
        <v>-200000</v>
      </c>
      <c r="C137" s="625">
        <f t="shared" si="4"/>
        <v>200000</v>
      </c>
      <c r="D137" s="634" t="s">
        <v>456</v>
      </c>
    </row>
    <row r="138" spans="1:4" ht="15.5" x14ac:dyDescent="0.35">
      <c r="A138" s="632">
        <v>832</v>
      </c>
      <c r="B138" s="625">
        <f t="shared" si="3"/>
        <v>-200000</v>
      </c>
      <c r="C138" s="625">
        <f t="shared" si="4"/>
        <v>200000</v>
      </c>
      <c r="D138" s="634" t="s">
        <v>456</v>
      </c>
    </row>
    <row r="139" spans="1:4" ht="15.5" x14ac:dyDescent="0.35">
      <c r="A139" s="632">
        <v>833</v>
      </c>
      <c r="B139" s="625">
        <f t="shared" si="3"/>
        <v>-200000</v>
      </c>
      <c r="C139" s="625">
        <f t="shared" si="4"/>
        <v>200000</v>
      </c>
      <c r="D139" s="634" t="s">
        <v>456</v>
      </c>
    </row>
    <row r="140" spans="1:4" ht="15.5" x14ac:dyDescent="0.35">
      <c r="A140" s="632">
        <v>834</v>
      </c>
      <c r="B140" s="625">
        <f t="shared" si="3"/>
        <v>-200000</v>
      </c>
      <c r="C140" s="625">
        <f t="shared" si="4"/>
        <v>200000</v>
      </c>
      <c r="D140" s="634" t="s">
        <v>456</v>
      </c>
    </row>
    <row r="141" spans="1:4" ht="15.5" x14ac:dyDescent="0.35">
      <c r="A141" s="632">
        <v>835</v>
      </c>
      <c r="B141" s="625">
        <f t="shared" si="3"/>
        <v>-200000</v>
      </c>
      <c r="C141" s="625">
        <f t="shared" si="4"/>
        <v>200000</v>
      </c>
      <c r="D141" s="634" t="s">
        <v>456</v>
      </c>
    </row>
    <row r="142" spans="1:4" ht="15.5" x14ac:dyDescent="0.35">
      <c r="A142" s="632">
        <v>836</v>
      </c>
      <c r="B142" s="625">
        <f t="shared" si="3"/>
        <v>-200000</v>
      </c>
      <c r="C142" s="625">
        <f t="shared" si="4"/>
        <v>200000</v>
      </c>
      <c r="D142" s="634" t="s">
        <v>456</v>
      </c>
    </row>
    <row r="143" spans="1:4" ht="15.5" x14ac:dyDescent="0.35">
      <c r="A143" s="632">
        <v>837</v>
      </c>
      <c r="B143" s="625">
        <f t="shared" si="3"/>
        <v>-200000</v>
      </c>
      <c r="C143" s="625">
        <f t="shared" si="4"/>
        <v>200000</v>
      </c>
      <c r="D143" s="634" t="s">
        <v>456</v>
      </c>
    </row>
    <row r="144" spans="1:4" ht="15.5" x14ac:dyDescent="0.35">
      <c r="A144" s="632">
        <v>838</v>
      </c>
      <c r="B144" s="625">
        <f t="shared" si="3"/>
        <v>-200000</v>
      </c>
      <c r="C144" s="625">
        <f t="shared" si="4"/>
        <v>200000</v>
      </c>
      <c r="D144" s="634" t="s">
        <v>456</v>
      </c>
    </row>
    <row r="145" spans="1:4" ht="15.5" x14ac:dyDescent="0.35">
      <c r="A145" s="632">
        <v>839</v>
      </c>
      <c r="B145" s="625">
        <f t="shared" si="3"/>
        <v>-200000</v>
      </c>
      <c r="C145" s="625">
        <f t="shared" si="4"/>
        <v>200000</v>
      </c>
      <c r="D145" s="634" t="s">
        <v>456</v>
      </c>
    </row>
    <row r="146" spans="1:4" ht="15.5" x14ac:dyDescent="0.35">
      <c r="A146" s="632">
        <v>840</v>
      </c>
      <c r="B146" s="625">
        <f t="shared" si="3"/>
        <v>-200000</v>
      </c>
      <c r="C146" s="625">
        <f t="shared" si="4"/>
        <v>200000</v>
      </c>
      <c r="D146" s="634" t="s">
        <v>456</v>
      </c>
    </row>
    <row r="147" spans="1:4" ht="15.5" x14ac:dyDescent="0.35">
      <c r="A147" s="632">
        <v>841</v>
      </c>
      <c r="B147" s="625">
        <f t="shared" si="3"/>
        <v>-200000</v>
      </c>
      <c r="C147" s="625">
        <f t="shared" si="4"/>
        <v>200000</v>
      </c>
      <c r="D147" s="634" t="s">
        <v>456</v>
      </c>
    </row>
    <row r="148" spans="1:4" ht="15.5" x14ac:dyDescent="0.35">
      <c r="A148" s="632">
        <v>842</v>
      </c>
      <c r="B148" s="625">
        <f t="shared" si="3"/>
        <v>-200000</v>
      </c>
      <c r="C148" s="625">
        <f t="shared" si="4"/>
        <v>200000</v>
      </c>
      <c r="D148" s="634" t="s">
        <v>456</v>
      </c>
    </row>
    <row r="149" spans="1:4" ht="15.5" x14ac:dyDescent="0.35">
      <c r="A149" s="632">
        <v>843</v>
      </c>
      <c r="B149" s="625">
        <f t="shared" si="3"/>
        <v>-200000</v>
      </c>
      <c r="C149" s="625">
        <f t="shared" si="4"/>
        <v>200000</v>
      </c>
      <c r="D149" s="634" t="s">
        <v>456</v>
      </c>
    </row>
    <row r="150" spans="1:4" ht="15.5" x14ac:dyDescent="0.35">
      <c r="A150" s="632">
        <v>844</v>
      </c>
      <c r="B150" s="625">
        <f t="shared" si="3"/>
        <v>-200000</v>
      </c>
      <c r="C150" s="625">
        <f t="shared" si="4"/>
        <v>200000</v>
      </c>
      <c r="D150" s="634" t="s">
        <v>456</v>
      </c>
    </row>
    <row r="151" spans="1:4" ht="15.5" x14ac:dyDescent="0.35">
      <c r="A151" s="632">
        <v>845</v>
      </c>
      <c r="B151" s="625">
        <f t="shared" si="3"/>
        <v>-200000</v>
      </c>
      <c r="C151" s="625">
        <f t="shared" si="4"/>
        <v>200000</v>
      </c>
      <c r="D151" s="634" t="s">
        <v>456</v>
      </c>
    </row>
    <row r="152" spans="1:4" ht="15.5" x14ac:dyDescent="0.35">
      <c r="A152" s="632">
        <v>846</v>
      </c>
      <c r="B152" s="625">
        <f t="shared" si="3"/>
        <v>-200000</v>
      </c>
      <c r="C152" s="625">
        <f t="shared" si="4"/>
        <v>200000</v>
      </c>
      <c r="D152" s="634" t="s">
        <v>456</v>
      </c>
    </row>
    <row r="153" spans="1:4" ht="15.5" x14ac:dyDescent="0.35">
      <c r="A153" s="632">
        <v>847</v>
      </c>
      <c r="B153" s="625">
        <f t="shared" si="3"/>
        <v>-200000</v>
      </c>
      <c r="C153" s="625">
        <f t="shared" si="4"/>
        <v>200000</v>
      </c>
      <c r="D153" s="634" t="s">
        <v>456</v>
      </c>
    </row>
    <row r="154" spans="1:4" ht="15.5" x14ac:dyDescent="0.35">
      <c r="A154" s="632">
        <v>848</v>
      </c>
      <c r="B154" s="625">
        <f t="shared" si="3"/>
        <v>-200000</v>
      </c>
      <c r="C154" s="625">
        <f t="shared" si="4"/>
        <v>200000</v>
      </c>
      <c r="D154" s="634" t="s">
        <v>456</v>
      </c>
    </row>
    <row r="155" spans="1:4" ht="15.5" x14ac:dyDescent="0.35">
      <c r="A155" s="632">
        <v>849</v>
      </c>
      <c r="B155" s="625">
        <f t="shared" si="3"/>
        <v>-200000</v>
      </c>
      <c r="C155" s="625">
        <f t="shared" si="4"/>
        <v>200000</v>
      </c>
      <c r="D155" s="634" t="s">
        <v>456</v>
      </c>
    </row>
    <row r="156" spans="1:4" ht="15.5" x14ac:dyDescent="0.35">
      <c r="A156" s="632">
        <v>850</v>
      </c>
      <c r="B156" s="625">
        <f t="shared" si="3"/>
        <v>-200000</v>
      </c>
      <c r="C156" s="625">
        <f t="shared" si="4"/>
        <v>200000</v>
      </c>
      <c r="D156" s="634" t="s">
        <v>456</v>
      </c>
    </row>
    <row r="157" spans="1:4" ht="15.5" x14ac:dyDescent="0.35">
      <c r="A157" s="632">
        <v>851</v>
      </c>
      <c r="B157" s="625">
        <f t="shared" si="3"/>
        <v>-200000</v>
      </c>
      <c r="C157" s="625">
        <f t="shared" si="4"/>
        <v>200000</v>
      </c>
      <c r="D157" s="634" t="s">
        <v>456</v>
      </c>
    </row>
    <row r="158" spans="1:4" ht="15.5" x14ac:dyDescent="0.35">
      <c r="A158" s="632">
        <v>852</v>
      </c>
      <c r="B158" s="625">
        <f t="shared" si="3"/>
        <v>-200000</v>
      </c>
      <c r="C158" s="625">
        <f t="shared" si="4"/>
        <v>200000</v>
      </c>
      <c r="D158" s="634" t="s">
        <v>456</v>
      </c>
    </row>
    <row r="159" spans="1:4" ht="15.5" x14ac:dyDescent="0.35">
      <c r="A159" s="632">
        <v>853</v>
      </c>
      <c r="B159" s="625">
        <f t="shared" si="3"/>
        <v>-200000</v>
      </c>
      <c r="C159" s="625">
        <f t="shared" si="4"/>
        <v>200000</v>
      </c>
      <c r="D159" s="634" t="s">
        <v>456</v>
      </c>
    </row>
    <row r="160" spans="1:4" ht="15.5" x14ac:dyDescent="0.35">
      <c r="A160" s="632">
        <v>854</v>
      </c>
      <c r="B160" s="625">
        <f t="shared" si="3"/>
        <v>-200000</v>
      </c>
      <c r="C160" s="625">
        <f t="shared" si="4"/>
        <v>200000</v>
      </c>
      <c r="D160" s="634" t="s">
        <v>456</v>
      </c>
    </row>
    <row r="161" spans="1:4" ht="15.5" x14ac:dyDescent="0.35">
      <c r="A161" s="632">
        <v>855</v>
      </c>
      <c r="B161" s="625">
        <f t="shared" si="3"/>
        <v>-200000</v>
      </c>
      <c r="C161" s="625">
        <f t="shared" si="4"/>
        <v>200000</v>
      </c>
      <c r="D161" s="634" t="s">
        <v>456</v>
      </c>
    </row>
    <row r="162" spans="1:4" ht="15.5" x14ac:dyDescent="0.35">
      <c r="A162" s="632">
        <v>856</v>
      </c>
      <c r="B162" s="625">
        <f t="shared" si="3"/>
        <v>-200000</v>
      </c>
      <c r="C162" s="625">
        <f t="shared" si="4"/>
        <v>200000</v>
      </c>
      <c r="D162" s="634" t="s">
        <v>456</v>
      </c>
    </row>
    <row r="163" spans="1:4" ht="15.5" x14ac:dyDescent="0.35">
      <c r="A163" s="632">
        <v>857</v>
      </c>
      <c r="B163" s="625">
        <f t="shared" si="3"/>
        <v>-200000</v>
      </c>
      <c r="C163" s="625">
        <f t="shared" si="4"/>
        <v>200000</v>
      </c>
      <c r="D163" s="634" t="s">
        <v>456</v>
      </c>
    </row>
    <row r="164" spans="1:4" ht="15.5" x14ac:dyDescent="0.35">
      <c r="A164" s="632">
        <v>858</v>
      </c>
      <c r="B164" s="625">
        <f t="shared" si="3"/>
        <v>-200000</v>
      </c>
      <c r="C164" s="625">
        <f t="shared" si="4"/>
        <v>200000</v>
      </c>
      <c r="D164" s="634" t="s">
        <v>456</v>
      </c>
    </row>
    <row r="165" spans="1:4" ht="15.5" x14ac:dyDescent="0.35">
      <c r="A165" s="632">
        <v>859</v>
      </c>
      <c r="B165" s="625">
        <f t="shared" si="3"/>
        <v>-200000</v>
      </c>
      <c r="C165" s="625">
        <f t="shared" si="4"/>
        <v>200000</v>
      </c>
      <c r="D165" s="634" t="s">
        <v>456</v>
      </c>
    </row>
    <row r="166" spans="1:4" ht="15.5" x14ac:dyDescent="0.35">
      <c r="A166" s="632">
        <v>860</v>
      </c>
      <c r="B166" s="625">
        <f t="shared" si="3"/>
        <v>-200000</v>
      </c>
      <c r="C166" s="625">
        <f t="shared" si="4"/>
        <v>200000</v>
      </c>
      <c r="D166" s="634" t="s">
        <v>456</v>
      </c>
    </row>
    <row r="167" spans="1:4" ht="15.5" x14ac:dyDescent="0.35">
      <c r="A167" s="632">
        <v>861</v>
      </c>
      <c r="B167" s="625">
        <f t="shared" si="3"/>
        <v>-200000</v>
      </c>
      <c r="C167" s="625">
        <f t="shared" si="4"/>
        <v>200000</v>
      </c>
      <c r="D167" s="634" t="s">
        <v>456</v>
      </c>
    </row>
    <row r="168" spans="1:4" ht="15.5" x14ac:dyDescent="0.35">
      <c r="A168" s="632">
        <v>862</v>
      </c>
      <c r="B168" s="625">
        <f t="shared" si="3"/>
        <v>-200000</v>
      </c>
      <c r="C168" s="625">
        <f t="shared" si="4"/>
        <v>200000</v>
      </c>
      <c r="D168" s="634" t="s">
        <v>456</v>
      </c>
    </row>
    <row r="169" spans="1:4" ht="15.5" x14ac:dyDescent="0.35">
      <c r="A169" s="632">
        <v>863</v>
      </c>
      <c r="B169" s="625">
        <f t="shared" si="3"/>
        <v>-200000</v>
      </c>
      <c r="C169" s="625">
        <f t="shared" si="4"/>
        <v>200000</v>
      </c>
      <c r="D169" s="634" t="s">
        <v>456</v>
      </c>
    </row>
    <row r="170" spans="1:4" ht="15.5" x14ac:dyDescent="0.35">
      <c r="A170" s="632">
        <v>864</v>
      </c>
      <c r="B170" s="625">
        <f t="shared" ref="B170:B185" si="5">-200000</f>
        <v>-200000</v>
      </c>
      <c r="C170" s="625">
        <f t="shared" ref="C170:C185" si="6">200000</f>
        <v>200000</v>
      </c>
      <c r="D170" s="634" t="s">
        <v>456</v>
      </c>
    </row>
    <row r="171" spans="1:4" ht="15.5" x14ac:dyDescent="0.35">
      <c r="A171" s="632">
        <v>865</v>
      </c>
      <c r="B171" s="625">
        <f t="shared" si="5"/>
        <v>-200000</v>
      </c>
      <c r="C171" s="625">
        <f t="shared" si="6"/>
        <v>200000</v>
      </c>
      <c r="D171" s="634" t="s">
        <v>456</v>
      </c>
    </row>
    <row r="172" spans="1:4" ht="15.5" x14ac:dyDescent="0.35">
      <c r="A172" s="632">
        <v>866</v>
      </c>
      <c r="B172" s="625">
        <f t="shared" si="5"/>
        <v>-200000</v>
      </c>
      <c r="C172" s="625">
        <f t="shared" si="6"/>
        <v>200000</v>
      </c>
      <c r="D172" s="634" t="s">
        <v>456</v>
      </c>
    </row>
    <row r="173" spans="1:4" ht="15.5" x14ac:dyDescent="0.35">
      <c r="A173" s="632">
        <v>867</v>
      </c>
      <c r="B173" s="625">
        <f t="shared" si="5"/>
        <v>-200000</v>
      </c>
      <c r="C173" s="625">
        <f t="shared" si="6"/>
        <v>200000</v>
      </c>
      <c r="D173" s="634" t="s">
        <v>456</v>
      </c>
    </row>
    <row r="174" spans="1:4" ht="15.5" x14ac:dyDescent="0.35">
      <c r="A174" s="632">
        <v>868</v>
      </c>
      <c r="B174" s="625">
        <f t="shared" si="5"/>
        <v>-200000</v>
      </c>
      <c r="C174" s="625">
        <f t="shared" si="6"/>
        <v>200000</v>
      </c>
      <c r="D174" s="634" t="s">
        <v>456</v>
      </c>
    </row>
    <row r="175" spans="1:4" ht="15.5" x14ac:dyDescent="0.35">
      <c r="A175" s="632">
        <v>869</v>
      </c>
      <c r="B175" s="625">
        <f t="shared" si="5"/>
        <v>-200000</v>
      </c>
      <c r="C175" s="625">
        <f t="shared" si="6"/>
        <v>200000</v>
      </c>
      <c r="D175" s="634" t="s">
        <v>456</v>
      </c>
    </row>
    <row r="176" spans="1:4" ht="15.5" x14ac:dyDescent="0.35">
      <c r="A176" s="632">
        <v>870</v>
      </c>
      <c r="B176" s="625">
        <f t="shared" si="5"/>
        <v>-200000</v>
      </c>
      <c r="C176" s="625">
        <f t="shared" si="6"/>
        <v>200000</v>
      </c>
      <c r="D176" s="634" t="s">
        <v>456</v>
      </c>
    </row>
    <row r="177" spans="1:4" ht="15.5" x14ac:dyDescent="0.35">
      <c r="A177" s="632">
        <v>871</v>
      </c>
      <c r="B177" s="625">
        <f t="shared" si="5"/>
        <v>-200000</v>
      </c>
      <c r="C177" s="625">
        <f t="shared" si="6"/>
        <v>200000</v>
      </c>
      <c r="D177" s="634" t="s">
        <v>456</v>
      </c>
    </row>
    <row r="178" spans="1:4" ht="15.5" x14ac:dyDescent="0.35">
      <c r="A178" s="632">
        <v>872</v>
      </c>
      <c r="B178" s="625">
        <f t="shared" si="5"/>
        <v>-200000</v>
      </c>
      <c r="C178" s="625">
        <f t="shared" si="6"/>
        <v>200000</v>
      </c>
      <c r="D178" s="634" t="s">
        <v>456</v>
      </c>
    </row>
    <row r="179" spans="1:4" ht="15.5" x14ac:dyDescent="0.35">
      <c r="A179" s="632">
        <v>873</v>
      </c>
      <c r="B179" s="625">
        <f t="shared" si="5"/>
        <v>-200000</v>
      </c>
      <c r="C179" s="625">
        <f t="shared" si="6"/>
        <v>200000</v>
      </c>
      <c r="D179" s="634" t="s">
        <v>456</v>
      </c>
    </row>
    <row r="180" spans="1:4" ht="15.5" x14ac:dyDescent="0.35">
      <c r="A180" s="632">
        <v>874</v>
      </c>
      <c r="B180" s="625">
        <f t="shared" si="5"/>
        <v>-200000</v>
      </c>
      <c r="C180" s="625">
        <f t="shared" si="6"/>
        <v>200000</v>
      </c>
      <c r="D180" s="634" t="s">
        <v>456</v>
      </c>
    </row>
    <row r="181" spans="1:4" ht="15.5" x14ac:dyDescent="0.35">
      <c r="A181" s="632">
        <v>875</v>
      </c>
      <c r="B181" s="625">
        <f t="shared" si="5"/>
        <v>-200000</v>
      </c>
      <c r="C181" s="625">
        <f t="shared" si="6"/>
        <v>200000</v>
      </c>
      <c r="D181" s="634" t="s">
        <v>456</v>
      </c>
    </row>
    <row r="182" spans="1:4" ht="15.5" x14ac:dyDescent="0.35">
      <c r="A182" s="632">
        <v>876</v>
      </c>
      <c r="B182" s="625">
        <f t="shared" si="5"/>
        <v>-200000</v>
      </c>
      <c r="C182" s="625">
        <f t="shared" si="6"/>
        <v>200000</v>
      </c>
      <c r="D182" s="634" t="s">
        <v>456</v>
      </c>
    </row>
    <row r="183" spans="1:4" ht="15.5" x14ac:dyDescent="0.35">
      <c r="A183" s="632">
        <v>877</v>
      </c>
      <c r="B183" s="625">
        <f t="shared" si="5"/>
        <v>-200000</v>
      </c>
      <c r="C183" s="625">
        <f t="shared" si="6"/>
        <v>200000</v>
      </c>
      <c r="D183" s="634" t="s">
        <v>456</v>
      </c>
    </row>
    <row r="184" spans="1:4" ht="15.5" x14ac:dyDescent="0.35">
      <c r="A184" s="632">
        <v>878</v>
      </c>
      <c r="B184" s="625">
        <f t="shared" si="5"/>
        <v>-200000</v>
      </c>
      <c r="C184" s="625">
        <f t="shared" si="6"/>
        <v>200000</v>
      </c>
      <c r="D184" s="634" t="s">
        <v>456</v>
      </c>
    </row>
    <row r="185" spans="1:4" ht="15.5" x14ac:dyDescent="0.35">
      <c r="A185" s="632">
        <v>879</v>
      </c>
      <c r="B185" s="625">
        <f t="shared" si="5"/>
        <v>-200000</v>
      </c>
      <c r="C185" s="625">
        <f t="shared" si="6"/>
        <v>200000</v>
      </c>
      <c r="D185" s="634" t="s">
        <v>456</v>
      </c>
    </row>
    <row r="186" spans="1:4" ht="15.5" x14ac:dyDescent="0.35">
      <c r="A186" s="632">
        <v>880</v>
      </c>
      <c r="B186" s="625">
        <f t="shared" ref="B186:B195" si="7">-200000</f>
        <v>-200000</v>
      </c>
      <c r="C186" s="625">
        <f t="shared" ref="C186:C195" si="8">200000</f>
        <v>200000</v>
      </c>
      <c r="D186" s="634" t="s">
        <v>456</v>
      </c>
    </row>
    <row r="187" spans="1:4" ht="15.5" x14ac:dyDescent="0.35">
      <c r="A187" s="632">
        <v>881</v>
      </c>
      <c r="B187" s="625">
        <f t="shared" si="7"/>
        <v>-200000</v>
      </c>
      <c r="C187" s="625">
        <f t="shared" si="8"/>
        <v>200000</v>
      </c>
      <c r="D187" s="634" t="s">
        <v>456</v>
      </c>
    </row>
    <row r="188" spans="1:4" ht="15.5" x14ac:dyDescent="0.35">
      <c r="A188" s="632">
        <v>882</v>
      </c>
      <c r="B188" s="625">
        <f t="shared" si="7"/>
        <v>-200000</v>
      </c>
      <c r="C188" s="625">
        <f t="shared" si="8"/>
        <v>200000</v>
      </c>
      <c r="D188" s="634" t="s">
        <v>456</v>
      </c>
    </row>
    <row r="189" spans="1:4" ht="15.5" x14ac:dyDescent="0.35">
      <c r="A189" s="632">
        <v>883</v>
      </c>
      <c r="B189" s="625">
        <f t="shared" si="7"/>
        <v>-200000</v>
      </c>
      <c r="C189" s="625">
        <f t="shared" si="8"/>
        <v>200000</v>
      </c>
      <c r="D189" s="634" t="s">
        <v>456</v>
      </c>
    </row>
    <row r="190" spans="1:4" ht="15.5" x14ac:dyDescent="0.35">
      <c r="A190" s="632">
        <v>884</v>
      </c>
      <c r="B190" s="625">
        <f t="shared" si="7"/>
        <v>-200000</v>
      </c>
      <c r="C190" s="625">
        <f t="shared" si="8"/>
        <v>200000</v>
      </c>
      <c r="D190" s="634" t="s">
        <v>456</v>
      </c>
    </row>
    <row r="191" spans="1:4" ht="15.5" x14ac:dyDescent="0.35">
      <c r="A191" s="632">
        <v>885</v>
      </c>
      <c r="B191" s="625">
        <f t="shared" si="7"/>
        <v>-200000</v>
      </c>
      <c r="C191" s="625">
        <f t="shared" si="8"/>
        <v>200000</v>
      </c>
      <c r="D191" s="634" t="s">
        <v>456</v>
      </c>
    </row>
    <row r="192" spans="1:4" ht="15.5" x14ac:dyDescent="0.35">
      <c r="A192" s="632">
        <v>886</v>
      </c>
      <c r="B192" s="625">
        <f t="shared" si="7"/>
        <v>-200000</v>
      </c>
      <c r="C192" s="625">
        <f t="shared" si="8"/>
        <v>200000</v>
      </c>
      <c r="D192" s="634" t="s">
        <v>456</v>
      </c>
    </row>
    <row r="193" spans="1:4" ht="15.5" x14ac:dyDescent="0.35">
      <c r="A193" s="632">
        <v>887</v>
      </c>
      <c r="B193" s="625">
        <f t="shared" si="7"/>
        <v>-200000</v>
      </c>
      <c r="C193" s="625">
        <f t="shared" si="8"/>
        <v>200000</v>
      </c>
      <c r="D193" s="634" t="s">
        <v>456</v>
      </c>
    </row>
    <row r="194" spans="1:4" ht="15.5" x14ac:dyDescent="0.35">
      <c r="A194" s="632">
        <v>888</v>
      </c>
      <c r="B194" s="625">
        <f t="shared" si="7"/>
        <v>-200000</v>
      </c>
      <c r="C194" s="625">
        <f t="shared" si="8"/>
        <v>200000</v>
      </c>
      <c r="D194" s="634" t="s">
        <v>456</v>
      </c>
    </row>
    <row r="195" spans="1:4" ht="15.5" x14ac:dyDescent="0.35">
      <c r="A195" s="632">
        <v>889</v>
      </c>
      <c r="B195" s="625">
        <f t="shared" si="7"/>
        <v>-200000</v>
      </c>
      <c r="C195" s="625">
        <f t="shared" si="8"/>
        <v>200000</v>
      </c>
      <c r="D195" s="634" t="s">
        <v>456</v>
      </c>
    </row>
    <row r="196" spans="1:4" ht="15.5" x14ac:dyDescent="0.35">
      <c r="A196" s="635">
        <v>999</v>
      </c>
      <c r="B196" s="625">
        <v>0</v>
      </c>
      <c r="C196" s="625">
        <f>999999</f>
        <v>999999</v>
      </c>
      <c r="D196" s="629" t="s">
        <v>457</v>
      </c>
    </row>
    <row r="197" spans="1:4" ht="15.5" x14ac:dyDescent="0.35">
      <c r="A197" s="632">
        <v>1000</v>
      </c>
      <c r="B197" s="625">
        <f>-999999</f>
        <v>-999999</v>
      </c>
      <c r="C197" s="625">
        <f>999999</f>
        <v>999999</v>
      </c>
      <c r="D197" s="629" t="s">
        <v>458</v>
      </c>
    </row>
    <row r="198" spans="1:4" ht="15.5" x14ac:dyDescent="0.35">
      <c r="A198" s="632">
        <v>1001</v>
      </c>
      <c r="B198" s="625">
        <v>0</v>
      </c>
      <c r="C198" s="625">
        <v>0</v>
      </c>
      <c r="D198" s="629" t="s">
        <v>321</v>
      </c>
    </row>
    <row r="199" spans="1:4" ht="15.5" x14ac:dyDescent="0.35">
      <c r="A199" s="632">
        <v>1002</v>
      </c>
      <c r="B199" s="625">
        <f>-999999</f>
        <v>-999999</v>
      </c>
      <c r="C199" s="625">
        <f>999999</f>
        <v>999999</v>
      </c>
      <c r="D199" s="629" t="s">
        <v>324</v>
      </c>
    </row>
    <row r="200" spans="1:4" s="8" customFormat="1" ht="60" customHeight="1" x14ac:dyDescent="0.6">
      <c r="A200" s="636" t="s">
        <v>459</v>
      </c>
      <c r="B200" s="58"/>
      <c r="C200" s="58"/>
      <c r="D200" s="59"/>
    </row>
    <row r="201" spans="1:4" ht="15.5" x14ac:dyDescent="0.35">
      <c r="A201" s="623" t="s">
        <v>92</v>
      </c>
      <c r="B201" s="209" t="s">
        <v>442</v>
      </c>
      <c r="C201" s="210" t="s">
        <v>443</v>
      </c>
      <c r="D201" s="210" t="s">
        <v>444</v>
      </c>
    </row>
    <row r="202" spans="1:4" ht="15.5" x14ac:dyDescent="0.35">
      <c r="A202" s="637">
        <v>1990</v>
      </c>
      <c r="B202" s="625">
        <v>0</v>
      </c>
      <c r="C202" s="625">
        <v>800000</v>
      </c>
      <c r="D202" s="638" t="s">
        <v>337</v>
      </c>
    </row>
    <row r="203" spans="1:4" ht="15.5" x14ac:dyDescent="0.35">
      <c r="A203" s="639">
        <v>2500</v>
      </c>
      <c r="B203" s="625">
        <v>0</v>
      </c>
      <c r="C203" s="625">
        <v>400000</v>
      </c>
      <c r="D203" s="640" t="s">
        <v>142</v>
      </c>
    </row>
    <row r="204" spans="1:4" ht="15.5" x14ac:dyDescent="0.35">
      <c r="A204" s="639">
        <v>2530</v>
      </c>
      <c r="B204" s="625">
        <v>-400000</v>
      </c>
      <c r="C204" s="625">
        <v>400000</v>
      </c>
      <c r="D204" s="640" t="s">
        <v>460</v>
      </c>
    </row>
    <row r="205" spans="1:4" ht="15.5" x14ac:dyDescent="0.35">
      <c r="A205" s="639">
        <v>2550</v>
      </c>
      <c r="B205" s="625">
        <v>-400000</v>
      </c>
      <c r="C205" s="625">
        <v>400000</v>
      </c>
      <c r="D205" s="640" t="s">
        <v>461</v>
      </c>
    </row>
    <row r="206" spans="1:4" ht="15.5" x14ac:dyDescent="0.35">
      <c r="A206" s="639">
        <v>2980</v>
      </c>
      <c r="B206" s="625">
        <v>0</v>
      </c>
      <c r="C206" s="625">
        <v>0</v>
      </c>
      <c r="D206" s="640" t="s">
        <v>344</v>
      </c>
    </row>
    <row r="207" spans="1:4" ht="15.5" x14ac:dyDescent="0.35">
      <c r="A207" s="639">
        <v>3100</v>
      </c>
      <c r="B207" s="625">
        <v>0</v>
      </c>
      <c r="C207" s="625">
        <v>800000</v>
      </c>
      <c r="D207" s="640" t="s">
        <v>351</v>
      </c>
    </row>
    <row r="208" spans="1:4" ht="15.5" x14ac:dyDescent="0.35">
      <c r="A208" s="639">
        <v>3300</v>
      </c>
      <c r="B208" s="625">
        <v>0</v>
      </c>
      <c r="C208" s="625">
        <v>400000</v>
      </c>
      <c r="D208" s="640" t="s">
        <v>352</v>
      </c>
    </row>
    <row r="209" spans="1:4" ht="15.5" x14ac:dyDescent="0.35">
      <c r="A209" s="639">
        <v>3800</v>
      </c>
      <c r="B209" s="625">
        <v>0</v>
      </c>
      <c r="C209" s="625">
        <v>0</v>
      </c>
      <c r="D209" s="640" t="s">
        <v>354</v>
      </c>
    </row>
    <row r="210" spans="1:4" s="237" customFormat="1" ht="15.5" x14ac:dyDescent="0.35">
      <c r="A210" s="637">
        <v>3900</v>
      </c>
      <c r="B210" s="625">
        <v>0</v>
      </c>
      <c r="C210" s="625">
        <v>100.001</v>
      </c>
      <c r="D210" s="641" t="s">
        <v>462</v>
      </c>
    </row>
    <row r="211" spans="1:4" s="237" customFormat="1" ht="15.5" x14ac:dyDescent="0.35">
      <c r="A211" s="637">
        <v>3950</v>
      </c>
      <c r="B211" s="625">
        <v>0</v>
      </c>
      <c r="C211" s="625">
        <v>100.001</v>
      </c>
      <c r="D211" s="641" t="s">
        <v>463</v>
      </c>
    </row>
    <row r="212" spans="1:4" ht="15.5" x14ac:dyDescent="0.35">
      <c r="A212" s="639">
        <v>4000</v>
      </c>
      <c r="B212" s="625"/>
      <c r="C212" s="625">
        <v>0</v>
      </c>
      <c r="D212" s="640" t="s">
        <v>417</v>
      </c>
    </row>
    <row r="213" spans="1:4" ht="15.5" x14ac:dyDescent="0.35">
      <c r="A213" s="639">
        <v>5850</v>
      </c>
      <c r="B213" s="625">
        <v>0</v>
      </c>
      <c r="C213" s="625">
        <v>0</v>
      </c>
      <c r="D213" s="640" t="s">
        <v>464</v>
      </c>
    </row>
    <row r="214" spans="1:4" ht="15.5" x14ac:dyDescent="0.35">
      <c r="A214" s="639">
        <v>5500</v>
      </c>
      <c r="B214" s="625">
        <v>0</v>
      </c>
      <c r="C214" s="625">
        <v>200000</v>
      </c>
      <c r="D214" s="640" t="s">
        <v>465</v>
      </c>
    </row>
    <row r="215" spans="1:4" ht="15.5" x14ac:dyDescent="0.35">
      <c r="A215" s="639">
        <v>6500</v>
      </c>
      <c r="B215" s="625">
        <v>0</v>
      </c>
      <c r="C215" s="625">
        <v>200000</v>
      </c>
      <c r="D215" s="640" t="s">
        <v>466</v>
      </c>
    </row>
    <row r="216" spans="1:4" ht="15.5" x14ac:dyDescent="0.35">
      <c r="A216" s="639">
        <v>5840</v>
      </c>
      <c r="B216" s="625">
        <v>0</v>
      </c>
      <c r="C216" s="625">
        <v>200000</v>
      </c>
      <c r="D216" s="640" t="s">
        <v>371</v>
      </c>
    </row>
    <row r="217" spans="1:4" ht="15.5" x14ac:dyDescent="0.35">
      <c r="A217" s="639">
        <v>6600</v>
      </c>
      <c r="B217" s="625">
        <v>0</v>
      </c>
      <c r="C217" s="625">
        <v>0</v>
      </c>
      <c r="D217" s="640" t="s">
        <v>419</v>
      </c>
    </row>
    <row r="218" spans="1:4" ht="15.5" x14ac:dyDescent="0.35">
      <c r="A218" s="639">
        <v>4100</v>
      </c>
      <c r="B218" s="625">
        <v>0</v>
      </c>
      <c r="C218" s="625">
        <v>0</v>
      </c>
      <c r="D218" s="640" t="s">
        <v>467</v>
      </c>
    </row>
    <row r="219" spans="1:4" ht="15.5" x14ac:dyDescent="0.35">
      <c r="A219" s="639">
        <v>4000</v>
      </c>
      <c r="B219" s="625">
        <v>0</v>
      </c>
      <c r="C219" s="625">
        <v>0</v>
      </c>
      <c r="D219" s="640" t="s">
        <v>417</v>
      </c>
    </row>
    <row r="220" spans="1:4" ht="15.5" x14ac:dyDescent="0.35">
      <c r="A220" s="639">
        <v>4300</v>
      </c>
      <c r="B220" s="625">
        <v>0</v>
      </c>
      <c r="C220" s="625">
        <v>0</v>
      </c>
      <c r="D220" s="640" t="s">
        <v>468</v>
      </c>
    </row>
    <row r="221" spans="1:4" ht="15.5" x14ac:dyDescent="0.35">
      <c r="A221" s="639">
        <v>6700</v>
      </c>
      <c r="B221" s="625">
        <v>0</v>
      </c>
      <c r="C221" s="625">
        <v>0</v>
      </c>
      <c r="D221" s="640"/>
    </row>
    <row r="222" spans="1:4" ht="15.5" x14ac:dyDescent="0.35">
      <c r="A222" s="639">
        <v>6600</v>
      </c>
      <c r="B222" s="625">
        <v>0</v>
      </c>
      <c r="C222" s="625">
        <v>0</v>
      </c>
      <c r="D222" s="640"/>
    </row>
    <row r="223" spans="1:4" ht="15.5" x14ac:dyDescent="0.35">
      <c r="A223" s="639">
        <v>6800</v>
      </c>
      <c r="B223" s="625">
        <v>0</v>
      </c>
      <c r="C223" s="625">
        <v>0</v>
      </c>
      <c r="D223" s="640"/>
    </row>
    <row r="224" spans="1:4" ht="15.5" x14ac:dyDescent="0.35">
      <c r="A224" s="642">
        <v>8000</v>
      </c>
      <c r="B224" s="625">
        <v>-999999</v>
      </c>
      <c r="C224" s="625">
        <v>999999</v>
      </c>
      <c r="D224" s="640" t="s">
        <v>469</v>
      </c>
    </row>
    <row r="225" spans="1:4" ht="15.5" x14ac:dyDescent="0.35">
      <c r="A225" s="642">
        <v>9000</v>
      </c>
      <c r="B225" s="625">
        <v>0</v>
      </c>
      <c r="C225" s="625">
        <v>999999</v>
      </c>
      <c r="D225" s="640" t="s">
        <v>470</v>
      </c>
    </row>
    <row r="226" spans="1:4" ht="15.5" x14ac:dyDescent="0.35">
      <c r="A226" s="639">
        <v>7200</v>
      </c>
      <c r="B226" s="625">
        <v>0</v>
      </c>
      <c r="C226" s="625">
        <v>200000</v>
      </c>
      <c r="D226" s="640" t="s">
        <v>376</v>
      </c>
    </row>
    <row r="227" spans="1:4" ht="15.5" x14ac:dyDescent="0.35">
      <c r="A227" s="643">
        <v>7100</v>
      </c>
      <c r="B227" s="625">
        <v>0</v>
      </c>
      <c r="C227" s="625">
        <v>200000</v>
      </c>
      <c r="D227" s="640" t="s">
        <v>379</v>
      </c>
    </row>
    <row r="228" spans="1:4" ht="15.5" x14ac:dyDescent="0.35">
      <c r="A228" s="644">
        <v>7000</v>
      </c>
      <c r="B228" s="625">
        <v>-300000</v>
      </c>
      <c r="C228" s="625">
        <v>300000</v>
      </c>
      <c r="D228" s="641" t="s">
        <v>382</v>
      </c>
    </row>
    <row r="229" spans="1:4" ht="45" customHeight="1" x14ac:dyDescent="0.35">
      <c r="A229" s="645" t="s">
        <v>0</v>
      </c>
    </row>
  </sheetData>
  <sheetProtection algorithmName="SHA-512" hashValue="W9vrCEWLuCE09DWG7Jc3MohQF3XXsEVEkPamrtwABsat+BH7kwapTyKnWbUjKFagTJg8WU678T7zb7uoU34JAg==" saltValue="NqxMiSHPpzV2h0UP7SXomQ==" spinCount="100000" sheet="1" objects="1" scenarios="1"/>
  <autoFilter ref="A201:D228" xr:uid="{00000000-0001-0000-0500-000000000000}"/>
  <conditionalFormatting sqref="B6:C199">
    <cfRule type="cellIs" dxfId="37" priority="1" operator="greaterThan">
      <formula>0</formula>
    </cfRule>
    <cfRule type="cellIs" dxfId="36" priority="2" operator="lessThan">
      <formula>0</formula>
    </cfRule>
    <cfRule type="cellIs" dxfId="35" priority="3" operator="equal">
      <formula>0</formula>
    </cfRule>
    <cfRule type="cellIs" dxfId="34" priority="4" operator="greaterThan">
      <formula>0</formula>
    </cfRule>
    <cfRule type="cellIs" dxfId="33" priority="5" operator="lessThan">
      <formula>0</formula>
    </cfRule>
    <cfRule type="cellIs" priority="6" operator="lessThan">
      <formula>0</formula>
    </cfRule>
  </conditionalFormatting>
  <conditionalFormatting sqref="B202:C228">
    <cfRule type="cellIs" dxfId="32" priority="127" operator="greaterThan">
      <formula>0</formula>
    </cfRule>
    <cfRule type="cellIs" dxfId="31" priority="128" operator="lessThan">
      <formula>0</formula>
    </cfRule>
    <cfRule type="cellIs" dxfId="30" priority="129" operator="equal">
      <formula>0</formula>
    </cfRule>
    <cfRule type="cellIs" dxfId="29" priority="130" operator="greaterThan">
      <formula>0</formula>
    </cfRule>
    <cfRule type="cellIs" dxfId="28" priority="131" operator="lessThan">
      <formula>0</formula>
    </cfRule>
    <cfRule type="cellIs" priority="132" operator="lessThan">
      <formula>0</formula>
    </cfRule>
  </conditionalFormatting>
  <conditionalFormatting sqref="D200 H200 L200 P200 T200 X200 AB200 AF200 AJ200 AN200 AR200 AV200 AZ200 BD200 BH200 BL200 BP200 BT200 BX200 CB200 CF200 CJ200 CN200 CR200 CV200 CZ200 DD200 DH200 DL200 DP200 DT200 DX200 EB200 EF200 EJ200 EN200 ER200 EV200 EZ200 FD200 FH200 FL200 FP200 FT200 FX200 GB200 GF200 GJ200 GN200 GR200 GV200 GZ200 HD200 HH200 HL200 HP200 HT200 HX200 IB200 IF200 IJ200 IN200 IR200 IV200 IZ200 JD200 JH200 JL200 JP200 JT200 JX200 KB200 KF200 KJ200 KN200 KR200 KV200 KZ200 LD200 LH200 LL200 LP200 LT200 LX200 MB200 MF200 MJ200 MN200 MR200 MV200 MZ200 ND200 NH200 NL200 NP200 NT200 NX200 OB200 OF200 OJ200 ON200 OR200 OV200 OZ200 PD200 PH200 PL200 PP200 PT200 PX200 QB200 QF200 QJ200 QN200 QR200 QV200 QZ200 RD200 RH200 RL200 RP200 RT200 RX200 SB200 SF200 SJ200 SN200 SR200 SV200 SZ200 TD200 TH200 TL200 TP200 TT200 TX200 UB200 UF200 UJ200 UN200 UR200 UV200 UZ200 VD200 VH200 VL200 VP200 VT200 VX200 WB200 WF200 WJ200 WN200 WR200 WV200 WZ200 XD200 XH200 XL200 XP200 XT200 XX200 YB200 YF200 YJ200 YN200 YR200 YV200 YZ200 ZD200 ZH200 ZL200 ZP200 ZT200 ZX200 AAB200 AAF200 AAJ200 AAN200 AAR200 AAV200 AAZ200 ABD200 ABH200 ABL200 ABP200 ABT200 ABX200 ACB200 ACF200 ACJ200 ACN200 ACR200 ACV200 ACZ200 ADD200 ADH200 ADL200 ADP200 ADT200 ADX200 AEB200 AEF200 AEJ200 AEN200 AER200 AEV200 AEZ200 AFD200 AFH200 AFL200 AFP200 AFT200 AFX200 AGB200 AGF200 AGJ200 AGN200 AGR200 AGV200 AGZ200 AHD200 AHH200 AHL200 AHP200 AHT200 AHX200 AIB200 AIF200 AIJ200 AIN200 AIR200 AIV200 AIZ200 AJD200 AJH200 AJL200 AJP200 AJT200 AJX200 AKB200 AKF200 AKJ200 AKN200 AKR200 AKV200 AKZ200 ALD200 ALH200 ALL200 ALP200 ALT200 ALX200 AMB200 AMF200 AMJ200 AMN200 AMR200 AMV200 AMZ200 AND200 ANH200 ANL200 ANP200 ANT200 ANX200 AOB200 AOF200 AOJ200 AON200 AOR200 AOV200 AOZ200 APD200 APH200 APL200 APP200 APT200 APX200 AQB200 AQF200 AQJ200 AQN200 AQR200 AQV200 AQZ200 ARD200 ARH200 ARL200 ARP200 ART200 ARX200 ASB200 ASF200 ASJ200 ASN200 ASR200 ASV200 ASZ200 ATD200 ATH200 ATL200 ATP200 ATT200 ATX200 AUB200 AUF200 AUJ200 AUN200 AUR200 AUV200 AUZ200 AVD200 AVH200 AVL200 AVP200 AVT200 AVX200 AWB200 AWF200 AWJ200 AWN200 AWR200 AWV200 AWZ200 AXD200 AXH200 AXL200 AXP200 AXT200 AXX200 AYB200 AYF200 AYJ200 AYN200 AYR200 AYV200 AYZ200 AZD200 AZH200 AZL200 AZP200 AZT200 AZX200 BAB200 BAF200 BAJ200 BAN200 BAR200 BAV200 BAZ200 BBD200 BBH200 BBL200 BBP200 BBT200 BBX200 BCB200 BCF200 BCJ200 BCN200 BCR200 BCV200 BCZ200 BDD200 BDH200 BDL200 BDP200 BDT200 BDX200 BEB200 BEF200 BEJ200 BEN200 BER200 BEV200 BEZ200 BFD200 BFH200 BFL200 BFP200 BFT200 BFX200 BGB200 BGF200 BGJ200 BGN200 BGR200 BGV200 BGZ200 BHD200 BHH200 BHL200 BHP200 BHT200 BHX200 BIB200 BIF200 BIJ200 BIN200 BIR200 BIV200 BIZ200 BJD200 BJH200 BJL200 BJP200 BJT200 BJX200 BKB200 BKF200 BKJ200 BKN200 BKR200 BKV200 BKZ200 BLD200 BLH200 BLL200 BLP200 BLT200 BLX200 BMB200 BMF200 BMJ200 BMN200 BMR200 BMV200 BMZ200 BND200 BNH200 BNL200 BNP200 BNT200 BNX200 BOB200 BOF200 BOJ200 BON200 BOR200 BOV200 BOZ200 BPD200 BPH200 BPL200 BPP200 BPT200 BPX200 BQB200 BQF200 BQJ200 BQN200 BQR200 BQV200 BQZ200 BRD200 BRH200 BRL200 BRP200 BRT200 BRX200 BSB200 BSF200 BSJ200 BSN200 BSR200 BSV200 BSZ200 BTD200 BTH200 BTL200 BTP200 BTT200 BTX200 BUB200 BUF200 BUJ200 BUN200 BUR200 BUV200 BUZ200 BVD200 BVH200 BVL200 BVP200 BVT200 BVX200 BWB200 BWF200 BWJ200 BWN200 BWR200 BWV200 BWZ200 BXD200 BXH200 BXL200 BXP200 BXT200 BXX200 BYB200 BYF200 BYJ200 BYN200 BYR200 BYV200 BYZ200 BZD200 BZH200 BZL200 BZP200 BZT200 BZX200 CAB200 CAF200 CAJ200 CAN200 CAR200 CAV200 CAZ200 CBD200 CBH200 CBL200 CBP200 CBT200 CBX200 CCB200 CCF200 CCJ200 CCN200 CCR200 CCV200 CCZ200 CDD200 CDH200 CDL200 CDP200 CDT200 CDX200 CEB200 CEF200 CEJ200 CEN200 CER200 CEV200 CEZ200 CFD200 CFH200 CFL200 CFP200 CFT200 CFX200 CGB200 CGF200 CGJ200 CGN200 CGR200 CGV200 CGZ200 CHD200 CHH200 CHL200 CHP200 CHT200 CHX200 CIB200 CIF200 CIJ200 CIN200 CIR200 CIV200 CIZ200 CJD200 CJH200 CJL200 CJP200 CJT200 CJX200 CKB200 CKF200 CKJ200 CKN200 CKR200 CKV200 CKZ200 CLD200 CLH200 CLL200 CLP200 CLT200 CLX200 CMB200 CMF200 CMJ200 CMN200 CMR200 CMV200 CMZ200 CND200 CNH200 CNL200 CNP200 CNT200 CNX200 COB200 COF200 COJ200 CON200 COR200 COV200 COZ200 CPD200 CPH200 CPL200 CPP200 CPT200 CPX200 CQB200 CQF200 CQJ200 CQN200 CQR200 CQV200 CQZ200 CRD200 CRH200 CRL200 CRP200 CRT200 CRX200 CSB200 CSF200 CSJ200 CSN200 CSR200 CSV200 CSZ200 CTD200 CTH200 CTL200 CTP200 CTT200 CTX200 CUB200 CUF200 CUJ200 CUN200 CUR200 CUV200 CUZ200 CVD200 CVH200 CVL200 CVP200 CVT200 CVX200 CWB200 CWF200 CWJ200 CWN200 CWR200 CWV200 CWZ200 CXD200 CXH200 CXL200 CXP200 CXT200 CXX200 CYB200 CYF200 CYJ200 CYN200 CYR200 CYV200 CYZ200 CZD200 CZH200 CZL200 CZP200 CZT200 CZX200 DAB200 DAF200 DAJ200 DAN200 DAR200 DAV200 DAZ200 DBD200 DBH200 DBL200 DBP200 DBT200 DBX200 DCB200 DCF200 DCJ200 DCN200 DCR200 DCV200 DCZ200 DDD200 DDH200 DDL200 DDP200 DDT200 DDX200 DEB200 DEF200 DEJ200 DEN200 DER200 DEV200 DEZ200 DFD200 DFH200 DFL200 DFP200 DFT200 DFX200 DGB200 DGF200 DGJ200 DGN200 DGR200 DGV200 DGZ200 DHD200 DHH200 DHL200 DHP200 DHT200 DHX200 DIB200 DIF200 DIJ200 DIN200 DIR200 DIV200 DIZ200 DJD200 DJH200 DJL200 DJP200 DJT200 DJX200 DKB200 DKF200 DKJ200 DKN200 DKR200 DKV200 DKZ200 DLD200 DLH200 DLL200 DLP200 DLT200 DLX200 DMB200 DMF200 DMJ200 DMN200 DMR200 DMV200 DMZ200 DND200 DNH200 DNL200 DNP200 DNT200 DNX200 DOB200 DOF200 DOJ200 DON200 DOR200 DOV200 DOZ200 DPD200 DPH200 DPL200 DPP200 DPT200 DPX200 DQB200 DQF200 DQJ200 DQN200 DQR200 DQV200 DQZ200 DRD200 DRH200 DRL200 DRP200 DRT200 DRX200 DSB200 DSF200 DSJ200 DSN200 DSR200 DSV200 DSZ200 DTD200 DTH200 DTL200 DTP200 DTT200 DTX200 DUB200 DUF200 DUJ200 DUN200 DUR200 DUV200 DUZ200 DVD200 DVH200 DVL200 DVP200 DVT200 DVX200 DWB200 DWF200 DWJ200 DWN200 DWR200 DWV200 DWZ200 DXD200 DXH200 DXL200 DXP200 DXT200 DXX200 DYB200 DYF200 DYJ200 DYN200 DYR200 DYV200 DYZ200 DZD200 DZH200 DZL200 DZP200 DZT200 DZX200 EAB200 EAF200 EAJ200 EAN200 EAR200 EAV200 EAZ200 EBD200 EBH200 EBL200 EBP200 EBT200 EBX200 ECB200 ECF200 ECJ200 ECN200 ECR200 ECV200 ECZ200 EDD200 EDH200 EDL200 EDP200 EDT200 EDX200 EEB200 EEF200 EEJ200 EEN200 EER200 EEV200 EEZ200 EFD200 EFH200 EFL200 EFP200 EFT200 EFX200 EGB200 EGF200 EGJ200 EGN200 EGR200 EGV200 EGZ200 EHD200 EHH200 EHL200 EHP200 EHT200 EHX200 EIB200 EIF200 EIJ200 EIN200 EIR200 EIV200 EIZ200 EJD200 EJH200 EJL200 EJP200 EJT200 EJX200 EKB200 EKF200 EKJ200 EKN200 EKR200 EKV200 EKZ200 ELD200 ELH200 ELL200 ELP200 ELT200 ELX200 EMB200 EMF200 EMJ200 EMN200 EMR200 EMV200 EMZ200 END200 ENH200 ENL200 ENP200 ENT200 ENX200 EOB200 EOF200 EOJ200 EON200 EOR200 EOV200 EOZ200 EPD200 EPH200 EPL200 EPP200 EPT200 EPX200 EQB200 EQF200 EQJ200 EQN200 EQR200 EQV200 EQZ200 ERD200 ERH200 ERL200 ERP200 ERT200 ERX200 ESB200 ESF200 ESJ200 ESN200 ESR200 ESV200 ESZ200 ETD200 ETH200 ETL200 ETP200 ETT200 ETX200 EUB200 EUF200 EUJ200 EUN200 EUR200 EUV200 EUZ200 EVD200 EVH200 EVL200 EVP200 EVT200 EVX200 EWB200 EWF200 EWJ200 EWN200 EWR200 EWV200 EWZ200 EXD200 EXH200 EXL200 EXP200 EXT200 EXX200 EYB200 EYF200 EYJ200 EYN200 EYR200 EYV200 EYZ200 EZD200 EZH200 EZL200 EZP200 EZT200 EZX200 FAB200 FAF200 FAJ200 FAN200 FAR200 FAV200 FAZ200 FBD200 FBH200 FBL200 FBP200 FBT200 FBX200 FCB200 FCF200 FCJ200 FCN200 FCR200 FCV200 FCZ200 FDD200 FDH200 FDL200 FDP200 FDT200 FDX200 FEB200 FEF200 FEJ200 FEN200 FER200 FEV200 FEZ200 FFD200 FFH200 FFL200 FFP200 FFT200 FFX200 FGB200 FGF200 FGJ200 FGN200 FGR200 FGV200 FGZ200 FHD200 FHH200 FHL200 FHP200 FHT200 FHX200 FIB200 FIF200 FIJ200 FIN200 FIR200 FIV200 FIZ200 FJD200 FJH200 FJL200 FJP200 FJT200 FJX200 FKB200 FKF200 FKJ200 FKN200 FKR200 FKV200 FKZ200 FLD200 FLH200 FLL200 FLP200 FLT200 FLX200 FMB200 FMF200 FMJ200 FMN200 FMR200 FMV200 FMZ200 FND200 FNH200 FNL200 FNP200 FNT200 FNX200 FOB200 FOF200 FOJ200 FON200 FOR200 FOV200 FOZ200 FPD200 FPH200 FPL200 FPP200 FPT200 FPX200 FQB200 FQF200 FQJ200 FQN200 FQR200 FQV200 FQZ200 FRD200 FRH200 FRL200 FRP200 FRT200 FRX200 FSB200 FSF200 FSJ200 FSN200 FSR200 FSV200 FSZ200 FTD200 FTH200 FTL200 FTP200 FTT200 FTX200 FUB200 FUF200 FUJ200 FUN200 FUR200 FUV200 FUZ200 FVD200 FVH200 FVL200 FVP200 FVT200 FVX200 FWB200 FWF200 FWJ200 FWN200 FWR200 FWV200 FWZ200 FXD200 FXH200 FXL200 FXP200 FXT200 FXX200 FYB200 FYF200 FYJ200 FYN200 FYR200 FYV200 FYZ200 FZD200 FZH200 FZL200 FZP200 FZT200 FZX200 GAB200 GAF200 GAJ200 GAN200 GAR200 GAV200 GAZ200 GBD200 GBH200 GBL200 GBP200 GBT200 GBX200 GCB200 GCF200 GCJ200 GCN200 GCR200 GCV200 GCZ200 GDD200 GDH200 GDL200 GDP200 GDT200 GDX200 GEB200 GEF200 GEJ200 GEN200 GER200 GEV200 GEZ200 GFD200 GFH200 GFL200 GFP200 GFT200 GFX200 GGB200 GGF200 GGJ200 GGN200 GGR200 GGV200 GGZ200 GHD200 GHH200 GHL200 GHP200 GHT200 GHX200 GIB200 GIF200 GIJ200 GIN200 GIR200 GIV200 GIZ200 GJD200 GJH200 GJL200 GJP200 GJT200 GJX200 GKB200 GKF200 GKJ200 GKN200 GKR200 GKV200 GKZ200 GLD200 GLH200 GLL200 GLP200 GLT200 GLX200 GMB200 GMF200 GMJ200 GMN200 GMR200 GMV200 GMZ200 GND200 GNH200 GNL200 GNP200 GNT200 GNX200 GOB200 GOF200 GOJ200 GON200 GOR200 GOV200 GOZ200 GPD200 GPH200 GPL200 GPP200 GPT200 GPX200 GQB200 GQF200 GQJ200 GQN200 GQR200 GQV200 GQZ200 GRD200 GRH200 GRL200 GRP200 GRT200 GRX200 GSB200 GSF200 GSJ200 GSN200 GSR200 GSV200 GSZ200 GTD200 GTH200 GTL200 GTP200 GTT200 GTX200 GUB200 GUF200 GUJ200 GUN200 GUR200 GUV200 GUZ200 GVD200 GVH200 GVL200 GVP200 GVT200 GVX200 GWB200 GWF200 GWJ200 GWN200 GWR200 GWV200 GWZ200 GXD200 GXH200 GXL200 GXP200 GXT200 GXX200 GYB200 GYF200 GYJ200 GYN200 GYR200 GYV200 GYZ200 GZD200 GZH200 GZL200 GZP200 GZT200 GZX200 HAB200 HAF200 HAJ200 HAN200 HAR200 HAV200 HAZ200 HBD200 HBH200 HBL200 HBP200 HBT200 HBX200 HCB200 HCF200 HCJ200 HCN200 HCR200 HCV200 HCZ200 HDD200 HDH200 HDL200 HDP200 HDT200 HDX200 HEB200 HEF200 HEJ200 HEN200 HER200 HEV200 HEZ200 HFD200 HFH200 HFL200 HFP200 HFT200 HFX200 HGB200 HGF200 HGJ200 HGN200 HGR200 HGV200 HGZ200 HHD200 HHH200 HHL200 HHP200 HHT200 HHX200 HIB200 HIF200 HIJ200 HIN200 HIR200 HIV200 HIZ200 HJD200 HJH200 HJL200 HJP200 HJT200 HJX200 HKB200 HKF200 HKJ200 HKN200 HKR200 HKV200 HKZ200 HLD200 HLH200 HLL200 HLP200 HLT200 HLX200 HMB200 HMF200 HMJ200 HMN200 HMR200 HMV200 HMZ200 HND200 HNH200 HNL200 HNP200 HNT200 HNX200 HOB200 HOF200 HOJ200 HON200 HOR200 HOV200 HOZ200 HPD200 HPH200 HPL200 HPP200 HPT200 HPX200 HQB200 HQF200 HQJ200 HQN200 HQR200 HQV200 HQZ200 HRD200 HRH200 HRL200 HRP200 HRT200 HRX200 HSB200 HSF200 HSJ200 HSN200 HSR200 HSV200 HSZ200 HTD200 HTH200 HTL200 HTP200 HTT200 HTX200 HUB200 HUF200 HUJ200 HUN200 HUR200 HUV200 HUZ200 HVD200 HVH200 HVL200 HVP200 HVT200 HVX200 HWB200 HWF200 HWJ200 HWN200 HWR200 HWV200 HWZ200 HXD200 HXH200 HXL200 HXP200 HXT200 HXX200 HYB200 HYF200 HYJ200 HYN200 HYR200 HYV200 HYZ200 HZD200 HZH200 HZL200 HZP200 HZT200 HZX200 IAB200 IAF200 IAJ200 IAN200 IAR200 IAV200 IAZ200 IBD200 IBH200 IBL200 IBP200 IBT200 IBX200 ICB200 ICF200 ICJ200 ICN200 ICR200 ICV200 ICZ200 IDD200 IDH200 IDL200 IDP200 IDT200 IDX200 IEB200 IEF200 IEJ200 IEN200 IER200 IEV200 IEZ200 IFD200 IFH200 IFL200 IFP200 IFT200 IFX200 IGB200 IGF200 IGJ200 IGN200 IGR200 IGV200 IGZ200 IHD200 IHH200 IHL200 IHP200 IHT200 IHX200 IIB200 IIF200 IIJ200 IIN200 IIR200 IIV200 IIZ200 IJD200 IJH200 IJL200 IJP200 IJT200 IJX200 IKB200 IKF200 IKJ200 IKN200 IKR200 IKV200 IKZ200 ILD200 ILH200 ILL200 ILP200 ILT200 ILX200 IMB200 IMF200 IMJ200 IMN200 IMR200 IMV200 IMZ200 IND200 INH200 INL200 INP200 INT200 INX200 IOB200 IOF200 IOJ200 ION200 IOR200 IOV200 IOZ200 IPD200 IPH200 IPL200 IPP200 IPT200 IPX200 IQB200 IQF200 IQJ200 IQN200 IQR200 IQV200 IQZ200 IRD200 IRH200 IRL200 IRP200 IRT200 IRX200 ISB200 ISF200 ISJ200 ISN200 ISR200 ISV200 ISZ200 ITD200 ITH200 ITL200 ITP200 ITT200 ITX200 IUB200 IUF200 IUJ200 IUN200 IUR200 IUV200 IUZ200 IVD200 IVH200 IVL200 IVP200 IVT200 IVX200 IWB200 IWF200 IWJ200 IWN200 IWR200 IWV200 IWZ200 IXD200 IXH200 IXL200 IXP200 IXT200 IXX200 IYB200 IYF200 IYJ200 IYN200 IYR200 IYV200 IYZ200 IZD200 IZH200 IZL200 IZP200 IZT200 IZX200 JAB200 JAF200 JAJ200 JAN200 JAR200 JAV200 JAZ200 JBD200 JBH200 JBL200 JBP200 JBT200 JBX200 JCB200 JCF200 JCJ200 JCN200 JCR200 JCV200 JCZ200 JDD200 JDH200 JDL200 JDP200 JDT200 JDX200 JEB200 JEF200 JEJ200 JEN200 JER200 JEV200 JEZ200 JFD200 JFH200 JFL200 JFP200 JFT200 JFX200 JGB200 JGF200 JGJ200 JGN200 JGR200 JGV200 JGZ200 JHD200 JHH200 JHL200 JHP200 JHT200 JHX200 JIB200 JIF200 JIJ200 JIN200 JIR200 JIV200 JIZ200 JJD200 JJH200 JJL200 JJP200 JJT200 JJX200 JKB200 JKF200 JKJ200 JKN200 JKR200 JKV200 JKZ200 JLD200 JLH200 JLL200 JLP200 JLT200 JLX200 JMB200 JMF200 JMJ200 JMN200 JMR200 JMV200 JMZ200 JND200 JNH200 JNL200 JNP200 JNT200 JNX200 JOB200 JOF200 JOJ200 JON200 JOR200 JOV200 JOZ200 JPD200 JPH200 JPL200 JPP200 JPT200 JPX200 JQB200 JQF200 JQJ200 JQN200 JQR200 JQV200 JQZ200 JRD200 JRH200 JRL200 JRP200 JRT200 JRX200 JSB200 JSF200 JSJ200 JSN200 JSR200 JSV200 JSZ200 JTD200 JTH200 JTL200 JTP200 JTT200 JTX200 JUB200 JUF200 JUJ200 JUN200 JUR200 JUV200 JUZ200 JVD200 JVH200 JVL200 JVP200 JVT200 JVX200 JWB200 JWF200 JWJ200 JWN200 JWR200 JWV200 JWZ200 JXD200 JXH200 JXL200 JXP200 JXT200 JXX200 JYB200 JYF200 JYJ200 JYN200 JYR200 JYV200 JYZ200 JZD200 JZH200 JZL200 JZP200 JZT200 JZX200 KAB200 KAF200 KAJ200 KAN200 KAR200 KAV200 KAZ200 KBD200 KBH200 KBL200 KBP200 KBT200 KBX200 KCB200 KCF200 KCJ200 KCN200 KCR200 KCV200 KCZ200 KDD200 KDH200 KDL200 KDP200 KDT200 KDX200 KEB200 KEF200 KEJ200 KEN200 KER200 KEV200 KEZ200 KFD200 KFH200 KFL200 KFP200 KFT200 KFX200 KGB200 KGF200 KGJ200 KGN200 KGR200 KGV200 KGZ200 KHD200 KHH200 KHL200 KHP200 KHT200 KHX200 KIB200 KIF200 KIJ200 KIN200 KIR200 KIV200 KIZ200 KJD200 KJH200 KJL200 KJP200 KJT200 KJX200 KKB200 KKF200 KKJ200 KKN200 KKR200 KKV200 KKZ200 KLD200 KLH200 KLL200 KLP200 KLT200 KLX200 KMB200 KMF200 KMJ200 KMN200 KMR200 KMV200 KMZ200 KND200 KNH200 KNL200 KNP200 KNT200 KNX200 KOB200 KOF200 KOJ200 KON200 KOR200 KOV200 KOZ200 KPD200 KPH200 KPL200 KPP200 KPT200 KPX200 KQB200 KQF200 KQJ200 KQN200 KQR200 KQV200 KQZ200 KRD200 KRH200 KRL200 KRP200 KRT200 KRX200 KSB200 KSF200 KSJ200 KSN200 KSR200 KSV200 KSZ200 KTD200 KTH200 KTL200 KTP200 KTT200 KTX200 KUB200 KUF200 KUJ200 KUN200 KUR200 KUV200 KUZ200 KVD200 KVH200 KVL200 KVP200 KVT200 KVX200 KWB200 KWF200 KWJ200 KWN200 KWR200 KWV200 KWZ200 KXD200 KXH200 KXL200 KXP200 KXT200 KXX200 KYB200 KYF200 KYJ200 KYN200 KYR200 KYV200 KYZ200 KZD200 KZH200 KZL200 KZP200 KZT200 KZX200 LAB200 LAF200 LAJ200 LAN200 LAR200 LAV200 LAZ200 LBD200 LBH200 LBL200 LBP200 LBT200 LBX200 LCB200 LCF200 LCJ200 LCN200 LCR200 LCV200 LCZ200 LDD200 LDH200 LDL200 LDP200 LDT200 LDX200 LEB200 LEF200 LEJ200 LEN200 LER200 LEV200 LEZ200 LFD200 LFH200 LFL200 LFP200 LFT200 LFX200 LGB200 LGF200 LGJ200 LGN200 LGR200 LGV200 LGZ200 LHD200 LHH200 LHL200 LHP200 LHT200 LHX200 LIB200 LIF200 LIJ200 LIN200 LIR200 LIV200 LIZ200 LJD200 LJH200 LJL200 LJP200 LJT200 LJX200 LKB200 LKF200 LKJ200 LKN200 LKR200 LKV200 LKZ200 LLD200 LLH200 LLL200 LLP200 LLT200 LLX200 LMB200 LMF200 LMJ200 LMN200 LMR200 LMV200 LMZ200 LND200 LNH200 LNL200 LNP200 LNT200 LNX200 LOB200 LOF200 LOJ200 LON200 LOR200 LOV200 LOZ200 LPD200 LPH200 LPL200 LPP200 LPT200 LPX200 LQB200 LQF200 LQJ200 LQN200 LQR200 LQV200 LQZ200 LRD200 LRH200 LRL200 LRP200 LRT200 LRX200 LSB200 LSF200 LSJ200 LSN200 LSR200 LSV200 LSZ200 LTD200 LTH200 LTL200 LTP200 LTT200 LTX200 LUB200 LUF200 LUJ200 LUN200 LUR200 LUV200 LUZ200 LVD200 LVH200 LVL200 LVP200 LVT200 LVX200 LWB200 LWF200 LWJ200 LWN200 LWR200 LWV200 LWZ200 LXD200 LXH200 LXL200 LXP200 LXT200 LXX200 LYB200 LYF200 LYJ200 LYN200 LYR200 LYV200 LYZ200 LZD200 LZH200 LZL200 LZP200 LZT200 LZX200 MAB200 MAF200 MAJ200 MAN200 MAR200 MAV200 MAZ200 MBD200 MBH200 MBL200 MBP200 MBT200 MBX200 MCB200 MCF200 MCJ200 MCN200 MCR200 MCV200 MCZ200 MDD200 MDH200 MDL200 MDP200 MDT200 MDX200 MEB200 MEF200 MEJ200 MEN200 MER200 MEV200 MEZ200 MFD200 MFH200 MFL200 MFP200 MFT200 MFX200 MGB200 MGF200 MGJ200 MGN200 MGR200 MGV200 MGZ200 MHD200 MHH200 MHL200 MHP200 MHT200 MHX200 MIB200 MIF200 MIJ200 MIN200 MIR200 MIV200 MIZ200 MJD200 MJH200 MJL200 MJP200 MJT200 MJX200 MKB200 MKF200 MKJ200 MKN200 MKR200 MKV200 MKZ200 MLD200 MLH200 MLL200 MLP200 MLT200 MLX200 MMB200 MMF200 MMJ200 MMN200 MMR200 MMV200 MMZ200 MND200 MNH200 MNL200 MNP200 MNT200 MNX200 MOB200 MOF200 MOJ200 MON200 MOR200 MOV200 MOZ200 MPD200 MPH200 MPL200 MPP200 MPT200 MPX200 MQB200 MQF200 MQJ200 MQN200 MQR200 MQV200 MQZ200 MRD200 MRH200 MRL200 MRP200 MRT200 MRX200 MSB200 MSF200 MSJ200 MSN200 MSR200 MSV200 MSZ200 MTD200 MTH200 MTL200 MTP200 MTT200 MTX200 MUB200 MUF200 MUJ200 MUN200 MUR200 MUV200 MUZ200 MVD200 MVH200 MVL200 MVP200 MVT200 MVX200 MWB200 MWF200 MWJ200 MWN200 MWR200 MWV200 MWZ200 MXD200 MXH200 MXL200 MXP200 MXT200 MXX200 MYB200 MYF200 MYJ200 MYN200 MYR200 MYV200 MYZ200 MZD200 MZH200 MZL200 MZP200 MZT200 MZX200 NAB200 NAF200 NAJ200 NAN200 NAR200 NAV200 NAZ200 NBD200 NBH200 NBL200 NBP200 NBT200 NBX200 NCB200 NCF200 NCJ200 NCN200 NCR200 NCV200 NCZ200 NDD200 NDH200 NDL200 NDP200 NDT200 NDX200 NEB200 NEF200 NEJ200 NEN200 NER200 NEV200 NEZ200 NFD200 NFH200 NFL200 NFP200 NFT200 NFX200 NGB200 NGF200 NGJ200 NGN200 NGR200 NGV200 NGZ200 NHD200 NHH200 NHL200 NHP200 NHT200 NHX200 NIB200 NIF200 NIJ200 NIN200 NIR200 NIV200 NIZ200 NJD200 NJH200 NJL200 NJP200 NJT200 NJX200 NKB200 NKF200 NKJ200 NKN200 NKR200 NKV200 NKZ200 NLD200 NLH200 NLL200 NLP200 NLT200 NLX200 NMB200 NMF200 NMJ200 NMN200 NMR200 NMV200 NMZ200 NND200 NNH200 NNL200 NNP200 NNT200 NNX200 NOB200 NOF200 NOJ200 NON200 NOR200 NOV200 NOZ200 NPD200 NPH200 NPL200 NPP200 NPT200 NPX200 NQB200 NQF200 NQJ200 NQN200 NQR200 NQV200 NQZ200 NRD200 NRH200 NRL200 NRP200 NRT200 NRX200 NSB200 NSF200 NSJ200 NSN200 NSR200 NSV200 NSZ200 NTD200 NTH200 NTL200 NTP200 NTT200 NTX200 NUB200 NUF200 NUJ200 NUN200 NUR200 NUV200 NUZ200 NVD200 NVH200 NVL200 NVP200 NVT200 NVX200 NWB200 NWF200 NWJ200 NWN200 NWR200 NWV200 NWZ200 NXD200 NXH200 NXL200 NXP200 NXT200 NXX200 NYB200 NYF200 NYJ200 NYN200 NYR200 NYV200 NYZ200 NZD200 NZH200 NZL200 NZP200 NZT200 NZX200 OAB200 OAF200 OAJ200 OAN200 OAR200 OAV200 OAZ200 OBD200 OBH200 OBL200 OBP200 OBT200 OBX200 OCB200 OCF200 OCJ200 OCN200 OCR200 OCV200 OCZ200 ODD200 ODH200 ODL200 ODP200 ODT200 ODX200 OEB200 OEF200 OEJ200 OEN200 OER200 OEV200 OEZ200 OFD200 OFH200 OFL200 OFP200 OFT200 OFX200 OGB200 OGF200 OGJ200 OGN200 OGR200 OGV200 OGZ200 OHD200 OHH200 OHL200 OHP200 OHT200 OHX200 OIB200 OIF200 OIJ200 OIN200 OIR200 OIV200 OIZ200 OJD200 OJH200 OJL200 OJP200 OJT200 OJX200 OKB200 OKF200 OKJ200 OKN200 OKR200 OKV200 OKZ200 OLD200 OLH200 OLL200 OLP200 OLT200 OLX200 OMB200 OMF200 OMJ200 OMN200 OMR200 OMV200 OMZ200 OND200 ONH200 ONL200 ONP200 ONT200 ONX200 OOB200 OOF200 OOJ200 OON200 OOR200 OOV200 OOZ200 OPD200 OPH200 OPL200 OPP200 OPT200 OPX200 OQB200 OQF200 OQJ200 OQN200 OQR200 OQV200 OQZ200 ORD200 ORH200 ORL200 ORP200 ORT200 ORX200 OSB200 OSF200 OSJ200 OSN200 OSR200 OSV200 OSZ200 OTD200 OTH200 OTL200 OTP200 OTT200 OTX200 OUB200 OUF200 OUJ200 OUN200 OUR200 OUV200 OUZ200 OVD200 OVH200 OVL200 OVP200 OVT200 OVX200 OWB200 OWF200 OWJ200 OWN200 OWR200 OWV200 OWZ200 OXD200 OXH200 OXL200 OXP200 OXT200 OXX200 OYB200 OYF200 OYJ200 OYN200 OYR200 OYV200 OYZ200 OZD200 OZH200 OZL200 OZP200 OZT200 OZX200 PAB200 PAF200 PAJ200 PAN200 PAR200 PAV200 PAZ200 PBD200 PBH200 PBL200 PBP200 PBT200 PBX200 PCB200 PCF200 PCJ200 PCN200 PCR200 PCV200 PCZ200 PDD200 PDH200 PDL200 PDP200 PDT200 PDX200 PEB200 PEF200 PEJ200 PEN200 PER200 PEV200 PEZ200 PFD200 PFH200 PFL200 PFP200 PFT200 PFX200 PGB200 PGF200 PGJ200 PGN200 PGR200 PGV200 PGZ200 PHD200 PHH200 PHL200 PHP200 PHT200 PHX200 PIB200 PIF200 PIJ200 PIN200 PIR200 PIV200 PIZ200 PJD200 PJH200 PJL200 PJP200 PJT200 PJX200 PKB200 PKF200 PKJ200 PKN200 PKR200 PKV200 PKZ200 PLD200 PLH200 PLL200 PLP200 PLT200 PLX200 PMB200 PMF200 PMJ200 PMN200 PMR200 PMV200 PMZ200 PND200 PNH200 PNL200 PNP200 PNT200 PNX200 POB200 POF200 POJ200 PON200 POR200 POV200 POZ200 PPD200 PPH200 PPL200 PPP200 PPT200 PPX200 PQB200 PQF200 PQJ200 PQN200 PQR200 PQV200 PQZ200 PRD200 PRH200 PRL200 PRP200 PRT200 PRX200 PSB200 PSF200 PSJ200 PSN200 PSR200 PSV200 PSZ200 PTD200 PTH200 PTL200 PTP200 PTT200 PTX200 PUB200 PUF200 PUJ200 PUN200 PUR200 PUV200 PUZ200 PVD200 PVH200 PVL200 PVP200 PVT200 PVX200 PWB200 PWF200 PWJ200 PWN200 PWR200 PWV200 PWZ200 PXD200 PXH200 PXL200 PXP200 PXT200 PXX200 PYB200 PYF200 PYJ200 PYN200 PYR200 PYV200 PYZ200 PZD200 PZH200 PZL200 PZP200 PZT200 PZX200 QAB200 QAF200 QAJ200 QAN200 QAR200 QAV200 QAZ200 QBD200 QBH200 QBL200 QBP200 QBT200 QBX200 QCB200 QCF200 QCJ200 QCN200 QCR200 QCV200 QCZ200 QDD200 QDH200 QDL200 QDP200 QDT200 QDX200 QEB200 QEF200 QEJ200 QEN200 QER200 QEV200 QEZ200 QFD200 QFH200 QFL200 QFP200 QFT200 QFX200 QGB200 QGF200 QGJ200 QGN200 QGR200 QGV200 QGZ200 QHD200 QHH200 QHL200 QHP200 QHT200 QHX200 QIB200 QIF200 QIJ200 QIN200 QIR200 QIV200 QIZ200 QJD200 QJH200 QJL200 QJP200 QJT200 QJX200 QKB200 QKF200 QKJ200 QKN200 QKR200 QKV200 QKZ200 QLD200 QLH200 QLL200 QLP200 QLT200 QLX200 QMB200 QMF200 QMJ200 QMN200 QMR200 QMV200 QMZ200 QND200 QNH200 QNL200 QNP200 QNT200 QNX200 QOB200 QOF200 QOJ200 QON200 QOR200 QOV200 QOZ200 QPD200 QPH200 QPL200 QPP200 QPT200 QPX200 QQB200 QQF200 QQJ200 QQN200 QQR200 QQV200 QQZ200 QRD200 QRH200 QRL200 QRP200 QRT200 QRX200 QSB200 QSF200 QSJ200 QSN200 QSR200 QSV200 QSZ200 QTD200 QTH200 QTL200 QTP200 QTT200 QTX200 QUB200 QUF200 QUJ200 QUN200 QUR200 QUV200 QUZ200 QVD200 QVH200 QVL200 QVP200 QVT200 QVX200 QWB200 QWF200 QWJ200 QWN200 QWR200 QWV200 QWZ200 QXD200 QXH200 QXL200 QXP200 QXT200 QXX200 QYB200 QYF200 QYJ200 QYN200 QYR200 QYV200 QYZ200 QZD200 QZH200 QZL200 QZP200 QZT200 QZX200 RAB200 RAF200 RAJ200 RAN200 RAR200 RAV200 RAZ200 RBD200 RBH200 RBL200 RBP200 RBT200 RBX200 RCB200 RCF200 RCJ200 RCN200 RCR200 RCV200 RCZ200 RDD200 RDH200 RDL200 RDP200 RDT200 RDX200 REB200 REF200 REJ200 REN200 RER200 REV200 REZ200 RFD200 RFH200 RFL200 RFP200 RFT200 RFX200 RGB200 RGF200 RGJ200 RGN200 RGR200 RGV200 RGZ200 RHD200 RHH200 RHL200 RHP200 RHT200 RHX200 RIB200 RIF200 RIJ200 RIN200 RIR200 RIV200 RIZ200 RJD200 RJH200 RJL200 RJP200 RJT200 RJX200 RKB200 RKF200 RKJ200 RKN200 RKR200 RKV200 RKZ200 RLD200 RLH200 RLL200 RLP200 RLT200 RLX200 RMB200 RMF200 RMJ200 RMN200 RMR200 RMV200 RMZ200 RND200 RNH200 RNL200 RNP200 RNT200 RNX200 ROB200 ROF200 ROJ200 RON200 ROR200 ROV200 ROZ200 RPD200 RPH200 RPL200 RPP200 RPT200 RPX200 RQB200 RQF200 RQJ200 RQN200 RQR200 RQV200 RQZ200 RRD200 RRH200 RRL200 RRP200 RRT200 RRX200 RSB200 RSF200 RSJ200 RSN200 RSR200 RSV200 RSZ200 RTD200 RTH200 RTL200 RTP200 RTT200 RTX200 RUB200 RUF200 RUJ200 RUN200 RUR200 RUV200 RUZ200 RVD200 RVH200 RVL200 RVP200 RVT200 RVX200 RWB200 RWF200 RWJ200 RWN200 RWR200 RWV200 RWZ200 RXD200 RXH200 RXL200 RXP200 RXT200 RXX200 RYB200 RYF200 RYJ200 RYN200 RYR200 RYV200 RYZ200 RZD200 RZH200 RZL200 RZP200 RZT200 RZX200 SAB200 SAF200 SAJ200 SAN200 SAR200 SAV200 SAZ200 SBD200 SBH200 SBL200 SBP200 SBT200 SBX200 SCB200 SCF200 SCJ200 SCN200 SCR200 SCV200 SCZ200 SDD200 SDH200 SDL200 SDP200 SDT200 SDX200 SEB200 SEF200 SEJ200 SEN200 SER200 SEV200 SEZ200 SFD200 SFH200 SFL200 SFP200 SFT200 SFX200 SGB200 SGF200 SGJ200 SGN200 SGR200 SGV200 SGZ200 SHD200 SHH200 SHL200 SHP200 SHT200 SHX200 SIB200 SIF200 SIJ200 SIN200 SIR200 SIV200 SIZ200 SJD200 SJH200 SJL200 SJP200 SJT200 SJX200 SKB200 SKF200 SKJ200 SKN200 SKR200 SKV200 SKZ200 SLD200 SLH200 SLL200 SLP200 SLT200 SLX200 SMB200 SMF200 SMJ200 SMN200 SMR200 SMV200 SMZ200 SND200 SNH200 SNL200 SNP200 SNT200 SNX200 SOB200 SOF200 SOJ200 SON200 SOR200 SOV200 SOZ200 SPD200 SPH200 SPL200 SPP200 SPT200 SPX200 SQB200 SQF200 SQJ200 SQN200 SQR200 SQV200 SQZ200 SRD200 SRH200 SRL200 SRP200 SRT200 SRX200 SSB200 SSF200 SSJ200 SSN200 SSR200 SSV200 SSZ200 STD200 STH200 STL200 STP200 STT200 STX200 SUB200 SUF200 SUJ200 SUN200 SUR200 SUV200 SUZ200 SVD200 SVH200 SVL200 SVP200 SVT200 SVX200 SWB200 SWF200 SWJ200 SWN200 SWR200 SWV200 SWZ200 SXD200 SXH200 SXL200 SXP200 SXT200 SXX200 SYB200 SYF200 SYJ200 SYN200 SYR200 SYV200 SYZ200 SZD200 SZH200 SZL200 SZP200 SZT200 SZX200 TAB200 TAF200 TAJ200 TAN200 TAR200 TAV200 TAZ200 TBD200 TBH200 TBL200 TBP200 TBT200 TBX200 TCB200 TCF200 TCJ200 TCN200 TCR200 TCV200 TCZ200 TDD200 TDH200 TDL200 TDP200 TDT200 TDX200 TEB200 TEF200 TEJ200 TEN200 TER200 TEV200 TEZ200 TFD200 TFH200 TFL200 TFP200 TFT200 TFX200 TGB200 TGF200 TGJ200 TGN200 TGR200 TGV200 TGZ200 THD200 THH200 THL200 THP200 THT200 THX200 TIB200 TIF200 TIJ200 TIN200 TIR200 TIV200 TIZ200 TJD200 TJH200 TJL200 TJP200 TJT200 TJX200 TKB200 TKF200 TKJ200 TKN200 TKR200 TKV200 TKZ200 TLD200 TLH200 TLL200 TLP200 TLT200 TLX200 TMB200 TMF200 TMJ200 TMN200 TMR200 TMV200 TMZ200 TND200 TNH200 TNL200 TNP200 TNT200 TNX200 TOB200 TOF200 TOJ200 TON200 TOR200 TOV200 TOZ200 TPD200 TPH200 TPL200 TPP200 TPT200 TPX200 TQB200 TQF200 TQJ200 TQN200 TQR200 TQV200 TQZ200 TRD200 TRH200 TRL200 TRP200 TRT200 TRX200 TSB200 TSF200 TSJ200 TSN200 TSR200 TSV200 TSZ200 TTD200 TTH200 TTL200 TTP200 TTT200 TTX200 TUB200 TUF200 TUJ200 TUN200 TUR200 TUV200 TUZ200 TVD200 TVH200 TVL200 TVP200 TVT200 TVX200 TWB200 TWF200 TWJ200 TWN200 TWR200 TWV200 TWZ200 TXD200 TXH200 TXL200 TXP200 TXT200 TXX200 TYB200 TYF200 TYJ200 TYN200 TYR200 TYV200 TYZ200 TZD200 TZH200 TZL200 TZP200 TZT200 TZX200 UAB200 UAF200 UAJ200 UAN200 UAR200 UAV200 UAZ200 UBD200 UBH200 UBL200 UBP200 UBT200 UBX200 UCB200 UCF200 UCJ200 UCN200 UCR200 UCV200 UCZ200 UDD200 UDH200 UDL200 UDP200 UDT200 UDX200 UEB200 UEF200 UEJ200 UEN200 UER200 UEV200 UEZ200 UFD200 UFH200 UFL200 UFP200 UFT200 UFX200 UGB200 UGF200 UGJ200 UGN200 UGR200 UGV200 UGZ200 UHD200 UHH200 UHL200 UHP200 UHT200 UHX200 UIB200 UIF200 UIJ200 UIN200 UIR200 UIV200 UIZ200 UJD200 UJH200 UJL200 UJP200 UJT200 UJX200 UKB200 UKF200 UKJ200 UKN200 UKR200 UKV200 UKZ200 ULD200 ULH200 ULL200 ULP200 ULT200 ULX200 UMB200 UMF200 UMJ200 UMN200 UMR200 UMV200 UMZ200 UND200 UNH200 UNL200 UNP200 UNT200 UNX200 UOB200 UOF200 UOJ200 UON200 UOR200 UOV200 UOZ200 UPD200 UPH200 UPL200 UPP200 UPT200 UPX200 UQB200 UQF200 UQJ200 UQN200 UQR200 UQV200 UQZ200 URD200 URH200 URL200 URP200 URT200 URX200 USB200 USF200 USJ200 USN200 USR200 USV200 USZ200 UTD200 UTH200 UTL200 UTP200 UTT200 UTX200 UUB200 UUF200 UUJ200 UUN200 UUR200 UUV200 UUZ200 UVD200 UVH200 UVL200 UVP200 UVT200 UVX200 UWB200 UWF200 UWJ200 UWN200 UWR200 UWV200 UWZ200 UXD200 UXH200 UXL200 UXP200 UXT200 UXX200 UYB200 UYF200 UYJ200 UYN200 UYR200 UYV200 UYZ200 UZD200 UZH200 UZL200 UZP200 UZT200 UZX200 VAB200 VAF200 VAJ200 VAN200 VAR200 VAV200 VAZ200 VBD200 VBH200 VBL200 VBP200 VBT200 VBX200 VCB200 VCF200 VCJ200 VCN200 VCR200 VCV200 VCZ200 VDD200 VDH200 VDL200 VDP200 VDT200 VDX200 VEB200 VEF200 VEJ200 VEN200 VER200 VEV200 VEZ200 VFD200 VFH200 VFL200 VFP200 VFT200 VFX200 VGB200 VGF200 VGJ200 VGN200 VGR200 VGV200 VGZ200 VHD200 VHH200 VHL200 VHP200 VHT200 VHX200 VIB200 VIF200 VIJ200 VIN200 VIR200 VIV200 VIZ200 VJD200 VJH200 VJL200 VJP200 VJT200 VJX200 VKB200 VKF200 VKJ200 VKN200 VKR200 VKV200 VKZ200 VLD200 VLH200 VLL200 VLP200 VLT200 VLX200 VMB200 VMF200 VMJ200 VMN200 VMR200 VMV200 VMZ200 VND200 VNH200 VNL200 VNP200 VNT200 VNX200 VOB200 VOF200 VOJ200 VON200 VOR200 VOV200 VOZ200 VPD200 VPH200 VPL200 VPP200 VPT200 VPX200 VQB200 VQF200 VQJ200 VQN200 VQR200 VQV200 VQZ200 VRD200 VRH200 VRL200 VRP200 VRT200 VRX200 VSB200 VSF200 VSJ200 VSN200 VSR200 VSV200 VSZ200 VTD200 VTH200 VTL200 VTP200 VTT200 VTX200 VUB200 VUF200 VUJ200 VUN200 VUR200 VUV200 VUZ200 VVD200 VVH200 VVL200 VVP200 VVT200 VVX200 VWB200 VWF200 VWJ200 VWN200 VWR200 VWV200 VWZ200 VXD200 VXH200 VXL200 VXP200 VXT200 VXX200 VYB200 VYF200 VYJ200 VYN200 VYR200 VYV200 VYZ200 VZD200 VZH200 VZL200 VZP200 VZT200 VZX200 WAB200 WAF200 WAJ200 WAN200 WAR200 WAV200 WAZ200 WBD200 WBH200 WBL200 WBP200 WBT200 WBX200 WCB200 WCF200 WCJ200 WCN200 WCR200 WCV200 WCZ200 WDD200 WDH200 WDL200 WDP200 WDT200 WDX200 WEB200 WEF200 WEJ200 WEN200 WER200 WEV200 WEZ200 WFD200 WFH200 WFL200 WFP200 WFT200 WFX200 WGB200 WGF200 WGJ200 WGN200 WGR200 WGV200 WGZ200 WHD200 WHH200 WHL200 WHP200 WHT200 WHX200 WIB200 WIF200 WIJ200 WIN200 WIR200 WIV200 WIZ200 WJD200 WJH200 WJL200 WJP200 WJT200 WJX200 WKB200 WKF200 WKJ200 WKN200 WKR200 WKV200 WKZ200 WLD200 WLH200 WLL200 WLP200 WLT200 WLX200 WMB200 WMF200 WMJ200 WMN200 WMR200 WMV200 WMZ200 WND200 WNH200 WNL200 WNP200 WNT200 WNX200 WOB200 WOF200 WOJ200 WON200 WOR200 WOV200 WOZ200 WPD200 WPH200 WPL200 WPP200 WPT200 WPX200 WQB200 WQF200 WQJ200 WQN200 WQR200 WQV200 WQZ200 WRD200 WRH200 WRL200 WRP200 WRT200 WRX200 WSB200 WSF200 WSJ200 WSN200 WSR200 WSV200 WSZ200 WTD200 WTH200 WTL200 WTP200 WTT200 WTX200 WUB200 WUF200 WUJ200 WUN200 WUR200 WUV200 WUZ200 WVD200 WVH200 WVL200 WVP200 WVT200 WVX200 WWB200 WWF200 WWJ200 WWN200 WWR200 WWV200 WWZ200 WXD200 WXH200 WXL200 WXP200 WXT200 WXX200 WYB200 WYF200 WYJ200 WYN200 WYR200 WYV200 WYZ200 WZD200 WZH200 WZL200 WZP200 WZT200 WZX200 XAB200 XAF200 XAJ200 XAN200 XAR200 XAV200 XAZ200 XBD200 XBH200 XBL200 XBP200 XBT200 XBX200 XCB200 XCF200 XCJ200 XCN200 XCR200 XCV200 XCZ200 XDD200 XDH200 XDL200 XDP200 XDT200 XDX200 XEB200 XEF200 XEJ200 XEN200 XER200 XEV200 XEZ200 XFD200">
    <cfRule type="cellIs" dxfId="27" priority="180" operator="equal">
      <formula>"Check Validation"</formula>
    </cfRule>
    <cfRule type="cellIs" dxfId="26" priority="181" operator="equal">
      <formula>"Check Validations"</formula>
    </cfRule>
    <cfRule type="cellIs" dxfId="25" priority="182" operator="equal">
      <formula>"Check"</formula>
    </cfRule>
  </conditionalFormatting>
  <conditionalFormatting sqref="D4:R4">
    <cfRule type="cellIs" dxfId="24" priority="184" operator="equal">
      <formula>"Check Validation"</formula>
    </cfRule>
    <cfRule type="cellIs" dxfId="23" priority="185" operator="equal">
      <formula>"Check Validations"</formula>
    </cfRule>
    <cfRule type="cellIs" dxfId="22" priority="186" operator="equal">
      <formula>"Check"</formula>
    </cfRule>
  </conditionalFormatting>
  <conditionalFormatting sqref="K2:M2">
    <cfRule type="cellIs" dxfId="21" priority="171" operator="notEqual">
      <formula>""""""</formula>
    </cfRule>
  </conditionalFormatting>
  <conditionalFormatting sqref="S4:Y4">
    <cfRule type="cellIs" dxfId="20" priority="183" operator="notEqual">
      <formula>""""""</formula>
    </cfRule>
  </conditionalFormatting>
  <hyperlinks>
    <hyperlink ref="A229" location="Index!A1" display="Index page" xr:uid="{B2024CE2-C00D-43ED-ABD0-F7FCC9580356}"/>
    <hyperlink ref="C1" location="Index!A1" display="Index page" xr:uid="{C22987F3-4E6C-4338-B431-7BA629901369}"/>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144"/>
  <sheetViews>
    <sheetView showGridLines="0" zoomScaleNormal="100" workbookViewId="0"/>
  </sheetViews>
  <sheetFormatPr defaultColWidth="0" defaultRowHeight="15.5" zeroHeight="1" x14ac:dyDescent="0.35"/>
  <cols>
    <col min="1" max="1" width="77.54296875" customWidth="1"/>
    <col min="2" max="2" width="12.54296875" style="245" customWidth="1"/>
    <col min="3" max="3" width="57.54296875" style="4" customWidth="1"/>
    <col min="4" max="4" width="47.54296875" style="4" customWidth="1"/>
    <col min="5" max="5" width="50" style="5" customWidth="1"/>
    <col min="6" max="6" width="13.453125" customWidth="1"/>
    <col min="7" max="7" width="9" hidden="1" customWidth="1"/>
    <col min="8" max="8" width="100.453125" hidden="1" customWidth="1"/>
    <col min="9" max="16384" width="9" hidden="1"/>
  </cols>
  <sheetData>
    <row r="1" spans="1:19" s="6" customFormat="1" ht="63.65" customHeight="1" x14ac:dyDescent="0.35">
      <c r="A1" s="24" t="s">
        <v>44</v>
      </c>
      <c r="B1" s="246"/>
      <c r="C1" s="463" t="s">
        <v>0</v>
      </c>
      <c r="D1" s="463"/>
      <c r="E1" s="188"/>
      <c r="F1" s="208"/>
    </row>
    <row r="2" spans="1:19" s="33" customFormat="1" ht="18.75" customHeight="1" x14ac:dyDescent="0.35">
      <c r="A2" s="418" t="s">
        <v>1500</v>
      </c>
      <c r="B2" s="300"/>
      <c r="C2" s="300"/>
      <c r="D2" s="328"/>
      <c r="E2" s="342"/>
      <c r="F2" s="342"/>
      <c r="G2" s="342"/>
      <c r="H2" s="342"/>
      <c r="I2" s="342"/>
      <c r="J2" s="342"/>
      <c r="K2" s="132"/>
      <c r="L2" s="133"/>
      <c r="M2" s="133"/>
      <c r="N2" s="297"/>
      <c r="O2" s="297"/>
      <c r="P2" s="297"/>
      <c r="Q2" s="298"/>
      <c r="R2" s="353"/>
      <c r="S2" s="353"/>
    </row>
    <row r="3" spans="1:19" s="450" customFormat="1" ht="40.5" customHeight="1" x14ac:dyDescent="0.35">
      <c r="A3" s="412" t="s">
        <v>1485</v>
      </c>
      <c r="B3" s="447"/>
      <c r="C3" s="448"/>
      <c r="D3" s="449"/>
    </row>
    <row r="4" spans="1:19" s="289" customFormat="1" ht="60" customHeight="1" x14ac:dyDescent="0.65">
      <c r="A4" s="23" t="s">
        <v>471</v>
      </c>
      <c r="B4" s="286"/>
      <c r="C4" s="287"/>
      <c r="D4" s="329"/>
      <c r="E4" s="288"/>
      <c r="F4" s="288"/>
    </row>
    <row r="5" spans="1:19" s="1" customFormat="1" ht="45" customHeight="1" x14ac:dyDescent="0.45">
      <c r="A5" s="419" t="s">
        <v>472</v>
      </c>
      <c r="B5" s="600">
        <f>COUNTIF(F9:F143,"&lt;&gt;ok")</f>
        <v>9</v>
      </c>
      <c r="C5" s="420" t="str">
        <f>IF(B5&gt;0,"*Error* - Clear all validations triggered before inputting on the online form","")</f>
        <v>*Error* - Clear all validations triggered before inputting on the online form</v>
      </c>
      <c r="D5" s="255"/>
      <c r="E5" s="271"/>
    </row>
    <row r="6" spans="1:19" s="1" customFormat="1" ht="60" customHeight="1" x14ac:dyDescent="0.6">
      <c r="A6" s="23" t="s">
        <v>473</v>
      </c>
      <c r="B6" s="247"/>
      <c r="C6" s="2"/>
      <c r="D6" s="330"/>
      <c r="E6"/>
      <c r="F6" s="7"/>
    </row>
    <row r="7" spans="1:19" s="1" customFormat="1" ht="30" customHeight="1" x14ac:dyDescent="0.45">
      <c r="A7" s="251" t="s">
        <v>474</v>
      </c>
      <c r="B7" s="247"/>
      <c r="C7" s="2"/>
      <c r="D7" s="330"/>
      <c r="E7"/>
      <c r="F7" s="7"/>
    </row>
    <row r="8" spans="1:19" ht="75.75" customHeight="1" x14ac:dyDescent="0.35">
      <c r="A8" s="240" t="s">
        <v>475</v>
      </c>
      <c r="B8" s="327" t="s">
        <v>476</v>
      </c>
      <c r="C8" s="240" t="s">
        <v>477</v>
      </c>
      <c r="D8" s="331" t="s">
        <v>478</v>
      </c>
      <c r="E8" s="240" t="s">
        <v>479</v>
      </c>
      <c r="F8" s="240" t="s">
        <v>480</v>
      </c>
    </row>
    <row r="9" spans="1:19" ht="75.75" customHeight="1" x14ac:dyDescent="0.35">
      <c r="A9" s="280" t="s">
        <v>119</v>
      </c>
      <c r="B9" s="339">
        <v>102</v>
      </c>
      <c r="C9" s="421" t="str">
        <f>IF(VLOOKUP($A9,'BFR 2026'!$X$18:$Z$338,3,FALSE)=0,"",VLOOKUP($A9,'BFR 2026'!$X$18:$Z$338,3,FALSE))</f>
        <v>You have forecast zero for GAG income (line 102) for next year.  Briefly tell us why this value is zero?</v>
      </c>
      <c r="D9" s="421" t="s">
        <v>481</v>
      </c>
      <c r="E9" s="575"/>
      <c r="F9" s="401" t="str">
        <f>IF(C9="","OK",IF(E9="","Response Outstanding","OK"))</f>
        <v>Response Outstanding</v>
      </c>
    </row>
    <row r="10" spans="1:19" ht="75.75" customHeight="1" x14ac:dyDescent="0.35">
      <c r="A10" s="280" t="s">
        <v>127</v>
      </c>
      <c r="B10" s="339">
        <v>132</v>
      </c>
      <c r="C10" s="421" t="str">
        <f>IF(VLOOKUP($A10,'BFR 2026'!$X$18:$Z$338,3,FALSE)=0,"",VLOOKUP($A10,'BFR 2026'!$X$18:$Z$338,3,FALSE))</f>
        <v/>
      </c>
      <c r="D10" s="421" t="s">
        <v>482</v>
      </c>
      <c r="E10" s="326"/>
      <c r="F10" s="401" t="str">
        <f>IF(C10="","OK",IF(E10="","Response Outstanding","OK"))</f>
        <v>OK</v>
      </c>
    </row>
    <row r="11" spans="1:19" ht="75.75" customHeight="1" x14ac:dyDescent="0.35">
      <c r="A11" s="280" t="s">
        <v>197</v>
      </c>
      <c r="B11" s="339">
        <v>400</v>
      </c>
      <c r="C11" s="421" t="str">
        <f>IF(VLOOKUP($A11,'BFR 2026'!$X$18:$Z$328,3,FALSE)=0,"",VLOOKUP($A11,'BFR 2026'!$X$18:$Z$327,3,FALSE))</f>
        <v/>
      </c>
      <c r="D11" s="421" t="s">
        <v>484</v>
      </c>
      <c r="E11" s="326"/>
      <c r="F11" s="401" t="str">
        <f t="shared" ref="F11:F74" si="0">IF(C11="","OK",IF(E11="","Response Outstanding","OK"))</f>
        <v>OK</v>
      </c>
    </row>
    <row r="12" spans="1:19" ht="75.75" customHeight="1" x14ac:dyDescent="0.35">
      <c r="A12" s="280" t="s">
        <v>198</v>
      </c>
      <c r="B12" s="339">
        <v>400</v>
      </c>
      <c r="C12" s="421" t="str">
        <f>IF(VLOOKUP($A12,'BFR 2026'!$X$18:$Z$328,3,FALSE)=0,"",VLOOKUP($A12,'BFR 2026'!$X$18:$Z$327,3,FALSE))</f>
        <v/>
      </c>
      <c r="D12" s="421" t="s">
        <v>484</v>
      </c>
      <c r="E12" s="326"/>
      <c r="F12" s="401" t="str">
        <f t="shared" si="0"/>
        <v>OK</v>
      </c>
    </row>
    <row r="13" spans="1:19" ht="75.75" customHeight="1" x14ac:dyDescent="0.35">
      <c r="A13" s="280" t="s">
        <v>196</v>
      </c>
      <c r="B13" s="339">
        <v>380</v>
      </c>
      <c r="C13" s="421" t="str">
        <f>IF(VLOOKUP($A13,'BFR 2026'!$X$18:$Z$338,3,FALSE)=0,"",VLOOKUP($A13,'BFR 2026'!$X$18:$Z$338,3,FALSE))</f>
        <v/>
      </c>
      <c r="D13" s="421" t="s">
        <v>483</v>
      </c>
      <c r="E13" s="326"/>
      <c r="F13" s="401" t="str">
        <f t="shared" si="0"/>
        <v>OK</v>
      </c>
    </row>
    <row r="14" spans="1:19" ht="170.15" customHeight="1" x14ac:dyDescent="0.35">
      <c r="A14" s="280" t="s">
        <v>202</v>
      </c>
      <c r="B14" s="339">
        <v>400</v>
      </c>
      <c r="C14" s="421" t="str">
        <f>IF(VLOOKUP($A14,'BFR 2026'!$X$18:$Z$338,3,FALSE)=0,"",VLOOKUP($A14,'BFR 2026'!$X$18:$Z$338,3,FALSE))</f>
        <v/>
      </c>
      <c r="D14" s="421" t="s">
        <v>484</v>
      </c>
      <c r="E14" s="326"/>
      <c r="F14" s="401" t="str">
        <f t="shared" si="0"/>
        <v>OK</v>
      </c>
    </row>
    <row r="15" spans="1:19" ht="75.75" customHeight="1" x14ac:dyDescent="0.35">
      <c r="A15" s="421" t="s">
        <v>204</v>
      </c>
      <c r="B15" s="656" t="s">
        <v>1729</v>
      </c>
      <c r="C15" s="421" t="s">
        <v>1704</v>
      </c>
      <c r="D15" s="421" t="s">
        <v>1729</v>
      </c>
      <c r="E15" s="421" t="s">
        <v>1729</v>
      </c>
      <c r="F15" s="401" t="s">
        <v>1705</v>
      </c>
    </row>
    <row r="16" spans="1:19" ht="75.75" customHeight="1" x14ac:dyDescent="0.35">
      <c r="A16" s="280" t="s">
        <v>205</v>
      </c>
      <c r="B16" s="339">
        <v>410</v>
      </c>
      <c r="C16" s="421" t="str">
        <f>IF(VLOOKUP($A16,'BFR 2026'!$X$18:$Z$338,3,FALSE)=0,"",VLOOKUP($A16,'BFR 2026'!$X$18:$Z$338,3,FALSE))</f>
        <v>Explain why the balance brought forward from previous period (on Line 410) is £0?</v>
      </c>
      <c r="D16" s="421" t="s">
        <v>485</v>
      </c>
      <c r="E16" s="326"/>
      <c r="F16" s="401" t="str">
        <f t="shared" si="0"/>
        <v>Response Outstanding</v>
      </c>
    </row>
    <row r="17" spans="1:6" ht="75.75" customHeight="1" x14ac:dyDescent="0.35">
      <c r="A17" s="280" t="s">
        <v>208</v>
      </c>
      <c r="B17" s="339">
        <v>430</v>
      </c>
      <c r="C17" s="421" t="str">
        <f>IF(VLOOKUP($A17,'BFR 2026'!$X$18:$Z$338,3,FALSE)=0,"",VLOOKUP($A17,'BFR 2026'!$X$18:$Z$338,3,FALSE))</f>
        <v/>
      </c>
      <c r="D17" s="421" t="s">
        <v>486</v>
      </c>
      <c r="E17" s="326"/>
      <c r="F17" s="401" t="str">
        <f t="shared" si="0"/>
        <v>OK</v>
      </c>
    </row>
    <row r="18" spans="1:6" ht="75.75" customHeight="1" x14ac:dyDescent="0.35">
      <c r="A18" s="280" t="s">
        <v>209</v>
      </c>
      <c r="B18" s="339">
        <v>430</v>
      </c>
      <c r="C18" s="421" t="str">
        <f>IF(VLOOKUP($A18,'BFR 2026'!$X$18:$Z$338,3,FALSE)=0,"",VLOOKUP($A18,'BFR 2026'!$X$18:$Z$338,3,FALSE))</f>
        <v/>
      </c>
      <c r="D18" s="421" t="s">
        <v>486</v>
      </c>
      <c r="E18" s="326"/>
      <c r="F18" s="401" t="str">
        <f t="shared" si="0"/>
        <v>OK</v>
      </c>
    </row>
    <row r="19" spans="1:6" ht="75.75" customHeight="1" x14ac:dyDescent="0.35">
      <c r="A19" s="280" t="s">
        <v>227</v>
      </c>
      <c r="B19" s="347">
        <v>570</v>
      </c>
      <c r="C19" s="421" t="str">
        <f>IF(VLOOKUP($A19,'BFR 2026'!$X$18:$Z$338,3,FALSE)=0,"",VLOOKUP($A19,'BFR 2026'!$X$18:$Z$338,3,FALSE))</f>
        <v/>
      </c>
      <c r="D19" s="421" t="s">
        <v>487</v>
      </c>
      <c r="E19" s="326"/>
      <c r="F19" s="401" t="str">
        <f t="shared" si="0"/>
        <v>OK</v>
      </c>
    </row>
    <row r="20" spans="1:6" ht="75.75" customHeight="1" x14ac:dyDescent="0.35">
      <c r="A20" s="280" t="s">
        <v>229</v>
      </c>
      <c r="B20" s="347">
        <v>571</v>
      </c>
      <c r="C20" s="421" t="str">
        <f>IF(VLOOKUP($A20,'BFR 2026'!$X$18:$Z$338,3,FALSE)=0,"",VLOOKUP($A20,'BFR 2026'!$X$18:$Z$338,3,FALSE))</f>
        <v/>
      </c>
      <c r="D20" s="421" t="s">
        <v>488</v>
      </c>
      <c r="E20" s="326"/>
      <c r="F20" s="401" t="str">
        <f t="shared" si="0"/>
        <v>OK</v>
      </c>
    </row>
    <row r="21" spans="1:6" ht="75.75" customHeight="1" x14ac:dyDescent="0.35">
      <c r="A21" s="280" t="s">
        <v>224</v>
      </c>
      <c r="B21" s="347">
        <v>560</v>
      </c>
      <c r="C21" s="421" t="str">
        <f>IF(VLOOKUP($A21,'BFR 2026'!$X$18:$Z$338,3,FALSE)=0,"",VLOOKUP($A21,'BFR 2026'!$X$18:$Z$338,3,FALSE))</f>
        <v/>
      </c>
      <c r="D21" s="421" t="s">
        <v>489</v>
      </c>
      <c r="E21" s="326"/>
      <c r="F21" s="401" t="str">
        <f t="shared" si="0"/>
        <v>OK</v>
      </c>
    </row>
    <row r="22" spans="1:6" ht="110.15" customHeight="1" x14ac:dyDescent="0.35">
      <c r="A22" s="280" t="s">
        <v>272</v>
      </c>
      <c r="B22" s="339">
        <v>660</v>
      </c>
      <c r="C22" s="421" t="str">
        <f>IF(VLOOKUP($A22,'BFR 2026'!$X$18:$Z$338,3,FALSE)=0,"",VLOOKUP($A22,'BFR 2026'!$X$18:$Z$338,3,FALSE))</f>
        <v/>
      </c>
      <c r="D22" s="421" t="s">
        <v>490</v>
      </c>
      <c r="E22" s="326"/>
      <c r="F22" s="401" t="str">
        <f t="shared" si="0"/>
        <v>OK</v>
      </c>
    </row>
    <row r="23" spans="1:6" ht="75.75" customHeight="1" x14ac:dyDescent="0.35">
      <c r="A23" s="280" t="s">
        <v>282</v>
      </c>
      <c r="B23" s="339">
        <v>700</v>
      </c>
      <c r="C23" s="421" t="str">
        <f>IF(VLOOKUP($A23,'BFR 2026'!$X$18:$Z$338,3,FALSE)=0,"",VLOOKUP($A23,'BFR 2026'!$X$18:$Z$338,3,FALSE))</f>
        <v>Check that the figures you've entered for Cash at bank and in hand (700) are correct. If so,  explain why your bank balances are all NIL</v>
      </c>
      <c r="D23" s="421" t="s">
        <v>491</v>
      </c>
      <c r="E23" s="326"/>
      <c r="F23" s="401" t="str">
        <f t="shared" si="0"/>
        <v>Response Outstanding</v>
      </c>
    </row>
    <row r="24" spans="1:6" ht="75.75" customHeight="1" x14ac:dyDescent="0.35">
      <c r="A24" s="280" t="s">
        <v>285</v>
      </c>
      <c r="B24" s="339">
        <v>701</v>
      </c>
      <c r="C24" s="421" t="str">
        <f>IF(VLOOKUP($A24,'BFR 2026'!$X$18:$Z$338,3,FALSE)=0,"",VLOOKUP($A24,'BFR 2026'!$X$18:$Z$338,3,FALSE))</f>
        <v>Enter your overdraft balances, if not applicable, please state this. If your overdraft was cleared before the balance dates then provide a brief explanation.</v>
      </c>
      <c r="D24" s="421" t="s">
        <v>492</v>
      </c>
      <c r="E24" s="326"/>
      <c r="F24" s="401" t="str">
        <f t="shared" si="0"/>
        <v>Response Outstanding</v>
      </c>
    </row>
    <row r="25" spans="1:6" ht="75.75" customHeight="1" x14ac:dyDescent="0.35">
      <c r="A25" s="280" t="s">
        <v>294</v>
      </c>
      <c r="B25" s="339">
        <v>725</v>
      </c>
      <c r="C25" s="421" t="str">
        <f>IF(VLOOKUP($A25,'BFR 2026'!$X$18:$Z$338,3,FALSE)=0,"",VLOOKUP($A25,'BFR 2026'!$X$18:$Z$338,3,FALSE))</f>
        <v/>
      </c>
      <c r="D25" s="421" t="s">
        <v>493</v>
      </c>
      <c r="E25" s="326"/>
      <c r="F25" s="401" t="str">
        <f t="shared" si="0"/>
        <v>OK</v>
      </c>
    </row>
    <row r="26" spans="1:6" ht="75.75" customHeight="1" x14ac:dyDescent="0.35">
      <c r="A26" s="280" t="s">
        <v>302</v>
      </c>
      <c r="B26" s="339">
        <v>785</v>
      </c>
      <c r="C26" s="421" t="str">
        <f>IF(VLOOKUP($A26,'BFR 2026'!$X$18:$Z$338,3,FALSE)=0,"",VLOOKUP($A26,'BFR 2026'!$X$18:$Z$338,3,FALSE))</f>
        <v/>
      </c>
      <c r="D26" s="421" t="s">
        <v>494</v>
      </c>
      <c r="E26" s="326"/>
      <c r="F26" s="401" t="str">
        <f t="shared" si="0"/>
        <v>OK</v>
      </c>
    </row>
    <row r="27" spans="1:6" ht="75.75" customHeight="1" x14ac:dyDescent="0.35">
      <c r="A27" s="280" t="s">
        <v>304</v>
      </c>
      <c r="B27" s="339">
        <v>789</v>
      </c>
      <c r="C27" s="421" t="str">
        <f>IF(VLOOKUP($A27,'BFR 2026'!$X$18:$Z$338,3,FALSE)=0,"",VLOOKUP($A27,'BFR 2026'!$X$18:$Z$338,3,FALSE))</f>
        <v/>
      </c>
      <c r="D27" s="421" t="s">
        <v>495</v>
      </c>
      <c r="E27" s="326"/>
      <c r="F27" s="401" t="str">
        <f t="shared" si="0"/>
        <v>OK</v>
      </c>
    </row>
    <row r="28" spans="1:6" ht="75.75" customHeight="1" x14ac:dyDescent="0.35">
      <c r="A28" s="280" t="s">
        <v>291</v>
      </c>
      <c r="B28" s="339">
        <v>712</v>
      </c>
      <c r="C28" s="421" t="str">
        <f>IF(VLOOKUP($A28,'BFR 2026'!$X$18:$Z$338,3,FALSE)=0,"",VLOOKUP($A28,'BFR 2026'!$X$18:$Z$338,3,FALSE))</f>
        <v/>
      </c>
      <c r="D28" s="421" t="s">
        <v>496</v>
      </c>
      <c r="E28" s="326"/>
      <c r="F28" s="401" t="str">
        <f t="shared" si="0"/>
        <v>OK</v>
      </c>
    </row>
    <row r="29" spans="1:6" ht="75.75" customHeight="1" x14ac:dyDescent="0.35">
      <c r="A29" s="280" t="s">
        <v>241</v>
      </c>
      <c r="B29" s="339">
        <v>585</v>
      </c>
      <c r="C29" s="421" t="str">
        <f>IF(VLOOKUP($A29,'BFR 2026'!$X$18:$Z$338,3,FALSE)=0,"",VLOOKUP($A29,'BFR 2026'!$X$18:$Z$338,3,FALSE))</f>
        <v/>
      </c>
      <c r="D29" s="421" t="s">
        <v>497</v>
      </c>
      <c r="E29" s="326"/>
      <c r="F29" s="401" t="str">
        <f t="shared" si="0"/>
        <v>OK</v>
      </c>
    </row>
    <row r="30" spans="1:6" ht="75.75" customHeight="1" x14ac:dyDescent="0.35">
      <c r="A30" s="280" t="s">
        <v>107</v>
      </c>
      <c r="B30" s="339">
        <v>999</v>
      </c>
      <c r="C30" s="421" t="str">
        <f>IF(VLOOKUP($A30,'BFR 2026'!$X$11:$Z$338,3,FALSE)=0,"",VLOOKUP($A30,'BFR 2026'!$X$11:$Z$338,3,FALSE))</f>
        <v>Check that you've entered pupil numbers correctly (without rounding) or explain why you've input no pupil numbers.</v>
      </c>
      <c r="D30" s="421" t="s">
        <v>498</v>
      </c>
      <c r="E30" s="326"/>
      <c r="F30" s="401" t="str">
        <f t="shared" si="0"/>
        <v>Response Outstanding</v>
      </c>
    </row>
    <row r="31" spans="1:6" ht="75.75" customHeight="1" x14ac:dyDescent="0.35">
      <c r="A31" s="280" t="s">
        <v>194</v>
      </c>
      <c r="B31" s="339">
        <v>395</v>
      </c>
      <c r="C31" s="421" t="str">
        <f>IF(VLOOKUP($A31,'BFR 2026'!$X$18:$Z$338,3,FALSE)=0,"",VLOOKUP($A31,'BFR 2026'!$X$18:$Z$338,3,FALSE))</f>
        <v/>
      </c>
      <c r="D31" s="421" t="s">
        <v>499</v>
      </c>
      <c r="E31" s="326"/>
      <c r="F31" s="401" t="str">
        <f t="shared" si="0"/>
        <v>OK</v>
      </c>
    </row>
    <row r="32" spans="1:6" ht="75.75" customHeight="1" x14ac:dyDescent="0.35">
      <c r="A32" s="280" t="s">
        <v>109</v>
      </c>
      <c r="B32" s="339">
        <v>102</v>
      </c>
      <c r="C32" s="421" t="str">
        <f>IF(VLOOKUP($A32,'BFR 2026'!$X$12:$Z$338,3,FALSE)=0,"",VLOOKUP($A32,'BFR 2026'!$X$12:$Z$338,3,FALSE))</f>
        <v/>
      </c>
      <c r="D32" s="421" t="s">
        <v>500</v>
      </c>
      <c r="E32" s="326"/>
      <c r="F32" s="401" t="str">
        <f t="shared" si="0"/>
        <v>OK</v>
      </c>
    </row>
    <row r="33" spans="1:6" s="337" customFormat="1" ht="100.15" customHeight="1" x14ac:dyDescent="0.35">
      <c r="A33" s="280" t="s">
        <v>404</v>
      </c>
      <c r="B33" s="338" t="s">
        <v>404</v>
      </c>
      <c r="C33" s="421" t="str">
        <f>IF(VLOOKUP($A33,'Reserve balance details'!$E$11:$F$82,2,FALSE)=0,"",VLOOKUP($A33,'Reserve balance details'!$E$11:$F$82,2,FALSE))</f>
        <v/>
      </c>
      <c r="D33" s="336" t="s">
        <v>501</v>
      </c>
      <c r="E33" s="326"/>
      <c r="F33" s="401" t="str">
        <f t="shared" si="0"/>
        <v>OK</v>
      </c>
    </row>
    <row r="34" spans="1:6" ht="75.75" customHeight="1" x14ac:dyDescent="0.35">
      <c r="A34" s="280" t="s">
        <v>1566</v>
      </c>
      <c r="B34" s="339">
        <v>800</v>
      </c>
      <c r="C34" s="421" t="str">
        <f>IF(VLOOKUP($A34,'BFR 2026'!$X$18:$Z$338,3,FALSE)=0,"",VLOOKUP($A34,'BFR 2026'!$X$18:$Z$338,3,FALSE))</f>
        <v/>
      </c>
      <c r="D34" s="421" t="s">
        <v>502</v>
      </c>
      <c r="E34" s="326"/>
      <c r="F34" s="401" t="str">
        <f t="shared" si="0"/>
        <v>OK</v>
      </c>
    </row>
    <row r="35" spans="1:6" ht="75.75" customHeight="1" x14ac:dyDescent="0.35">
      <c r="A35" s="280" t="s">
        <v>1567</v>
      </c>
      <c r="B35" s="339">
        <v>800</v>
      </c>
      <c r="C35" s="421" t="str">
        <f>IF(VLOOKUP($A35,'BFR 2026'!$X$18:$Z$338,3,FALSE)=0,"",VLOOKUP($A35,'BFR 2026'!$X$18:$Z$338,3,FALSE))</f>
        <v/>
      </c>
      <c r="D35" s="421" t="s">
        <v>502</v>
      </c>
      <c r="E35" s="326"/>
      <c r="F35" s="401" t="str">
        <f t="shared" si="0"/>
        <v>OK</v>
      </c>
    </row>
    <row r="36" spans="1:6" ht="75.75" customHeight="1" x14ac:dyDescent="0.35">
      <c r="A36" s="280" t="s">
        <v>1568</v>
      </c>
      <c r="B36" s="339">
        <v>800</v>
      </c>
      <c r="C36" s="421" t="str">
        <f>IF(VLOOKUP($A36,'BFR 2026'!$X$18:$Z$338,3,FALSE)=0,"",VLOOKUP($A36,'BFR 2026'!$X$18:$Z$338,3,FALSE))</f>
        <v/>
      </c>
      <c r="D36" s="421" t="s">
        <v>502</v>
      </c>
      <c r="E36" s="326"/>
      <c r="F36" s="401" t="str">
        <f t="shared" si="0"/>
        <v>OK</v>
      </c>
    </row>
    <row r="37" spans="1:6" ht="75.75" customHeight="1" x14ac:dyDescent="0.35">
      <c r="A37" s="280" t="s">
        <v>1569</v>
      </c>
      <c r="B37" s="339">
        <v>800</v>
      </c>
      <c r="C37" s="421" t="str">
        <f>IF(VLOOKUP($A37,'BFR 2026'!$X$18:$Z$338,3,FALSE)=0,"",VLOOKUP($A37,'BFR 2026'!$X$18:$Z$338,3,FALSE))</f>
        <v/>
      </c>
      <c r="D37" s="421" t="s">
        <v>502</v>
      </c>
      <c r="E37" s="326"/>
      <c r="F37" s="401" t="str">
        <f t="shared" si="0"/>
        <v>OK</v>
      </c>
    </row>
    <row r="38" spans="1:6" ht="75.75" customHeight="1" x14ac:dyDescent="0.35">
      <c r="A38" s="280" t="s">
        <v>1570</v>
      </c>
      <c r="B38" s="339">
        <v>800</v>
      </c>
      <c r="C38" s="421" t="str">
        <f>IF(VLOOKUP($A38,'BFR 2026'!$X$18:$Z$338,3,FALSE)=0,"",VLOOKUP($A38,'BFR 2026'!$X$18:$Z$338,3,FALSE))</f>
        <v/>
      </c>
      <c r="D38" s="421" t="s">
        <v>502</v>
      </c>
      <c r="E38" s="326"/>
      <c r="F38" s="401" t="str">
        <f t="shared" si="0"/>
        <v>OK</v>
      </c>
    </row>
    <row r="39" spans="1:6" ht="75.75" customHeight="1" x14ac:dyDescent="0.35">
      <c r="A39" s="280" t="s">
        <v>1571</v>
      </c>
      <c r="B39" s="339">
        <v>800</v>
      </c>
      <c r="C39" s="421" t="str">
        <f>IF(VLOOKUP($A39,'BFR 2026'!$X$18:$Z$338,3,FALSE)=0,"",VLOOKUP($A39,'BFR 2026'!$X$18:$Z$338,3,FALSE))</f>
        <v/>
      </c>
      <c r="D39" s="421" t="s">
        <v>502</v>
      </c>
      <c r="E39" s="326"/>
      <c r="F39" s="401" t="str">
        <f t="shared" si="0"/>
        <v>OK</v>
      </c>
    </row>
    <row r="40" spans="1:6" ht="75.75" customHeight="1" x14ac:dyDescent="0.35">
      <c r="A40" s="280" t="s">
        <v>1572</v>
      </c>
      <c r="B40" s="339">
        <v>800</v>
      </c>
      <c r="C40" s="421" t="str">
        <f>IF(VLOOKUP($A40,'BFR 2026'!$X$18:$Z$338,3,FALSE)=0,"",VLOOKUP($A40,'BFR 2026'!$X$18:$Z$338,3,FALSE))</f>
        <v/>
      </c>
      <c r="D40" s="421" t="s">
        <v>502</v>
      </c>
      <c r="E40" s="326"/>
      <c r="F40" s="401" t="str">
        <f t="shared" si="0"/>
        <v>OK</v>
      </c>
    </row>
    <row r="41" spans="1:6" ht="75.75" customHeight="1" x14ac:dyDescent="0.35">
      <c r="A41" s="280" t="s">
        <v>1573</v>
      </c>
      <c r="B41" s="339">
        <v>800</v>
      </c>
      <c r="C41" s="421" t="str">
        <f>IF(VLOOKUP($A41,'BFR 2026'!$X$18:$Z$338,3,FALSE)=0,"",VLOOKUP($A41,'BFR 2026'!$X$18:$Z$338,3,FALSE))</f>
        <v/>
      </c>
      <c r="D41" s="421" t="s">
        <v>502</v>
      </c>
      <c r="E41" s="326"/>
      <c r="F41" s="401" t="str">
        <f t="shared" si="0"/>
        <v>OK</v>
      </c>
    </row>
    <row r="42" spans="1:6" ht="75.75" customHeight="1" x14ac:dyDescent="0.35">
      <c r="A42" s="280" t="s">
        <v>1574</v>
      </c>
      <c r="B42" s="339">
        <v>800</v>
      </c>
      <c r="C42" s="421" t="str">
        <f>IF(VLOOKUP($A42,'BFR 2026'!$X$18:$Z$338,3,FALSE)=0,"",VLOOKUP($A42,'BFR 2026'!$X$18:$Z$338,3,FALSE))</f>
        <v/>
      </c>
      <c r="D42" s="421" t="s">
        <v>502</v>
      </c>
      <c r="E42" s="326"/>
      <c r="F42" s="401" t="str">
        <f t="shared" si="0"/>
        <v>OK</v>
      </c>
    </row>
    <row r="43" spans="1:6" ht="75.75" customHeight="1" x14ac:dyDescent="0.35">
      <c r="A43" s="280" t="s">
        <v>1575</v>
      </c>
      <c r="B43" s="339">
        <v>800</v>
      </c>
      <c r="C43" s="421" t="str">
        <f>IF(VLOOKUP($A43,'BFR 2026'!$X$18:$Z$338,3,FALSE)=0,"",VLOOKUP($A43,'BFR 2026'!$X$18:$Z$338,3,FALSE))</f>
        <v/>
      </c>
      <c r="D43" s="421" t="s">
        <v>502</v>
      </c>
      <c r="E43" s="326"/>
      <c r="F43" s="401" t="str">
        <f t="shared" si="0"/>
        <v>OK</v>
      </c>
    </row>
    <row r="44" spans="1:6" ht="75.75" customHeight="1" x14ac:dyDescent="0.35">
      <c r="A44" s="280" t="s">
        <v>1576</v>
      </c>
      <c r="B44" s="339">
        <v>800</v>
      </c>
      <c r="C44" s="421" t="str">
        <f>IF(VLOOKUP($A44,'BFR 2026'!$X$18:$Z$338,3,FALSE)=0,"",VLOOKUP($A44,'BFR 2026'!$X$18:$Z$338,3,FALSE))</f>
        <v/>
      </c>
      <c r="D44" s="421" t="s">
        <v>502</v>
      </c>
      <c r="E44" s="326"/>
      <c r="F44" s="401" t="str">
        <f t="shared" si="0"/>
        <v>OK</v>
      </c>
    </row>
    <row r="45" spans="1:6" ht="75.75" customHeight="1" x14ac:dyDescent="0.35">
      <c r="A45" s="280" t="s">
        <v>1577</v>
      </c>
      <c r="B45" s="339">
        <v>800</v>
      </c>
      <c r="C45" s="421" t="str">
        <f>IF(VLOOKUP($A45,'BFR 2026'!$X$18:$Z$338,3,FALSE)=0,"",VLOOKUP($A45,'BFR 2026'!$X$18:$Z$338,3,FALSE))</f>
        <v/>
      </c>
      <c r="D45" s="421" t="s">
        <v>502</v>
      </c>
      <c r="E45" s="326"/>
      <c r="F45" s="401" t="str">
        <f t="shared" si="0"/>
        <v>OK</v>
      </c>
    </row>
    <row r="46" spans="1:6" ht="75.75" customHeight="1" x14ac:dyDescent="0.35">
      <c r="A46" s="280" t="s">
        <v>1578</v>
      </c>
      <c r="B46" s="339">
        <v>800</v>
      </c>
      <c r="C46" s="421" t="str">
        <f>IF(VLOOKUP($A46,'BFR 2026'!$X$18:$Z$338,3,FALSE)=0,"",VLOOKUP($A46,'BFR 2026'!$X$18:$Z$338,3,FALSE))</f>
        <v/>
      </c>
      <c r="D46" s="421" t="s">
        <v>502</v>
      </c>
      <c r="E46" s="326"/>
      <c r="F46" s="401" t="str">
        <f t="shared" si="0"/>
        <v>OK</v>
      </c>
    </row>
    <row r="47" spans="1:6" ht="75.75" customHeight="1" x14ac:dyDescent="0.35">
      <c r="A47" s="280" t="s">
        <v>1579</v>
      </c>
      <c r="B47" s="339">
        <v>800</v>
      </c>
      <c r="C47" s="421" t="str">
        <f>IF(VLOOKUP($A47,'BFR 2026'!$X$18:$Z$338,3,FALSE)=0,"",VLOOKUP($A47,'BFR 2026'!$X$18:$Z$338,3,FALSE))</f>
        <v/>
      </c>
      <c r="D47" s="421" t="s">
        <v>502</v>
      </c>
      <c r="E47" s="326"/>
      <c r="F47" s="401" t="str">
        <f t="shared" si="0"/>
        <v>OK</v>
      </c>
    </row>
    <row r="48" spans="1:6" ht="75.75" customHeight="1" x14ac:dyDescent="0.35">
      <c r="A48" s="280" t="s">
        <v>1580</v>
      </c>
      <c r="B48" s="339">
        <v>800</v>
      </c>
      <c r="C48" s="421" t="str">
        <f>IF(VLOOKUP($A48,'BFR 2026'!$X$18:$Z$338,3,FALSE)=0,"",VLOOKUP($A48,'BFR 2026'!$X$18:$Z$338,3,FALSE))</f>
        <v/>
      </c>
      <c r="D48" s="421" t="s">
        <v>502</v>
      </c>
      <c r="E48" s="326"/>
      <c r="F48" s="401" t="str">
        <f t="shared" si="0"/>
        <v>OK</v>
      </c>
    </row>
    <row r="49" spans="1:6" ht="75.75" customHeight="1" x14ac:dyDescent="0.35">
      <c r="A49" s="280" t="s">
        <v>1581</v>
      </c>
      <c r="B49" s="339">
        <v>800</v>
      </c>
      <c r="C49" s="421" t="str">
        <f>IF(VLOOKUP($A49,'BFR 2026'!$X$18:$Z$338,3,FALSE)=0,"",VLOOKUP($A49,'BFR 2026'!$X$18:$Z$338,3,FALSE))</f>
        <v/>
      </c>
      <c r="D49" s="421" t="s">
        <v>502</v>
      </c>
      <c r="E49" s="326"/>
      <c r="F49" s="401" t="str">
        <f t="shared" si="0"/>
        <v>OK</v>
      </c>
    </row>
    <row r="50" spans="1:6" ht="75.75" customHeight="1" x14ac:dyDescent="0.35">
      <c r="A50" s="280" t="s">
        <v>1582</v>
      </c>
      <c r="B50" s="339">
        <v>800</v>
      </c>
      <c r="C50" s="421" t="str">
        <f>IF(VLOOKUP($A50,'BFR 2026'!$X$18:$Z$338,3,FALSE)=0,"",VLOOKUP($A50,'BFR 2026'!$X$18:$Z$338,3,FALSE))</f>
        <v/>
      </c>
      <c r="D50" s="421" t="s">
        <v>502</v>
      </c>
      <c r="E50" s="326"/>
      <c r="F50" s="401" t="str">
        <f t="shared" si="0"/>
        <v>OK</v>
      </c>
    </row>
    <row r="51" spans="1:6" ht="75.75" customHeight="1" x14ac:dyDescent="0.35">
      <c r="A51" s="280" t="s">
        <v>1583</v>
      </c>
      <c r="B51" s="339">
        <v>800</v>
      </c>
      <c r="C51" s="421" t="str">
        <f>IF(VLOOKUP($A51,'BFR 2026'!$X$18:$Z$338,3,FALSE)=0,"",VLOOKUP($A51,'BFR 2026'!$X$18:$Z$338,3,FALSE))</f>
        <v/>
      </c>
      <c r="D51" s="421" t="s">
        <v>502</v>
      </c>
      <c r="E51" s="326"/>
      <c r="F51" s="401" t="str">
        <f t="shared" si="0"/>
        <v>OK</v>
      </c>
    </row>
    <row r="52" spans="1:6" ht="75.75" customHeight="1" x14ac:dyDescent="0.35">
      <c r="A52" s="280" t="s">
        <v>1584</v>
      </c>
      <c r="B52" s="339">
        <v>800</v>
      </c>
      <c r="C52" s="421" t="str">
        <f>IF(VLOOKUP($A52,'BFR 2026'!$X$18:$Z$338,3,FALSE)=0,"",VLOOKUP($A52,'BFR 2026'!$X$18:$Z$338,3,FALSE))</f>
        <v/>
      </c>
      <c r="D52" s="421" t="s">
        <v>502</v>
      </c>
      <c r="E52" s="326"/>
      <c r="F52" s="401" t="str">
        <f t="shared" si="0"/>
        <v>OK</v>
      </c>
    </row>
    <row r="53" spans="1:6" ht="75.75" customHeight="1" x14ac:dyDescent="0.35">
      <c r="A53" s="280" t="s">
        <v>1585</v>
      </c>
      <c r="B53" s="339">
        <v>800</v>
      </c>
      <c r="C53" s="421" t="str">
        <f>IF(VLOOKUP($A53,'BFR 2026'!$X$18:$Z$338,3,FALSE)=0,"",VLOOKUP($A53,'BFR 2026'!$X$18:$Z$338,3,FALSE))</f>
        <v/>
      </c>
      <c r="D53" s="421" t="s">
        <v>502</v>
      </c>
      <c r="E53" s="326"/>
      <c r="F53" s="401" t="str">
        <f t="shared" si="0"/>
        <v>OK</v>
      </c>
    </row>
    <row r="54" spans="1:6" ht="75.75" customHeight="1" x14ac:dyDescent="0.35">
      <c r="A54" s="280" t="s">
        <v>1586</v>
      </c>
      <c r="B54" s="339">
        <v>800</v>
      </c>
      <c r="C54" s="421" t="str">
        <f>IF(VLOOKUP($A54,'BFR 2026'!$X$18:$Z$338,3,FALSE)=0,"",VLOOKUP($A54,'BFR 2026'!$X$18:$Z$338,3,FALSE))</f>
        <v/>
      </c>
      <c r="D54" s="421" t="s">
        <v>502</v>
      </c>
      <c r="E54" s="326"/>
      <c r="F54" s="401" t="str">
        <f t="shared" si="0"/>
        <v>OK</v>
      </c>
    </row>
    <row r="55" spans="1:6" ht="75.75" customHeight="1" x14ac:dyDescent="0.35">
      <c r="A55" s="280" t="s">
        <v>1587</v>
      </c>
      <c r="B55" s="339">
        <v>800</v>
      </c>
      <c r="C55" s="421" t="str">
        <f>IF(VLOOKUP($A55,'BFR 2026'!$X$18:$Z$338,3,FALSE)=0,"",VLOOKUP($A55,'BFR 2026'!$X$18:$Z$338,3,FALSE))</f>
        <v/>
      </c>
      <c r="D55" s="421" t="s">
        <v>502</v>
      </c>
      <c r="E55" s="326"/>
      <c r="F55" s="401" t="str">
        <f t="shared" si="0"/>
        <v>OK</v>
      </c>
    </row>
    <row r="56" spans="1:6" ht="75.75" customHeight="1" x14ac:dyDescent="0.35">
      <c r="A56" s="280" t="s">
        <v>1588</v>
      </c>
      <c r="B56" s="339">
        <v>800</v>
      </c>
      <c r="C56" s="421" t="str">
        <f>IF(VLOOKUP($A56,'BFR 2026'!$X$18:$Z$338,3,FALSE)=0,"",VLOOKUP($A56,'BFR 2026'!$X$18:$Z$338,3,FALSE))</f>
        <v/>
      </c>
      <c r="D56" s="421" t="s">
        <v>502</v>
      </c>
      <c r="E56" s="326"/>
      <c r="F56" s="401" t="str">
        <f t="shared" si="0"/>
        <v>OK</v>
      </c>
    </row>
    <row r="57" spans="1:6" ht="75.75" customHeight="1" x14ac:dyDescent="0.35">
      <c r="A57" s="280" t="s">
        <v>1589</v>
      </c>
      <c r="B57" s="339">
        <v>800</v>
      </c>
      <c r="C57" s="421" t="str">
        <f>IF(VLOOKUP($A57,'BFR 2026'!$X$18:$Z$338,3,FALSE)=0,"",VLOOKUP($A57,'BFR 2026'!$X$18:$Z$338,3,FALSE))</f>
        <v/>
      </c>
      <c r="D57" s="421" t="s">
        <v>502</v>
      </c>
      <c r="E57" s="326"/>
      <c r="F57" s="401" t="str">
        <f t="shared" si="0"/>
        <v>OK</v>
      </c>
    </row>
    <row r="58" spans="1:6" ht="75.75" customHeight="1" x14ac:dyDescent="0.35">
      <c r="A58" s="280" t="s">
        <v>1590</v>
      </c>
      <c r="B58" s="339">
        <v>800</v>
      </c>
      <c r="C58" s="421" t="str">
        <f>IF(VLOOKUP($A58,'BFR 2026'!$X$18:$Z$338,3,FALSE)=0,"",VLOOKUP($A58,'BFR 2026'!$X$18:$Z$338,3,FALSE))</f>
        <v/>
      </c>
      <c r="D58" s="421" t="s">
        <v>502</v>
      </c>
      <c r="E58" s="326"/>
      <c r="F58" s="401" t="str">
        <f t="shared" si="0"/>
        <v>OK</v>
      </c>
    </row>
    <row r="59" spans="1:6" ht="75.75" customHeight="1" x14ac:dyDescent="0.35">
      <c r="A59" s="280" t="s">
        <v>1591</v>
      </c>
      <c r="B59" s="339">
        <v>800</v>
      </c>
      <c r="C59" s="421" t="str">
        <f>IF(VLOOKUP($A59,'BFR 2026'!$X$18:$Z$338,3,FALSE)=0,"",VLOOKUP($A59,'BFR 2026'!$X$18:$Z$338,3,FALSE))</f>
        <v/>
      </c>
      <c r="D59" s="421" t="s">
        <v>502</v>
      </c>
      <c r="E59" s="326"/>
      <c r="F59" s="401" t="str">
        <f t="shared" si="0"/>
        <v>OK</v>
      </c>
    </row>
    <row r="60" spans="1:6" ht="75.75" customHeight="1" x14ac:dyDescent="0.35">
      <c r="A60" s="280" t="s">
        <v>1592</v>
      </c>
      <c r="B60" s="339">
        <v>800</v>
      </c>
      <c r="C60" s="421" t="str">
        <f>IF(VLOOKUP($A60,'BFR 2026'!$X$18:$Z$338,3,FALSE)=0,"",VLOOKUP($A60,'BFR 2026'!$X$18:$Z$338,3,FALSE))</f>
        <v/>
      </c>
      <c r="D60" s="421" t="s">
        <v>502</v>
      </c>
      <c r="E60" s="326"/>
      <c r="F60" s="401" t="str">
        <f t="shared" si="0"/>
        <v>OK</v>
      </c>
    </row>
    <row r="61" spans="1:6" ht="75.75" customHeight="1" x14ac:dyDescent="0.35">
      <c r="A61" s="280" t="s">
        <v>1593</v>
      </c>
      <c r="B61" s="339">
        <v>800</v>
      </c>
      <c r="C61" s="421" t="str">
        <f>IF(VLOOKUP($A61,'BFR 2026'!$X$18:$Z$338,3,FALSE)=0,"",VLOOKUP($A61,'BFR 2026'!$X$18:$Z$338,3,FALSE))</f>
        <v/>
      </c>
      <c r="D61" s="421" t="s">
        <v>502</v>
      </c>
      <c r="E61" s="326"/>
      <c r="F61" s="401" t="str">
        <f t="shared" si="0"/>
        <v>OK</v>
      </c>
    </row>
    <row r="62" spans="1:6" ht="75.75" customHeight="1" x14ac:dyDescent="0.35">
      <c r="A62" s="280" t="s">
        <v>1594</v>
      </c>
      <c r="B62" s="339">
        <v>800</v>
      </c>
      <c r="C62" s="421" t="str">
        <f>IF(VLOOKUP($A62,'BFR 2026'!$X$18:$Z$338,3,FALSE)=0,"",VLOOKUP($A62,'BFR 2026'!$X$18:$Z$338,3,FALSE))</f>
        <v/>
      </c>
      <c r="D62" s="421" t="s">
        <v>502</v>
      </c>
      <c r="E62" s="326"/>
      <c r="F62" s="401" t="str">
        <f t="shared" si="0"/>
        <v>OK</v>
      </c>
    </row>
    <row r="63" spans="1:6" ht="75.75" customHeight="1" x14ac:dyDescent="0.35">
      <c r="A63" s="280" t="s">
        <v>1595</v>
      </c>
      <c r="B63" s="339">
        <v>800</v>
      </c>
      <c r="C63" s="421" t="str">
        <f>IF(VLOOKUP($A63,'BFR 2026'!$X$18:$Z$338,3,FALSE)=0,"",VLOOKUP($A63,'BFR 2026'!$X$18:$Z$338,3,FALSE))</f>
        <v/>
      </c>
      <c r="D63" s="421" t="s">
        <v>502</v>
      </c>
      <c r="E63" s="326"/>
      <c r="F63" s="401" t="str">
        <f t="shared" si="0"/>
        <v>OK</v>
      </c>
    </row>
    <row r="64" spans="1:6" ht="75.75" customHeight="1" x14ac:dyDescent="0.35">
      <c r="A64" s="280" t="s">
        <v>1596</v>
      </c>
      <c r="B64" s="339">
        <v>800</v>
      </c>
      <c r="C64" s="421" t="str">
        <f>IF(VLOOKUP($A64,'BFR 2026'!$X$18:$Z$338,3,FALSE)=0,"",VLOOKUP($A64,'BFR 2026'!$X$18:$Z$338,3,FALSE))</f>
        <v/>
      </c>
      <c r="D64" s="421" t="s">
        <v>502</v>
      </c>
      <c r="E64" s="326"/>
      <c r="F64" s="401" t="str">
        <f t="shared" si="0"/>
        <v>OK</v>
      </c>
    </row>
    <row r="65" spans="1:6" ht="75.75" customHeight="1" x14ac:dyDescent="0.35">
      <c r="A65" s="280" t="s">
        <v>1597</v>
      </c>
      <c r="B65" s="339">
        <v>800</v>
      </c>
      <c r="C65" s="421" t="str">
        <f>IF(VLOOKUP($A65,'BFR 2026'!$X$18:$Z$338,3,FALSE)=0,"",VLOOKUP($A65,'BFR 2026'!$X$18:$Z$338,3,FALSE))</f>
        <v/>
      </c>
      <c r="D65" s="421" t="s">
        <v>502</v>
      </c>
      <c r="E65" s="326"/>
      <c r="F65" s="401" t="str">
        <f t="shared" si="0"/>
        <v>OK</v>
      </c>
    </row>
    <row r="66" spans="1:6" ht="75.75" customHeight="1" x14ac:dyDescent="0.35">
      <c r="A66" s="280" t="s">
        <v>1598</v>
      </c>
      <c r="B66" s="339">
        <v>800</v>
      </c>
      <c r="C66" s="421" t="str">
        <f>IF(VLOOKUP($A66,'BFR 2026'!$X$18:$Z$338,3,FALSE)=0,"",VLOOKUP($A66,'BFR 2026'!$X$18:$Z$338,3,FALSE))</f>
        <v/>
      </c>
      <c r="D66" s="421" t="s">
        <v>502</v>
      </c>
      <c r="E66" s="326"/>
      <c r="F66" s="401" t="str">
        <f t="shared" si="0"/>
        <v>OK</v>
      </c>
    </row>
    <row r="67" spans="1:6" ht="75.75" customHeight="1" x14ac:dyDescent="0.35">
      <c r="A67" s="280" t="s">
        <v>1599</v>
      </c>
      <c r="B67" s="339">
        <v>800</v>
      </c>
      <c r="C67" s="421" t="str">
        <f>IF(VLOOKUP($A67,'BFR 2026'!$X$18:$Z$338,3,FALSE)=0,"",VLOOKUP($A67,'BFR 2026'!$X$18:$Z$338,3,FALSE))</f>
        <v/>
      </c>
      <c r="D67" s="421" t="s">
        <v>502</v>
      </c>
      <c r="E67" s="326"/>
      <c r="F67" s="401" t="str">
        <f t="shared" si="0"/>
        <v>OK</v>
      </c>
    </row>
    <row r="68" spans="1:6" ht="75.75" customHeight="1" x14ac:dyDescent="0.35">
      <c r="A68" s="280" t="s">
        <v>1600</v>
      </c>
      <c r="B68" s="339">
        <v>800</v>
      </c>
      <c r="C68" s="421" t="str">
        <f>IF(VLOOKUP($A68,'BFR 2026'!$X$18:$Z$338,3,FALSE)=0,"",VLOOKUP($A68,'BFR 2026'!$X$18:$Z$338,3,FALSE))</f>
        <v/>
      </c>
      <c r="D68" s="421" t="s">
        <v>502</v>
      </c>
      <c r="E68" s="326"/>
      <c r="F68" s="401" t="str">
        <f t="shared" si="0"/>
        <v>OK</v>
      </c>
    </row>
    <row r="69" spans="1:6" ht="75.75" customHeight="1" x14ac:dyDescent="0.35">
      <c r="A69" s="280" t="s">
        <v>1601</v>
      </c>
      <c r="B69" s="339">
        <v>800</v>
      </c>
      <c r="C69" s="421" t="str">
        <f>IF(VLOOKUP($A69,'BFR 2026'!$X$18:$Z$338,3,FALSE)=0,"",VLOOKUP($A69,'BFR 2026'!$X$18:$Z$338,3,FALSE))</f>
        <v/>
      </c>
      <c r="D69" s="421" t="s">
        <v>502</v>
      </c>
      <c r="E69" s="326"/>
      <c r="F69" s="401" t="str">
        <f t="shared" si="0"/>
        <v>OK</v>
      </c>
    </row>
    <row r="70" spans="1:6" ht="75.75" customHeight="1" x14ac:dyDescent="0.35">
      <c r="A70" s="280" t="s">
        <v>1602</v>
      </c>
      <c r="B70" s="339">
        <v>800</v>
      </c>
      <c r="C70" s="421" t="str">
        <f>IF(VLOOKUP($A70,'BFR 2026'!$X$18:$Z$338,3,FALSE)=0,"",VLOOKUP($A70,'BFR 2026'!$X$18:$Z$338,3,FALSE))</f>
        <v/>
      </c>
      <c r="D70" s="421" t="s">
        <v>502</v>
      </c>
      <c r="E70" s="326"/>
      <c r="F70" s="401" t="str">
        <f t="shared" si="0"/>
        <v>OK</v>
      </c>
    </row>
    <row r="71" spans="1:6" ht="75.75" customHeight="1" x14ac:dyDescent="0.35">
      <c r="A71" s="280" t="s">
        <v>1603</v>
      </c>
      <c r="B71" s="339">
        <v>800</v>
      </c>
      <c r="C71" s="421" t="str">
        <f>IF(VLOOKUP($A71,'BFR 2026'!$X$18:$Z$338,3,FALSE)=0,"",VLOOKUP($A71,'BFR 2026'!$X$18:$Z$338,3,FALSE))</f>
        <v/>
      </c>
      <c r="D71" s="421" t="s">
        <v>502</v>
      </c>
      <c r="E71" s="326"/>
      <c r="F71" s="401" t="str">
        <f t="shared" si="0"/>
        <v>OK</v>
      </c>
    </row>
    <row r="72" spans="1:6" ht="75.75" customHeight="1" x14ac:dyDescent="0.35">
      <c r="A72" s="280" t="s">
        <v>1604</v>
      </c>
      <c r="B72" s="339">
        <v>800</v>
      </c>
      <c r="C72" s="421" t="str">
        <f>IF(VLOOKUP($A72,'BFR 2026'!$X$18:$Z$338,3,FALSE)=0,"",VLOOKUP($A72,'BFR 2026'!$X$18:$Z$338,3,FALSE))</f>
        <v/>
      </c>
      <c r="D72" s="421" t="s">
        <v>502</v>
      </c>
      <c r="E72" s="326"/>
      <c r="F72" s="401" t="str">
        <f t="shared" si="0"/>
        <v>OK</v>
      </c>
    </row>
    <row r="73" spans="1:6" ht="75.75" customHeight="1" x14ac:dyDescent="0.35">
      <c r="A73" s="280" t="s">
        <v>1605</v>
      </c>
      <c r="B73" s="339">
        <v>800</v>
      </c>
      <c r="C73" s="421" t="str">
        <f>IF(VLOOKUP($A73,'BFR 2026'!$X$18:$Z$338,3,FALSE)=0,"",VLOOKUP($A73,'BFR 2026'!$X$18:$Z$338,3,FALSE))</f>
        <v/>
      </c>
      <c r="D73" s="421" t="s">
        <v>502</v>
      </c>
      <c r="E73" s="326"/>
      <c r="F73" s="401" t="str">
        <f t="shared" si="0"/>
        <v>OK</v>
      </c>
    </row>
    <row r="74" spans="1:6" ht="75.75" customHeight="1" x14ac:dyDescent="0.35">
      <c r="A74" s="280" t="s">
        <v>1606</v>
      </c>
      <c r="B74" s="339">
        <v>800</v>
      </c>
      <c r="C74" s="421" t="str">
        <f>IF(VLOOKUP($A74,'BFR 2026'!$X$18:$Z$338,3,FALSE)=0,"",VLOOKUP($A74,'BFR 2026'!$X$18:$Z$338,3,FALSE))</f>
        <v/>
      </c>
      <c r="D74" s="421" t="s">
        <v>502</v>
      </c>
      <c r="E74" s="326"/>
      <c r="F74" s="401" t="str">
        <f t="shared" si="0"/>
        <v>OK</v>
      </c>
    </row>
    <row r="75" spans="1:6" ht="75.75" customHeight="1" x14ac:dyDescent="0.35">
      <c r="A75" s="280" t="s">
        <v>1607</v>
      </c>
      <c r="B75" s="339">
        <v>800</v>
      </c>
      <c r="C75" s="421" t="str">
        <f>IF(VLOOKUP($A75,'BFR 2026'!$X$18:$Z$338,3,FALSE)=0,"",VLOOKUP($A75,'BFR 2026'!$X$18:$Z$338,3,FALSE))</f>
        <v/>
      </c>
      <c r="D75" s="421" t="s">
        <v>502</v>
      </c>
      <c r="E75" s="326"/>
      <c r="F75" s="401" t="str">
        <f t="shared" ref="F75:F142" si="1">IF(C75="","OK",IF(E75="","Response Outstanding","OK"))</f>
        <v>OK</v>
      </c>
    </row>
    <row r="76" spans="1:6" ht="75.75" customHeight="1" x14ac:dyDescent="0.35">
      <c r="A76" s="280" t="s">
        <v>1608</v>
      </c>
      <c r="B76" s="339">
        <v>800</v>
      </c>
      <c r="C76" s="421" t="str">
        <f>IF(VLOOKUP($A76,'BFR 2026'!$X$18:$Z$338,3,FALSE)=0,"",VLOOKUP($A76,'BFR 2026'!$X$18:$Z$338,3,FALSE))</f>
        <v/>
      </c>
      <c r="D76" s="421" t="s">
        <v>502</v>
      </c>
      <c r="E76" s="326"/>
      <c r="F76" s="401" t="str">
        <f t="shared" si="1"/>
        <v>OK</v>
      </c>
    </row>
    <row r="77" spans="1:6" ht="75.75" customHeight="1" x14ac:dyDescent="0.35">
      <c r="A77" s="280" t="s">
        <v>1609</v>
      </c>
      <c r="B77" s="339">
        <v>800</v>
      </c>
      <c r="C77" s="421" t="str">
        <f>IF(VLOOKUP($A77,'BFR 2026'!$X$18:$Z$338,3,FALSE)=0,"",VLOOKUP($A77,'BFR 2026'!$X$18:$Z$338,3,FALSE))</f>
        <v/>
      </c>
      <c r="D77" s="421" t="s">
        <v>502</v>
      </c>
      <c r="E77" s="326"/>
      <c r="F77" s="401" t="str">
        <f t="shared" si="1"/>
        <v>OK</v>
      </c>
    </row>
    <row r="78" spans="1:6" ht="75.75" customHeight="1" x14ac:dyDescent="0.35">
      <c r="A78" s="280" t="s">
        <v>1610</v>
      </c>
      <c r="B78" s="339">
        <v>800</v>
      </c>
      <c r="C78" s="421" t="str">
        <f>IF(VLOOKUP($A78,'BFR 2026'!$X$18:$Z$338,3,FALSE)=0,"",VLOOKUP($A78,'BFR 2026'!$X$18:$Z$338,3,FALSE))</f>
        <v/>
      </c>
      <c r="D78" s="421" t="s">
        <v>502</v>
      </c>
      <c r="E78" s="326"/>
      <c r="F78" s="401" t="str">
        <f t="shared" si="1"/>
        <v>OK</v>
      </c>
    </row>
    <row r="79" spans="1:6" ht="75.75" customHeight="1" x14ac:dyDescent="0.35">
      <c r="A79" s="280" t="s">
        <v>1611</v>
      </c>
      <c r="B79" s="339">
        <v>800</v>
      </c>
      <c r="C79" s="421" t="str">
        <f>IF(VLOOKUP($A79,'BFR 2026'!$X$18:$Z$338,3,FALSE)=0,"",VLOOKUP($A79,'BFR 2026'!$X$18:$Z$338,3,FALSE))</f>
        <v/>
      </c>
      <c r="D79" s="421" t="s">
        <v>502</v>
      </c>
      <c r="E79" s="326"/>
      <c r="F79" s="401" t="str">
        <f t="shared" si="1"/>
        <v>OK</v>
      </c>
    </row>
    <row r="80" spans="1:6" ht="75.75" customHeight="1" x14ac:dyDescent="0.35">
      <c r="A80" s="280" t="s">
        <v>1612</v>
      </c>
      <c r="B80" s="339">
        <v>800</v>
      </c>
      <c r="C80" s="421" t="str">
        <f>IF(VLOOKUP($A80,'BFR 2026'!$X$18:$Z$338,3,FALSE)=0,"",VLOOKUP($A80,'BFR 2026'!$X$18:$Z$338,3,FALSE))</f>
        <v/>
      </c>
      <c r="D80" s="421" t="s">
        <v>502</v>
      </c>
      <c r="E80" s="326"/>
      <c r="F80" s="401" t="str">
        <f t="shared" si="1"/>
        <v>OK</v>
      </c>
    </row>
    <row r="81" spans="1:6" ht="75.75" customHeight="1" x14ac:dyDescent="0.35">
      <c r="A81" s="280" t="s">
        <v>1613</v>
      </c>
      <c r="B81" s="339">
        <v>800</v>
      </c>
      <c r="C81" s="421" t="str">
        <f>IF(VLOOKUP($A81,'BFR 2026'!$X$18:$Z$338,3,FALSE)=0,"",VLOOKUP($A81,'BFR 2026'!$X$18:$Z$338,3,FALSE))</f>
        <v/>
      </c>
      <c r="D81" s="421" t="s">
        <v>502</v>
      </c>
      <c r="E81" s="326"/>
      <c r="F81" s="401" t="str">
        <f t="shared" si="1"/>
        <v>OK</v>
      </c>
    </row>
    <row r="82" spans="1:6" ht="75.75" customHeight="1" x14ac:dyDescent="0.35">
      <c r="A82" s="280" t="s">
        <v>1614</v>
      </c>
      <c r="B82" s="339">
        <v>800</v>
      </c>
      <c r="C82" s="421" t="str">
        <f>IF(VLOOKUP($A82,'BFR 2026'!$X$18:$Z$338,3,FALSE)=0,"",VLOOKUP($A82,'BFR 2026'!$X$18:$Z$338,3,FALSE))</f>
        <v/>
      </c>
      <c r="D82" s="421" t="s">
        <v>502</v>
      </c>
      <c r="E82" s="326"/>
      <c r="F82" s="401" t="str">
        <f t="shared" si="1"/>
        <v>OK</v>
      </c>
    </row>
    <row r="83" spans="1:6" ht="75.75" customHeight="1" x14ac:dyDescent="0.35">
      <c r="A83" s="280" t="s">
        <v>1615</v>
      </c>
      <c r="B83" s="339">
        <v>800</v>
      </c>
      <c r="C83" s="421" t="str">
        <f>IF(VLOOKUP($A83,'BFR 2026'!$X$18:$Z$338,3,FALSE)=0,"",VLOOKUP($A83,'BFR 2026'!$X$18:$Z$338,3,FALSE))</f>
        <v/>
      </c>
      <c r="D83" s="421" t="s">
        <v>502</v>
      </c>
      <c r="E83" s="326"/>
      <c r="F83" s="401" t="str">
        <f t="shared" si="1"/>
        <v>OK</v>
      </c>
    </row>
    <row r="84" spans="1:6" ht="75.75" customHeight="1" x14ac:dyDescent="0.35">
      <c r="A84" s="280" t="s">
        <v>1616</v>
      </c>
      <c r="B84" s="339">
        <v>800</v>
      </c>
      <c r="C84" s="421" t="str">
        <f>IF(VLOOKUP($A84,'BFR 2026'!$X$18:$Z$338,3,FALSE)=0,"",VLOOKUP($A84,'BFR 2026'!$X$18:$Z$338,3,FALSE))</f>
        <v/>
      </c>
      <c r="D84" s="421" t="s">
        <v>502</v>
      </c>
      <c r="E84" s="326"/>
      <c r="F84" s="401" t="str">
        <f t="shared" si="1"/>
        <v>OK</v>
      </c>
    </row>
    <row r="85" spans="1:6" ht="75.75" customHeight="1" x14ac:dyDescent="0.35">
      <c r="A85" s="280" t="s">
        <v>1617</v>
      </c>
      <c r="B85" s="339">
        <v>800</v>
      </c>
      <c r="C85" s="421" t="str">
        <f>IF(VLOOKUP($A85,'BFR 2026'!$X$18:$Z$338,3,FALSE)=0,"",VLOOKUP($A85,'BFR 2026'!$X$18:$Z$338,3,FALSE))</f>
        <v/>
      </c>
      <c r="D85" s="421" t="s">
        <v>502</v>
      </c>
      <c r="E85" s="326"/>
      <c r="F85" s="401" t="str">
        <f t="shared" si="1"/>
        <v>OK</v>
      </c>
    </row>
    <row r="86" spans="1:6" ht="75.75" customHeight="1" x14ac:dyDescent="0.35">
      <c r="A86" s="280" t="s">
        <v>1618</v>
      </c>
      <c r="B86" s="339">
        <v>800</v>
      </c>
      <c r="C86" s="421" t="str">
        <f>IF(VLOOKUP($A86,'BFR 2026'!$X$18:$Z$338,3,FALSE)=0,"",VLOOKUP($A86,'BFR 2026'!$X$18:$Z$338,3,FALSE))</f>
        <v/>
      </c>
      <c r="D86" s="421" t="s">
        <v>502</v>
      </c>
      <c r="E86" s="326"/>
      <c r="F86" s="401" t="str">
        <f t="shared" si="1"/>
        <v>OK</v>
      </c>
    </row>
    <row r="87" spans="1:6" ht="75.75" customHeight="1" x14ac:dyDescent="0.35">
      <c r="A87" s="280" t="s">
        <v>1619</v>
      </c>
      <c r="B87" s="339">
        <v>800</v>
      </c>
      <c r="C87" s="421" t="str">
        <f>IF(VLOOKUP($A87,'BFR 2026'!$X$18:$Z$338,3,FALSE)=0,"",VLOOKUP($A87,'BFR 2026'!$X$18:$Z$338,3,FALSE))</f>
        <v/>
      </c>
      <c r="D87" s="421" t="s">
        <v>502</v>
      </c>
      <c r="E87" s="326"/>
      <c r="F87" s="401" t="str">
        <f t="shared" si="1"/>
        <v>OK</v>
      </c>
    </row>
    <row r="88" spans="1:6" ht="75.75" customHeight="1" x14ac:dyDescent="0.35">
      <c r="A88" s="280" t="s">
        <v>1620</v>
      </c>
      <c r="B88" s="339">
        <v>800</v>
      </c>
      <c r="C88" s="421" t="str">
        <f>IF(VLOOKUP($A88,'BFR 2026'!$X$18:$Z$338,3,FALSE)=0,"",VLOOKUP($A88,'BFR 2026'!$X$18:$Z$338,3,FALSE))</f>
        <v/>
      </c>
      <c r="D88" s="421" t="s">
        <v>502</v>
      </c>
      <c r="E88" s="326"/>
      <c r="F88" s="401" t="str">
        <f t="shared" si="1"/>
        <v>OK</v>
      </c>
    </row>
    <row r="89" spans="1:6" ht="75.75" customHeight="1" x14ac:dyDescent="0.35">
      <c r="A89" s="280" t="s">
        <v>1621</v>
      </c>
      <c r="B89" s="339">
        <v>800</v>
      </c>
      <c r="C89" s="421" t="str">
        <f>IF(VLOOKUP($A89,'BFR 2026'!$X$18:$Z$338,3,FALSE)=0,"",VLOOKUP($A89,'BFR 2026'!$X$18:$Z$338,3,FALSE))</f>
        <v/>
      </c>
      <c r="D89" s="421" t="s">
        <v>502</v>
      </c>
      <c r="E89" s="326"/>
      <c r="F89" s="401" t="str">
        <f t="shared" si="1"/>
        <v>OK</v>
      </c>
    </row>
    <row r="90" spans="1:6" ht="75.75" customHeight="1" x14ac:dyDescent="0.35">
      <c r="A90" s="280" t="s">
        <v>1622</v>
      </c>
      <c r="B90" s="339">
        <v>800</v>
      </c>
      <c r="C90" s="421" t="str">
        <f>IF(VLOOKUP($A90,'BFR 2026'!$X$18:$Z$338,3,FALSE)=0,"",VLOOKUP($A90,'BFR 2026'!$X$18:$Z$338,3,FALSE))</f>
        <v/>
      </c>
      <c r="D90" s="421" t="s">
        <v>502</v>
      </c>
      <c r="E90" s="326"/>
      <c r="F90" s="401" t="str">
        <f t="shared" si="1"/>
        <v>OK</v>
      </c>
    </row>
    <row r="91" spans="1:6" ht="75.75" customHeight="1" x14ac:dyDescent="0.35">
      <c r="A91" s="280" t="s">
        <v>1623</v>
      </c>
      <c r="B91" s="339">
        <v>800</v>
      </c>
      <c r="C91" s="421" t="str">
        <f>IF(VLOOKUP($A91,'BFR 2026'!$X$18:$Z$338,3,FALSE)=0,"",VLOOKUP($A91,'BFR 2026'!$X$18:$Z$338,3,FALSE))</f>
        <v/>
      </c>
      <c r="D91" s="421" t="s">
        <v>502</v>
      </c>
      <c r="E91" s="326"/>
      <c r="F91" s="401" t="str">
        <f t="shared" si="1"/>
        <v>OK</v>
      </c>
    </row>
    <row r="92" spans="1:6" ht="75.75" customHeight="1" x14ac:dyDescent="0.35">
      <c r="A92" s="280" t="s">
        <v>1624</v>
      </c>
      <c r="B92" s="339">
        <v>800</v>
      </c>
      <c r="C92" s="421" t="str">
        <f>IF(VLOOKUP($A92,'BFR 2026'!$X$18:$Z$338,3,FALSE)=0,"",VLOOKUP($A92,'BFR 2026'!$X$18:$Z$338,3,FALSE))</f>
        <v/>
      </c>
      <c r="D92" s="421" t="s">
        <v>502</v>
      </c>
      <c r="E92" s="326"/>
      <c r="F92" s="401" t="str">
        <f t="shared" si="1"/>
        <v>OK</v>
      </c>
    </row>
    <row r="93" spans="1:6" ht="75.75" customHeight="1" x14ac:dyDescent="0.35">
      <c r="A93" s="280" t="s">
        <v>1625</v>
      </c>
      <c r="B93" s="339">
        <v>800</v>
      </c>
      <c r="C93" s="421" t="str">
        <f>IF(VLOOKUP($A93,'BFR 2026'!$X$18:$Z$338,3,FALSE)=0,"",VLOOKUP($A93,'BFR 2026'!$X$18:$Z$338,3,FALSE))</f>
        <v/>
      </c>
      <c r="D93" s="421" t="s">
        <v>502</v>
      </c>
      <c r="E93" s="326"/>
      <c r="F93" s="401" t="str">
        <f t="shared" si="1"/>
        <v>OK</v>
      </c>
    </row>
    <row r="94" spans="1:6" ht="75.75" customHeight="1" x14ac:dyDescent="0.35">
      <c r="A94" s="280" t="s">
        <v>1626</v>
      </c>
      <c r="B94" s="339">
        <v>800</v>
      </c>
      <c r="C94" s="421" t="str">
        <f>IF(VLOOKUP($A94,'BFR 2026'!$X$18:$Z$338,3,FALSE)=0,"",VLOOKUP($A94,'BFR 2026'!$X$18:$Z$338,3,FALSE))</f>
        <v/>
      </c>
      <c r="D94" s="421" t="s">
        <v>502</v>
      </c>
      <c r="E94" s="326"/>
      <c r="F94" s="401" t="str">
        <f t="shared" si="1"/>
        <v>OK</v>
      </c>
    </row>
    <row r="95" spans="1:6" ht="75.75" customHeight="1" x14ac:dyDescent="0.35">
      <c r="A95" s="280" t="s">
        <v>1627</v>
      </c>
      <c r="B95" s="339">
        <v>800</v>
      </c>
      <c r="C95" s="421" t="str">
        <f>IF(VLOOKUP($A95,'BFR 2026'!$X$18:$Z$338,3,FALSE)=0,"",VLOOKUP($A95,'BFR 2026'!$X$18:$Z$338,3,FALSE))</f>
        <v/>
      </c>
      <c r="D95" s="421" t="s">
        <v>502</v>
      </c>
      <c r="E95" s="326"/>
      <c r="F95" s="401" t="str">
        <f t="shared" si="1"/>
        <v>OK</v>
      </c>
    </row>
    <row r="96" spans="1:6" ht="75.75" customHeight="1" x14ac:dyDescent="0.35">
      <c r="A96" s="280" t="s">
        <v>1628</v>
      </c>
      <c r="B96" s="339">
        <v>800</v>
      </c>
      <c r="C96" s="421" t="str">
        <f>IF(VLOOKUP($A96,'BFR 2026'!$X$18:$Z$338,3,FALSE)=0,"",VLOOKUP($A96,'BFR 2026'!$X$18:$Z$338,3,FALSE))</f>
        <v/>
      </c>
      <c r="D96" s="421" t="s">
        <v>502</v>
      </c>
      <c r="E96" s="326"/>
      <c r="F96" s="401" t="str">
        <f t="shared" si="1"/>
        <v>OK</v>
      </c>
    </row>
    <row r="97" spans="1:6" ht="75.75" customHeight="1" x14ac:dyDescent="0.35">
      <c r="A97" s="280" t="s">
        <v>1629</v>
      </c>
      <c r="B97" s="339">
        <v>800</v>
      </c>
      <c r="C97" s="421" t="str">
        <f>IF(VLOOKUP($A97,'BFR 2026'!$X$18:$Z$338,3,FALSE)=0,"",VLOOKUP($A97,'BFR 2026'!$X$18:$Z$338,3,FALSE))</f>
        <v/>
      </c>
      <c r="D97" s="421" t="s">
        <v>502</v>
      </c>
      <c r="E97" s="326"/>
      <c r="F97" s="401" t="str">
        <f t="shared" si="1"/>
        <v>OK</v>
      </c>
    </row>
    <row r="98" spans="1:6" ht="75.75" customHeight="1" x14ac:dyDescent="0.35">
      <c r="A98" s="280" t="s">
        <v>1630</v>
      </c>
      <c r="B98" s="339">
        <v>800</v>
      </c>
      <c r="C98" s="421" t="str">
        <f>IF(VLOOKUP($A98,'BFR 2026'!$X$18:$Z$338,3,FALSE)=0,"",VLOOKUP($A98,'BFR 2026'!$X$18:$Z$338,3,FALSE))</f>
        <v/>
      </c>
      <c r="D98" s="421" t="s">
        <v>502</v>
      </c>
      <c r="E98" s="326"/>
      <c r="F98" s="401" t="str">
        <f t="shared" si="1"/>
        <v>OK</v>
      </c>
    </row>
    <row r="99" spans="1:6" ht="75.75" customHeight="1" x14ac:dyDescent="0.35">
      <c r="A99" s="280" t="s">
        <v>1631</v>
      </c>
      <c r="B99" s="339">
        <v>800</v>
      </c>
      <c r="C99" s="421" t="str">
        <f>IF(VLOOKUP($A99,'BFR 2026'!$X$18:$Z$338,3,FALSE)=0,"",VLOOKUP($A99,'BFR 2026'!$X$18:$Z$338,3,FALSE))</f>
        <v/>
      </c>
      <c r="D99" s="421" t="s">
        <v>502</v>
      </c>
      <c r="E99" s="326"/>
      <c r="F99" s="401" t="str">
        <f t="shared" si="1"/>
        <v>OK</v>
      </c>
    </row>
    <row r="100" spans="1:6" ht="75.75" customHeight="1" x14ac:dyDescent="0.35">
      <c r="A100" s="280" t="s">
        <v>1632</v>
      </c>
      <c r="B100" s="339">
        <v>800</v>
      </c>
      <c r="C100" s="421" t="str">
        <f>IF(VLOOKUP($A100,'BFR 2026'!$X$18:$Z$338,3,FALSE)=0,"",VLOOKUP($A100,'BFR 2026'!$X$18:$Z$338,3,FALSE))</f>
        <v/>
      </c>
      <c r="D100" s="421" t="s">
        <v>502</v>
      </c>
      <c r="E100" s="326"/>
      <c r="F100" s="401" t="str">
        <f t="shared" si="1"/>
        <v>OK</v>
      </c>
    </row>
    <row r="101" spans="1:6" ht="75.75" customHeight="1" x14ac:dyDescent="0.35">
      <c r="A101" s="280" t="s">
        <v>1633</v>
      </c>
      <c r="B101" s="339">
        <v>800</v>
      </c>
      <c r="C101" s="421" t="str">
        <f>IF(VLOOKUP($A101,'BFR 2026'!$X$18:$Z$338,3,FALSE)=0,"",VLOOKUP($A101,'BFR 2026'!$X$18:$Z$338,3,FALSE))</f>
        <v/>
      </c>
      <c r="D101" s="421" t="s">
        <v>502</v>
      </c>
      <c r="E101" s="326"/>
      <c r="F101" s="401" t="str">
        <f t="shared" si="1"/>
        <v>OK</v>
      </c>
    </row>
    <row r="102" spans="1:6" ht="75.75" customHeight="1" x14ac:dyDescent="0.35">
      <c r="A102" s="280" t="s">
        <v>1634</v>
      </c>
      <c r="B102" s="339">
        <v>800</v>
      </c>
      <c r="C102" s="421" t="str">
        <f>IF(VLOOKUP($A102,'BFR 2026'!$X$18:$Z$338,3,FALSE)=0,"",VLOOKUP($A102,'BFR 2026'!$X$18:$Z$338,3,FALSE))</f>
        <v/>
      </c>
      <c r="D102" s="421" t="s">
        <v>502</v>
      </c>
      <c r="E102" s="326"/>
      <c r="F102" s="401" t="str">
        <f t="shared" si="1"/>
        <v>OK</v>
      </c>
    </row>
    <row r="103" spans="1:6" ht="254.15" customHeight="1" x14ac:dyDescent="0.35">
      <c r="A103" s="280" t="s">
        <v>185</v>
      </c>
      <c r="B103" s="339" t="s">
        <v>503</v>
      </c>
      <c r="C103" s="421" t="str">
        <f>IF(VLOOKUP($A103,'BFR 2026'!$X$11:$Z$338,3,FALSE)=0,"",VLOOKUP($A103,'BFR 2026'!$X$11:$Z$338,3,FALSE))</f>
        <v/>
      </c>
      <c r="D103" s="421" t="s">
        <v>504</v>
      </c>
      <c r="E103" s="326"/>
      <c r="F103" s="401" t="str">
        <f t="shared" si="1"/>
        <v>OK</v>
      </c>
    </row>
    <row r="104" spans="1:6" ht="75.75" customHeight="1" x14ac:dyDescent="0.35">
      <c r="A104" s="280" t="s">
        <v>1635</v>
      </c>
      <c r="B104" s="339">
        <v>800</v>
      </c>
      <c r="C104" s="421" t="str">
        <f>IF(VLOOKUP($A104,'BFR 2026'!$X$18:$Z$338,3,FALSE)=0,"",VLOOKUP($A104,'BFR 2026'!$X$18:$Z$338,3,FALSE))</f>
        <v/>
      </c>
      <c r="D104" s="421" t="s">
        <v>502</v>
      </c>
      <c r="E104" s="326"/>
      <c r="F104" s="401" t="str">
        <f>IF(C104="","OK",IF(E104="","Response Outstanding","OK"))</f>
        <v>OK</v>
      </c>
    </row>
    <row r="105" spans="1:6" ht="75.75" customHeight="1" x14ac:dyDescent="0.35">
      <c r="A105" s="280" t="s">
        <v>1636</v>
      </c>
      <c r="B105" s="339">
        <v>800</v>
      </c>
      <c r="C105" s="421" t="str">
        <f>IF(VLOOKUP($A105,'BFR 2026'!$X$18:$Z$338,3,FALSE)=0,"",VLOOKUP($A105,'BFR 2026'!$X$18:$Z$338,3,FALSE))</f>
        <v/>
      </c>
      <c r="D105" s="421" t="s">
        <v>502</v>
      </c>
      <c r="E105" s="326"/>
      <c r="F105" s="401" t="str">
        <f t="shared" si="1"/>
        <v>OK</v>
      </c>
    </row>
    <row r="106" spans="1:6" ht="75.75" customHeight="1" x14ac:dyDescent="0.35">
      <c r="A106" s="280" t="s">
        <v>1637</v>
      </c>
      <c r="B106" s="339">
        <v>800</v>
      </c>
      <c r="C106" s="421" t="str">
        <f>IF(VLOOKUP($A106,'BFR 2026'!$X$18:$Z$338,3,FALSE)=0,"",VLOOKUP($A106,'BFR 2026'!$X$18:$Z$338,3,FALSE))</f>
        <v/>
      </c>
      <c r="D106" s="421" t="s">
        <v>502</v>
      </c>
      <c r="E106" s="326"/>
      <c r="F106" s="401" t="str">
        <f t="shared" si="1"/>
        <v>OK</v>
      </c>
    </row>
    <row r="107" spans="1:6" ht="75.75" customHeight="1" x14ac:dyDescent="0.35">
      <c r="A107" s="280" t="s">
        <v>1638</v>
      </c>
      <c r="B107" s="339">
        <v>800</v>
      </c>
      <c r="C107" s="421" t="str">
        <f>IF(VLOOKUP($A107,'BFR 2026'!$X$18:$Z$338,3,FALSE)=0,"",VLOOKUP($A107,'BFR 2026'!$X$18:$Z$338,3,FALSE))</f>
        <v/>
      </c>
      <c r="D107" s="421" t="s">
        <v>502</v>
      </c>
      <c r="E107" s="326"/>
      <c r="F107" s="401" t="str">
        <f t="shared" si="1"/>
        <v>OK</v>
      </c>
    </row>
    <row r="108" spans="1:6" ht="75.75" customHeight="1" x14ac:dyDescent="0.35">
      <c r="A108" s="280" t="s">
        <v>1639</v>
      </c>
      <c r="B108" s="339">
        <v>800</v>
      </c>
      <c r="C108" s="421" t="str">
        <f>IF(VLOOKUP($A108,'BFR 2026'!$X$18:$Z$338,3,FALSE)=0,"",VLOOKUP($A108,'BFR 2026'!$X$18:$Z$338,3,FALSE))</f>
        <v/>
      </c>
      <c r="D108" s="421" t="s">
        <v>502</v>
      </c>
      <c r="E108" s="326"/>
      <c r="F108" s="401" t="str">
        <f t="shared" si="1"/>
        <v>OK</v>
      </c>
    </row>
    <row r="109" spans="1:6" ht="75.75" customHeight="1" x14ac:dyDescent="0.35">
      <c r="A109" s="280" t="s">
        <v>1640</v>
      </c>
      <c r="B109" s="339">
        <v>800</v>
      </c>
      <c r="C109" s="421" t="str">
        <f>IF(VLOOKUP($A109,'BFR 2026'!$X$18:$Z$338,3,FALSE)=0,"",VLOOKUP($A109,'BFR 2026'!$X$18:$Z$338,3,FALSE))</f>
        <v/>
      </c>
      <c r="D109" s="421" t="s">
        <v>502</v>
      </c>
      <c r="E109" s="326"/>
      <c r="F109" s="401" t="str">
        <f t="shared" si="1"/>
        <v>OK</v>
      </c>
    </row>
    <row r="110" spans="1:6" ht="75.75" customHeight="1" x14ac:dyDescent="0.35">
      <c r="A110" s="280" t="s">
        <v>1641</v>
      </c>
      <c r="B110" s="339">
        <v>800</v>
      </c>
      <c r="C110" s="421" t="str">
        <f>IF(VLOOKUP($A110,'BFR 2026'!$X$18:$Z$338,3,FALSE)=0,"",VLOOKUP($A110,'BFR 2026'!$X$18:$Z$338,3,FALSE))</f>
        <v/>
      </c>
      <c r="D110" s="421" t="s">
        <v>502</v>
      </c>
      <c r="E110" s="326"/>
      <c r="F110" s="401" t="str">
        <f t="shared" si="1"/>
        <v>OK</v>
      </c>
    </row>
    <row r="111" spans="1:6" ht="75.75" customHeight="1" x14ac:dyDescent="0.35">
      <c r="A111" s="280" t="s">
        <v>1642</v>
      </c>
      <c r="B111" s="339">
        <v>800</v>
      </c>
      <c r="C111" s="421" t="str">
        <f>IF(VLOOKUP($A111,'BFR 2026'!$X$18:$Z$338,3,FALSE)=0,"",VLOOKUP($A111,'BFR 2026'!$X$18:$Z$338,3,FALSE))</f>
        <v/>
      </c>
      <c r="D111" s="421" t="s">
        <v>502</v>
      </c>
      <c r="E111" s="326"/>
      <c r="F111" s="401" t="str">
        <f t="shared" si="1"/>
        <v>OK</v>
      </c>
    </row>
    <row r="112" spans="1:6" ht="75.75" customHeight="1" x14ac:dyDescent="0.35">
      <c r="A112" s="280" t="s">
        <v>1643</v>
      </c>
      <c r="B112" s="339">
        <v>800</v>
      </c>
      <c r="C112" s="421" t="str">
        <f>IF(VLOOKUP($A112,'BFR 2026'!$X$18:$Z$338,3,FALSE)=0,"",VLOOKUP($A112,'BFR 2026'!$X$18:$Z$338,3,FALSE))</f>
        <v/>
      </c>
      <c r="D112" s="421" t="s">
        <v>502</v>
      </c>
      <c r="E112" s="326"/>
      <c r="F112" s="401" t="str">
        <f t="shared" si="1"/>
        <v>OK</v>
      </c>
    </row>
    <row r="113" spans="1:6" ht="75.75" customHeight="1" x14ac:dyDescent="0.35">
      <c r="A113" s="280" t="s">
        <v>1644</v>
      </c>
      <c r="B113" s="339">
        <v>800</v>
      </c>
      <c r="C113" s="421" t="str">
        <f>IF(VLOOKUP($A113,'BFR 2026'!$X$18:$Z$338,3,FALSE)=0,"",VLOOKUP($A113,'BFR 2026'!$X$18:$Z$338,3,FALSE))</f>
        <v/>
      </c>
      <c r="D113" s="421" t="s">
        <v>502</v>
      </c>
      <c r="E113" s="326"/>
      <c r="F113" s="401" t="str">
        <f t="shared" si="1"/>
        <v>OK</v>
      </c>
    </row>
    <row r="114" spans="1:6" ht="75.75" customHeight="1" x14ac:dyDescent="0.35">
      <c r="A114" s="280" t="s">
        <v>1645</v>
      </c>
      <c r="B114" s="339">
        <v>800</v>
      </c>
      <c r="C114" s="421" t="str">
        <f>IF(VLOOKUP($A114,'BFR 2026'!$X$18:$Z$338,3,FALSE)=0,"",VLOOKUP($A114,'BFR 2026'!$X$18:$Z$338,3,FALSE))</f>
        <v/>
      </c>
      <c r="D114" s="421" t="s">
        <v>502</v>
      </c>
      <c r="E114" s="326"/>
      <c r="F114" s="401" t="str">
        <f t="shared" si="1"/>
        <v>OK</v>
      </c>
    </row>
    <row r="115" spans="1:6" ht="75.75" customHeight="1" x14ac:dyDescent="0.35">
      <c r="A115" s="280" t="s">
        <v>1646</v>
      </c>
      <c r="B115" s="339">
        <v>800</v>
      </c>
      <c r="C115" s="421" t="str">
        <f>IF(VLOOKUP($A115,'BFR 2026'!$X$18:$Z$338,3,FALSE)=0,"",VLOOKUP($A115,'BFR 2026'!$X$18:$Z$338,3,FALSE))</f>
        <v/>
      </c>
      <c r="D115" s="421" t="s">
        <v>502</v>
      </c>
      <c r="E115" s="326"/>
      <c r="F115" s="401" t="str">
        <f t="shared" si="1"/>
        <v>OK</v>
      </c>
    </row>
    <row r="116" spans="1:6" ht="75.75" customHeight="1" x14ac:dyDescent="0.35">
      <c r="A116" s="280" t="s">
        <v>1647</v>
      </c>
      <c r="B116" s="339">
        <v>800</v>
      </c>
      <c r="C116" s="421" t="str">
        <f>IF(VLOOKUP($A116,'BFR 2026'!$X$18:$Z$338,3,FALSE)=0,"",VLOOKUP($A116,'BFR 2026'!$X$18:$Z$338,3,FALSE))</f>
        <v/>
      </c>
      <c r="D116" s="421" t="s">
        <v>502</v>
      </c>
      <c r="E116" s="326"/>
      <c r="F116" s="401" t="str">
        <f t="shared" si="1"/>
        <v>OK</v>
      </c>
    </row>
    <row r="117" spans="1:6" ht="75.75" customHeight="1" x14ac:dyDescent="0.35">
      <c r="A117" s="280" t="s">
        <v>1648</v>
      </c>
      <c r="B117" s="339">
        <v>800</v>
      </c>
      <c r="C117" s="421" t="str">
        <f>IF(VLOOKUP($A117,'BFR 2026'!$X$18:$Z$338,3,FALSE)=0,"",VLOOKUP($A117,'BFR 2026'!$X$18:$Z$338,3,FALSE))</f>
        <v/>
      </c>
      <c r="D117" s="421" t="s">
        <v>502</v>
      </c>
      <c r="E117" s="326"/>
      <c r="F117" s="401" t="str">
        <f t="shared" si="1"/>
        <v>OK</v>
      </c>
    </row>
    <row r="118" spans="1:6" ht="75.75" customHeight="1" x14ac:dyDescent="0.35">
      <c r="A118" s="280" t="s">
        <v>1649</v>
      </c>
      <c r="B118" s="339">
        <v>800</v>
      </c>
      <c r="C118" s="421" t="str">
        <f>IF(VLOOKUP($A118,'BFR 2026'!$X$18:$Z$338,3,FALSE)=0,"",VLOOKUP($A118,'BFR 2026'!$X$18:$Z$338,3,FALSE))</f>
        <v/>
      </c>
      <c r="D118" s="421" t="s">
        <v>502</v>
      </c>
      <c r="E118" s="326"/>
      <c r="F118" s="401" t="str">
        <f t="shared" si="1"/>
        <v>OK</v>
      </c>
    </row>
    <row r="119" spans="1:6" ht="75.75" customHeight="1" x14ac:dyDescent="0.35">
      <c r="A119" s="280" t="s">
        <v>1650</v>
      </c>
      <c r="B119" s="339">
        <v>800</v>
      </c>
      <c r="C119" s="421" t="str">
        <f>IF(VLOOKUP($A119,'BFR 2026'!$X$18:$Z$338,3,FALSE)=0,"",VLOOKUP($A119,'BFR 2026'!$X$18:$Z$338,3,FALSE))</f>
        <v/>
      </c>
      <c r="D119" s="421" t="s">
        <v>502</v>
      </c>
      <c r="E119" s="326"/>
      <c r="F119" s="401" t="str">
        <f t="shared" si="1"/>
        <v>OK</v>
      </c>
    </row>
    <row r="120" spans="1:6" ht="75.75" customHeight="1" x14ac:dyDescent="0.35">
      <c r="A120" s="280" t="s">
        <v>1651</v>
      </c>
      <c r="B120" s="339">
        <v>800</v>
      </c>
      <c r="C120" s="421" t="str">
        <f>IF(VLOOKUP($A120,'BFR 2026'!$X$18:$Z$338,3,FALSE)=0,"",VLOOKUP($A120,'BFR 2026'!$X$18:$Z$338,3,FALSE))</f>
        <v/>
      </c>
      <c r="D120" s="421" t="s">
        <v>502</v>
      </c>
      <c r="E120" s="326"/>
      <c r="F120" s="401" t="str">
        <f t="shared" si="1"/>
        <v>OK</v>
      </c>
    </row>
    <row r="121" spans="1:6" ht="75.75" customHeight="1" x14ac:dyDescent="0.35">
      <c r="A121" s="280" t="s">
        <v>1652</v>
      </c>
      <c r="B121" s="339">
        <v>800</v>
      </c>
      <c r="C121" s="421" t="str">
        <f>IF(VLOOKUP($A121,'BFR 2026'!$X$18:$Z$338,3,FALSE)=0,"",VLOOKUP($A121,'BFR 2026'!$X$18:$Z$338,3,FALSE))</f>
        <v/>
      </c>
      <c r="D121" s="421" t="s">
        <v>502</v>
      </c>
      <c r="E121" s="326"/>
      <c r="F121" s="401" t="str">
        <f t="shared" si="1"/>
        <v>OK</v>
      </c>
    </row>
    <row r="122" spans="1:6" ht="75.75" customHeight="1" x14ac:dyDescent="0.35">
      <c r="A122" s="280" t="s">
        <v>1653</v>
      </c>
      <c r="B122" s="339">
        <v>800</v>
      </c>
      <c r="C122" s="421" t="str">
        <f>IF(VLOOKUP($A122,'BFR 2026'!$X$18:$Z$338,3,FALSE)=0,"",VLOOKUP($A122,'BFR 2026'!$X$18:$Z$338,3,FALSE))</f>
        <v/>
      </c>
      <c r="D122" s="421" t="s">
        <v>502</v>
      </c>
      <c r="E122" s="326"/>
      <c r="F122" s="401" t="str">
        <f t="shared" si="1"/>
        <v>OK</v>
      </c>
    </row>
    <row r="123" spans="1:6" ht="75.75" customHeight="1" x14ac:dyDescent="0.35">
      <c r="A123" s="280" t="s">
        <v>1654</v>
      </c>
      <c r="B123" s="339">
        <v>800</v>
      </c>
      <c r="C123" s="421" t="str">
        <f>IF(VLOOKUP($A123,'BFR 2026'!$X$18:$Z$338,3,FALSE)=0,"",VLOOKUP($A123,'BFR 2026'!$X$18:$Z$338,3,FALSE))</f>
        <v/>
      </c>
      <c r="D123" s="421" t="s">
        <v>502</v>
      </c>
      <c r="E123" s="326"/>
      <c r="F123" s="401" t="str">
        <f t="shared" si="1"/>
        <v>OK</v>
      </c>
    </row>
    <row r="124" spans="1:6" ht="75.75" customHeight="1" x14ac:dyDescent="0.35">
      <c r="A124" s="280" t="s">
        <v>1655</v>
      </c>
      <c r="B124" s="339">
        <v>800</v>
      </c>
      <c r="C124" s="421" t="str">
        <f>IF(VLOOKUP($A124,'BFR 2026'!$X$18:$Z$338,3,FALSE)=0,"",VLOOKUP($A124,'BFR 2026'!$X$18:$Z$338,3,FALSE))</f>
        <v/>
      </c>
      <c r="D124" s="421" t="s">
        <v>502</v>
      </c>
      <c r="E124" s="326"/>
      <c r="F124" s="401" t="str">
        <f t="shared" si="1"/>
        <v>OK</v>
      </c>
    </row>
    <row r="125" spans="1:6" ht="54" customHeight="1" x14ac:dyDescent="0.35">
      <c r="A125" s="421" t="s">
        <v>210</v>
      </c>
      <c r="B125" s="656" t="s">
        <v>1729</v>
      </c>
      <c r="C125" s="421" t="s">
        <v>1704</v>
      </c>
      <c r="D125" s="421" t="s">
        <v>1729</v>
      </c>
      <c r="E125" s="421" t="s">
        <v>1729</v>
      </c>
      <c r="F125" s="401" t="s">
        <v>1705</v>
      </c>
    </row>
    <row r="126" spans="1:6" ht="75.75" customHeight="1" x14ac:dyDescent="0.35">
      <c r="A126" s="280" t="s">
        <v>323</v>
      </c>
      <c r="B126" s="339">
        <v>1001</v>
      </c>
      <c r="C126" s="421" t="str">
        <f>IF(VLOOKUP($A126,'BFR 2026'!$X$18:$Z$338,3,FALSE)=0,"",VLOOKUP($A126,'BFR 2026'!$X$18:$Z$338,3,FALSE))</f>
        <v/>
      </c>
      <c r="D126" s="421" t="s">
        <v>505</v>
      </c>
      <c r="E126" s="326"/>
      <c r="F126" s="401" t="str">
        <f t="shared" si="1"/>
        <v>OK</v>
      </c>
    </row>
    <row r="127" spans="1:6" ht="75.75" customHeight="1" x14ac:dyDescent="0.35">
      <c r="A127" s="280" t="s">
        <v>329</v>
      </c>
      <c r="B127" s="339">
        <v>1000</v>
      </c>
      <c r="C127" s="421" t="str">
        <f>IF(VLOOKUP($A127,'BFR 2026'!$X$18:$Z$338,3,FALSE)=0,"",VLOOKUP($A127,'BFR 2026'!$X$18:$Z$338,3,FALSE))</f>
        <v/>
      </c>
      <c r="D127" s="421" t="s">
        <v>506</v>
      </c>
      <c r="E127" s="326"/>
      <c r="F127" s="401" t="str">
        <f t="shared" si="1"/>
        <v>OK</v>
      </c>
    </row>
    <row r="128" spans="1:6" ht="75.75" customHeight="1" x14ac:dyDescent="0.35">
      <c r="A128" s="280" t="s">
        <v>326</v>
      </c>
      <c r="B128" s="339">
        <v>1002</v>
      </c>
      <c r="C128" s="421" t="str">
        <f>IF(VLOOKUP($A128,'BFR 2026'!$X$18:$Z$338,3,FALSE)=0,"",VLOOKUP($A128,'BFR 2026'!$X$18:$Z$338,3,FALSE))</f>
        <v/>
      </c>
      <c r="D128" s="421" t="s">
        <v>507</v>
      </c>
      <c r="E128" s="326"/>
      <c r="F128" s="401" t="str">
        <f t="shared" si="1"/>
        <v>OK</v>
      </c>
    </row>
    <row r="129" spans="1:6" ht="75.75" customHeight="1" x14ac:dyDescent="0.35">
      <c r="A129" s="280" t="s">
        <v>345</v>
      </c>
      <c r="B129" s="339" t="s">
        <v>508</v>
      </c>
      <c r="C129" s="421" t="str">
        <f>IF(VLOOKUP($A129,'BFR 2026'!$X$18:$Z$338,3,FALSE)=0,"",VLOOKUP($A129,'BFR 2026'!$X$18:$Z$338,3,FALSE))</f>
        <v/>
      </c>
      <c r="D129" s="421" t="s">
        <v>509</v>
      </c>
      <c r="E129" s="326"/>
      <c r="F129" s="401" t="str">
        <f t="shared" si="1"/>
        <v>OK</v>
      </c>
    </row>
    <row r="130" spans="1:6" ht="75.75" customHeight="1" x14ac:dyDescent="0.35">
      <c r="A130" s="280" t="s">
        <v>349</v>
      </c>
      <c r="B130" s="339" t="s">
        <v>347</v>
      </c>
      <c r="C130" s="421" t="str">
        <f>IF(VLOOKUP($A130,'BFR 2026'!$X$18:$Z$338,3,FALSE)=0,"",VLOOKUP($A130,'BFR 2026'!$X$18:$Z$338,3,FALSE))</f>
        <v>Explain why one or more of the forecast years is zero.</v>
      </c>
      <c r="D130" s="421" t="s">
        <v>510</v>
      </c>
      <c r="E130" s="326"/>
      <c r="F130" s="401" t="str">
        <f>IF(C130="","OK",IF(E130="","Response Outstanding","OK"))</f>
        <v>Response Outstanding</v>
      </c>
    </row>
    <row r="131" spans="1:6" ht="75.75" customHeight="1" x14ac:dyDescent="0.35">
      <c r="A131" s="280" t="s">
        <v>356</v>
      </c>
      <c r="B131" s="339" t="s">
        <v>511</v>
      </c>
      <c r="C131" s="421" t="str">
        <f>IF(VLOOKUP($A131,'BFR 2026'!$X$18:$Z$338,3,FALSE)=0,"",VLOOKUP($A131,'BFR 2026'!$X$18:$Z$338,3,FALSE))</f>
        <v/>
      </c>
      <c r="D131" s="421" t="s">
        <v>512</v>
      </c>
      <c r="E131" s="326"/>
      <c r="F131" s="401" t="str">
        <f t="shared" si="1"/>
        <v>OK</v>
      </c>
    </row>
    <row r="132" spans="1:6" ht="75.75" customHeight="1" x14ac:dyDescent="0.35">
      <c r="A132" s="280" t="s">
        <v>357</v>
      </c>
      <c r="B132" s="339" t="s">
        <v>513</v>
      </c>
      <c r="C132" s="421" t="str">
        <f>IF(VLOOKUP($A132,'BFR 2026'!$X$18:$Z$338,3,FALSE)=0,"",VLOOKUP($A132,'BFR 2026'!$X$18:$Z$338,3,FALSE))</f>
        <v>Explain why one or more of the forecast years is zero.</v>
      </c>
      <c r="D132" s="421" t="s">
        <v>514</v>
      </c>
      <c r="E132" s="326"/>
      <c r="F132" s="401" t="str">
        <f>IF(C132="","OK",IF(E132="","Response Outstanding","OK"))</f>
        <v>Response Outstanding</v>
      </c>
    </row>
    <row r="133" spans="1:6" ht="75.75" customHeight="1" x14ac:dyDescent="0.35">
      <c r="A133" s="280" t="s">
        <v>361</v>
      </c>
      <c r="B133" s="347">
        <v>3900</v>
      </c>
      <c r="C133" s="421" t="str">
        <f>IF(VLOOKUP($A133,'BFR 2026'!$X$18:$Z$338,3,FALSE)=0,"",VLOOKUP($A133,'BFR 2026'!$X$18:$Z$338,3,FALSE))</f>
        <v>Provide reasons for the assumptions made for teaching staff costs</v>
      </c>
      <c r="D133" s="421" t="s">
        <v>462</v>
      </c>
      <c r="E133" s="326"/>
      <c r="F133" s="401" t="str">
        <f>IF(C133="","OK",IF(E133="","Response Outstanding","OK"))</f>
        <v>Response Outstanding</v>
      </c>
    </row>
    <row r="134" spans="1:6" ht="75.75" customHeight="1" x14ac:dyDescent="0.35">
      <c r="A134" s="280" t="s">
        <v>363</v>
      </c>
      <c r="B134" s="347">
        <v>3950</v>
      </c>
      <c r="C134" s="421" t="str">
        <f>IF(VLOOKUP($A134,'BFR 2026'!$X$18:$Z$338,3,FALSE)=0,"",VLOOKUP($A134,'BFR 2026'!$X$18:$Z$338,3,FALSE))</f>
        <v>Provide reasons for the assumptions made for support staff costs</v>
      </c>
      <c r="D134" s="421" t="s">
        <v>463</v>
      </c>
      <c r="E134" s="326"/>
      <c r="F134" s="401" t="str">
        <f>IF(C134="","OK",IF(E134="","Response Outstanding","OK"))</f>
        <v>Response Outstanding</v>
      </c>
    </row>
    <row r="135" spans="1:6" ht="75.75" customHeight="1" x14ac:dyDescent="0.35">
      <c r="A135" s="280" t="s">
        <v>390</v>
      </c>
      <c r="B135" s="339" t="s">
        <v>515</v>
      </c>
      <c r="C135" s="421" t="str">
        <f>IF(VLOOKUP($A135,'BFR 2026'!$X$18:$Z$338,3,FALSE)=0,"",VLOOKUP($A135,'BFR 2026'!$X$18:$Z$338,3,FALSE))</f>
        <v/>
      </c>
      <c r="D135" s="421" t="s">
        <v>516</v>
      </c>
      <c r="E135" s="326"/>
      <c r="F135" s="401" t="str">
        <f t="shared" si="1"/>
        <v>OK</v>
      </c>
    </row>
    <row r="136" spans="1:6" ht="75.75" customHeight="1" x14ac:dyDescent="0.35">
      <c r="A136" s="280" t="s">
        <v>374</v>
      </c>
      <c r="B136" s="339" t="s">
        <v>517</v>
      </c>
      <c r="C136" s="421" t="str">
        <f>IF(VLOOKUP($A136,'BFR 2026'!$X$18:$Z$338,3,FALSE)=0,"",VLOOKUP($A136,'BFR 2026'!$X$18:$Z$338,3,FALSE))</f>
        <v/>
      </c>
      <c r="D136" s="421" t="s">
        <v>518</v>
      </c>
      <c r="E136" s="326"/>
      <c r="F136" s="401" t="str">
        <f t="shared" si="1"/>
        <v>OK</v>
      </c>
    </row>
    <row r="137" spans="1:6" ht="75.75" customHeight="1" x14ac:dyDescent="0.35">
      <c r="A137" s="280" t="s">
        <v>384</v>
      </c>
      <c r="B137" s="339" t="s">
        <v>519</v>
      </c>
      <c r="C137" s="421" t="str">
        <f>IF(VLOOKUP($A137,'BFR 2026'!$X$18:$Z$338,3,FALSE)=0,"",VLOOKUP($A137,'BFR 2026'!$X$18:$Z$338,3,FALSE))</f>
        <v/>
      </c>
      <c r="D137" s="421" t="s">
        <v>520</v>
      </c>
      <c r="E137" s="326"/>
      <c r="F137" s="401" t="str">
        <f t="shared" si="1"/>
        <v>OK</v>
      </c>
    </row>
    <row r="138" spans="1:6" ht="75.75" customHeight="1" x14ac:dyDescent="0.35">
      <c r="A138" s="280" t="s">
        <v>381</v>
      </c>
      <c r="B138" s="339" t="s">
        <v>521</v>
      </c>
      <c r="C138" s="421" t="str">
        <f>IF(VLOOKUP($A138,'BFR 2026'!$X$18:$Z$338,3,FALSE)=0,"",VLOOKUP($A138,'BFR 2026'!$X$18:$Z$338,3,FALSE))</f>
        <v/>
      </c>
      <c r="D138" s="421" t="s">
        <v>522</v>
      </c>
      <c r="E138" s="326"/>
      <c r="F138" s="401" t="str">
        <f t="shared" si="1"/>
        <v>OK</v>
      </c>
    </row>
    <row r="139" spans="1:6" ht="75.75" customHeight="1" x14ac:dyDescent="0.35">
      <c r="A139" s="280" t="s">
        <v>378</v>
      </c>
      <c r="B139" s="339" t="s">
        <v>523</v>
      </c>
      <c r="C139" s="421" t="str">
        <f>IF(VLOOKUP($A139,'BFR 2026'!$X$18:$Z$338,3,FALSE)=0,"",VLOOKUP($A139,'BFR 2026'!$X$18:$Z$338,3,FALSE))</f>
        <v/>
      </c>
      <c r="D139" s="421" t="s">
        <v>524</v>
      </c>
      <c r="E139" s="326"/>
      <c r="F139" s="401" t="str">
        <f t="shared" si="1"/>
        <v>OK</v>
      </c>
    </row>
    <row r="140" spans="1:6" ht="75.75" customHeight="1" x14ac:dyDescent="0.35">
      <c r="A140" s="280" t="s">
        <v>393</v>
      </c>
      <c r="B140" s="339" t="s">
        <v>525</v>
      </c>
      <c r="C140" s="421" t="str">
        <f>IF(VLOOKUP($A140,'BFR 2026'!$X$18:$Z$338,3,FALSE)=0,"",VLOOKUP($A140,'BFR 2026'!$X$18:$Z$338,3,FALSE))</f>
        <v/>
      </c>
      <c r="D140" s="421" t="s">
        <v>526</v>
      </c>
      <c r="E140" s="326"/>
      <c r="F140" s="401" t="str">
        <f t="shared" si="1"/>
        <v>OK</v>
      </c>
    </row>
    <row r="141" spans="1:6" ht="75.75" customHeight="1" x14ac:dyDescent="0.35">
      <c r="A141" s="280" t="s">
        <v>396</v>
      </c>
      <c r="B141" s="339" t="s">
        <v>527</v>
      </c>
      <c r="C141" s="421" t="str">
        <f>IF(VLOOKUP($A141,'BFR 2026'!$X$18:$Z$338,3,FALSE)=0,"",VLOOKUP($A141,'BFR 2026'!$X$18:$Z$338,3,FALSE))</f>
        <v/>
      </c>
      <c r="D141" s="421" t="s">
        <v>528</v>
      </c>
      <c r="E141" s="326"/>
      <c r="F141" s="401" t="str">
        <f t="shared" si="1"/>
        <v>OK</v>
      </c>
    </row>
    <row r="142" spans="1:6" ht="75.75" customHeight="1" x14ac:dyDescent="0.35">
      <c r="A142" s="280" t="s">
        <v>386</v>
      </c>
      <c r="B142" s="339" t="s">
        <v>529</v>
      </c>
      <c r="C142" s="421" t="str">
        <f>IF(VLOOKUP($A142,'BFR 2026'!$X$18:$Z$338,3,FALSE)=0,"",VLOOKUP($A142,'BFR 2026'!$X$18:$Z$338,3,FALSE))</f>
        <v/>
      </c>
      <c r="D142" s="421" t="s">
        <v>530</v>
      </c>
      <c r="E142" s="326"/>
      <c r="F142" s="401" t="str">
        <f t="shared" si="1"/>
        <v>OK</v>
      </c>
    </row>
    <row r="143" spans="1:6" ht="75.75" customHeight="1" x14ac:dyDescent="0.35">
      <c r="A143" s="280" t="s">
        <v>85</v>
      </c>
      <c r="B143" s="338" t="s">
        <v>531</v>
      </c>
      <c r="C143" s="421" t="str">
        <f>'Finance questions'!$E$16</f>
        <v>You must enter as a % amount in cell C16</v>
      </c>
      <c r="D143" s="422" t="s">
        <v>532</v>
      </c>
      <c r="E143" s="511" t="str">
        <f>IF('Finance questions'!C16="","Enter a % in Finance questions tab cell C16",'Finance questions'!E16)</f>
        <v>Enter a % in Finance questions tab cell C16</v>
      </c>
      <c r="F143" s="401" t="str">
        <f>IF(C143="","OK",IF('Finance questions'!C16&lt;&gt;"","Response Outstanding","OK"))</f>
        <v>OK</v>
      </c>
    </row>
    <row r="144" spans="1:6" ht="45" customHeight="1" x14ac:dyDescent="0.35">
      <c r="A144" s="464" t="s">
        <v>0</v>
      </c>
    </row>
  </sheetData>
  <sheetProtection algorithmName="SHA-512" hashValue="B2WVcsDkO+uUjH2YIdsFRzv1JI/XfURilN0coCvgAZJpHgROUw/aLaKiEH4ZYCdY+QtAPh9TWf6iBoHFrxeiQA==" saltValue="g7ZY76g6EP1Dw1nk33OEFQ==" spinCount="100000" sheet="1" objects="1" scenarios="1"/>
  <autoFilter ref="A8:H144" xr:uid="{00000000-0001-0000-0600-000000000000}"/>
  <sortState xmlns:xlrd2="http://schemas.microsoft.com/office/spreadsheetml/2017/richdata2" ref="A9:H142">
    <sortCondition ref="B9:B142"/>
  </sortState>
  <phoneticPr fontId="9" type="noConversion"/>
  <conditionalFormatting sqref="B5">
    <cfRule type="cellIs" dxfId="19" priority="3" operator="lessThan">
      <formula>0</formula>
    </cfRule>
    <cfRule type="cellIs" dxfId="18" priority="4" operator="greaterThan">
      <formula>0</formula>
    </cfRule>
    <cfRule type="cellIs" dxfId="17" priority="5" operator="greaterThan">
      <formula>0</formula>
    </cfRule>
    <cfRule type="cellIs" dxfId="16" priority="6" operator="lessThan">
      <formula>0</formula>
    </cfRule>
    <cfRule type="cellIs" dxfId="15" priority="7" operator="lessThan">
      <formula>0</formula>
    </cfRule>
    <cfRule type="cellIs" dxfId="14" priority="8" operator="lessThan">
      <formula>0</formula>
    </cfRule>
  </conditionalFormatting>
  <conditionalFormatting sqref="C5">
    <cfRule type="containsText" dxfId="13" priority="15" operator="containsText" text="Error">
      <formula>NOT(ISERROR(SEARCH("Error",C5)))</formula>
    </cfRule>
    <cfRule type="containsText" dxfId="12" priority="16" operator="containsText" text="Error">
      <formula>NOT(ISERROR(SEARCH("Error",C5)))</formula>
    </cfRule>
    <cfRule type="containsBlanks" dxfId="11" priority="17">
      <formula>LEN(TRIM(C5))=0</formula>
    </cfRule>
    <cfRule type="containsText" dxfId="10" priority="18" operator="containsText" text="Error">
      <formula>NOT(ISERROR(SEARCH("Error",C5)))</formula>
    </cfRule>
    <cfRule type="notContainsText" dxfId="9" priority="19" operator="notContains" text="OK">
      <formula>ISERROR(SEARCH("OK",C5))</formula>
    </cfRule>
    <cfRule type="containsText" dxfId="8" priority="20" operator="containsText" text="OK">
      <formula>NOT(ISERROR(SEARCH("OK",C5)))</formula>
    </cfRule>
  </conditionalFormatting>
  <conditionalFormatting sqref="E9:E14 E16:E124 E126:E142">
    <cfRule type="expression" dxfId="7" priority="34">
      <formula>F9&lt;&gt;"OK"</formula>
    </cfRule>
    <cfRule type="expression" dxfId="6" priority="37">
      <formula>F9="OK"</formula>
    </cfRule>
    <cfRule type="expression" dxfId="5" priority="38">
      <formula>"f1&lt;&gt;""OK"""</formula>
    </cfRule>
  </conditionalFormatting>
  <conditionalFormatting sqref="E143">
    <cfRule type="containsText" dxfId="4" priority="1" operator="containsText" text="%">
      <formula>NOT(ISERROR(SEARCH("%",E143)))</formula>
    </cfRule>
  </conditionalFormatting>
  <conditionalFormatting sqref="F9:F143">
    <cfRule type="containsText" dxfId="3" priority="33" operator="containsText" text="Response Outstanding">
      <formula>NOT(ISERROR(SEARCH("Response Outstanding",F9)))</formula>
    </cfRule>
    <cfRule type="containsText" dxfId="2" priority="39" operator="containsText" text="OK">
      <formula>NOT(ISERROR(SEARCH("OK",F9)))</formula>
    </cfRule>
    <cfRule type="containsText" dxfId="1" priority="40" operator="containsText" text="Response Outstanding">
      <formula>NOT(ISERROR(SEARCH("Response Outstanding",F9)))</formula>
    </cfRule>
  </conditionalFormatting>
  <conditionalFormatting sqref="K2:M2">
    <cfRule type="cellIs" dxfId="0" priority="2" operator="notEqual">
      <formula>""""""</formula>
    </cfRule>
  </conditionalFormatting>
  <hyperlinks>
    <hyperlink ref="A144" location="Index!A1" display="Index page" xr:uid="{33B7E6C8-BCC1-45CE-A7FF-8E462F62964F}"/>
    <hyperlink ref="C1" location="Index!A1" display="Index page" xr:uid="{27897298-1278-440A-9C01-D705B50B7240}"/>
    <hyperlink ref="A143" location="'Finance questions'!C16" display="FQ6" xr:uid="{C590506D-3D71-4D9A-908A-677824F8D9B5}"/>
    <hyperlink ref="A142" location="'BFR 2026'!Y331" display="QU9000" xr:uid="{510F5360-DC6E-474F-9EED-52A571FEB84A}"/>
    <hyperlink ref="A141" location="'BFR 2026'!Y338" display="QU8001" xr:uid="{37DF0BA3-6B04-4672-86F6-817BBA29DAAA}"/>
    <hyperlink ref="A140" location="'BFR 2026'!Y337" display="QU8000" xr:uid="{884AA777-ABD9-4DA1-9F19-B65CBA107A9E}"/>
    <hyperlink ref="A139" location="'BFR 2026'!Y328" display="QU7200" xr:uid="{EC41639E-6AEF-46C0-A24D-499A3A1862B2}"/>
    <hyperlink ref="A138" location="'BFR 2026'!Y329" display="QU7100" xr:uid="{D65A4145-BB42-456D-8D58-9D457924B3A2}"/>
    <hyperlink ref="A137" location="'BFR 2026'!Y330" display="QU7000" xr:uid="{690B10E0-2D11-4880-A93A-7E40769AEBB9}"/>
    <hyperlink ref="A136" location="'BFR 2026'!Y324" display="QU6600" xr:uid="{CFE5BB3B-ECEC-4062-B773-D228FB877057}"/>
    <hyperlink ref="A135" location="'BFR 2026'!Y336" display="QU4300" xr:uid="{699E6B38-B434-4B15-B527-243BFF66457C}"/>
    <hyperlink ref="A134" location="'BFR 2026'!Y316" display="QU3950" xr:uid="{80189EA0-E07F-4719-845A-3F35CB0CA984}"/>
    <hyperlink ref="A133" location="'BFR 2026'!Y315" display="QU3900" xr:uid="{F09E473D-7925-491A-B61E-7A05E90E9242}"/>
    <hyperlink ref="A132" location="'BFR 2026'!Y311" display="QU3800a" xr:uid="{5F1EA932-94CC-4C33-A749-C5CE165E3B5D}"/>
    <hyperlink ref="A131" location="'BFR 2026'!Y310" display="QU3800" xr:uid="{D63CB6E6-6D49-470E-835C-3ED6DE2D0B36}"/>
    <hyperlink ref="A130" location="'BFR 2026'!Y304" display="QU2980a" xr:uid="{512A0D11-4F86-4E6F-B64F-47E78EB8EA62}"/>
    <hyperlink ref="A129" location="'BFR 2026'!Y303" display="QU2980" xr:uid="{6E33A019-C12D-4D34-806F-C57B08C0215E}"/>
    <hyperlink ref="A128" location="'BFR 2026'!Y197" display="QU503" xr:uid="{D47FC4D2-3793-4B53-BECE-99D39072977D}"/>
    <hyperlink ref="A127" location="'BFR 2026'!Y198" display="QU502" xr:uid="{09A1C031-5484-4A94-AC93-4F1945FA096E}"/>
    <hyperlink ref="A126" location="'BFR 2026'!Y196" display="QU500" xr:uid="{39171C5F-66C4-497E-9DA4-98B8831942FD}"/>
    <hyperlink ref="A124" location="'BFR 2026'!Y294" display="QU399" xr:uid="{681B371F-AAAE-4C2A-A353-DE03A2F9A02F}"/>
    <hyperlink ref="A123" location="'BFR 2026'!Y293" display="QU398" xr:uid="{BE1CF905-0988-4521-8C18-0EC0FA4758D1}"/>
    <hyperlink ref="A122" location="'BFR 2026'!Y292" display="QU397" xr:uid="{099D0497-4D35-417E-9AEE-A4090A9A2637}"/>
    <hyperlink ref="A121" location="'BFR 2026'!Y291" display="QU396" xr:uid="{D62C4399-725C-4769-87B9-0448E9059C81}"/>
    <hyperlink ref="A120" location="'BFR 2026'!Y290" display="QU395" xr:uid="{76059CDC-57E6-49B6-B809-E04D658C7993}"/>
    <hyperlink ref="A119" location="'BFR 2026'!Y289" display="QU394" xr:uid="{FBEFE039-E661-4F61-9636-3D96B74299CA}"/>
    <hyperlink ref="A118" location="'BFR 2026'!Y288" display="QU393" xr:uid="{C631E578-6178-4C46-8CB8-F7D104FC82A3}"/>
    <hyperlink ref="A117" location="'BFR 2026'!Y287" display="QU392" xr:uid="{74E59984-7664-4D2F-A291-5FDC8AFAA61E}"/>
    <hyperlink ref="A116" location="'BFR 2026'!Y286" display="QU391" xr:uid="{5749706C-AC5F-415D-A31F-F0E49C0954CD}"/>
    <hyperlink ref="A115" location="'BFR 2026'!Y285" display="QU390" xr:uid="{DA27118B-B0E9-4831-81E7-3241F5D210F3}"/>
    <hyperlink ref="A114" location="'BFR 2026'!Y284" display="QU389" xr:uid="{2A1ACD0E-C9F7-4700-BDE4-587934A40F42}"/>
    <hyperlink ref="A113" location="'BFR 2026'!Y283" display="QU388" xr:uid="{64D108C4-374F-4748-A70A-CE07D9F39E13}"/>
    <hyperlink ref="A112" location="'BFR 2026'!Y282" display="QU387" xr:uid="{103658CA-D727-41D2-917C-A598158C432D}"/>
    <hyperlink ref="A111" location="'BFR 2026'!Y281" display="QU386" xr:uid="{09D5C57A-7B7A-49ED-B05B-9DB569A4CBA0}"/>
    <hyperlink ref="A110" location="'BFR 2026'!Y280" display="QU385" xr:uid="{B2289741-E161-481C-9F29-D04F67FFDA7F}"/>
    <hyperlink ref="A109" location="'BFR 2026'!Y279" display="QU384" xr:uid="{97224CCC-5117-4D5A-A8B0-DD9E5F0EE4E9}"/>
    <hyperlink ref="A108" location="'BFR 2026'!Y278" display="QU383" xr:uid="{23F4644D-3EA9-4B0A-88DD-D9D01B56721F}"/>
    <hyperlink ref="A107" location="'BFR 2026'!Y277" display="QU382" xr:uid="{044F03F5-9B73-4C17-BCA2-8DF4D167BBE6}"/>
    <hyperlink ref="A106" location="'BFR 2026'!Y276" display="QU381" xr:uid="{75C2A207-23AF-46E1-8197-7F7BA8F3118A}"/>
    <hyperlink ref="A105" location="'BFR 2026'!Y275" display="QU380" xr:uid="{F73F4D9F-C4B8-4764-B075-18AE756513CF}"/>
    <hyperlink ref="A104" location="'BFR 2026'!Y274" display="QU379a" xr:uid="{BC506900-892B-43BE-A56E-E406AC75397A}"/>
    <hyperlink ref="A103" location="'BFR 2026'!Y68" display="QU379" xr:uid="{124F3698-9567-4068-9DFD-C787AE762A51}"/>
    <hyperlink ref="A102" location="'BFR 2026'!Y273" display="QU378" xr:uid="{34212D10-EA85-440E-A328-0001961ED8BA}"/>
    <hyperlink ref="A101" location="'BFR 2026'!Y272" display="QU377" xr:uid="{221BDB50-87EB-498E-BB8E-772EFF6D64A3}"/>
    <hyperlink ref="A100" location="'BFR 2026'!Y271" display="QU376" xr:uid="{5BA57F85-28E8-48E8-859D-B0A6DD2DF380}"/>
    <hyperlink ref="A99" location="'BFR 2026'!Y270" display="QU375" xr:uid="{6143A0D4-F869-4963-984E-5345F2F7A8AF}"/>
    <hyperlink ref="A98" location="'BFR 2026'!Y269" display="QU374" xr:uid="{02587DA3-9A36-4536-B6BC-D678595FB8E6}"/>
    <hyperlink ref="A97" location="'BFR 2026'!Y268" display="QU373" xr:uid="{61359976-2558-435F-BE95-301090B598FF}"/>
    <hyperlink ref="A96" location="'BFR 2026'!Y267" display="QU372" xr:uid="{33B1A9C5-288A-47DF-93DF-A0FE003AD628}"/>
    <hyperlink ref="A95" location="'BFR 2026'!Y266" display="QU371" xr:uid="{13B3FCE8-DDEA-4E34-A89D-CC798A0DD4D9}"/>
    <hyperlink ref="A94" location="'BFR 2026'!Y265" display="QU370" xr:uid="{738A9940-313B-4E44-808E-9D9C0DBE0EC8}"/>
    <hyperlink ref="A93" location="'BFR 2026'!Y264" display="QU369" xr:uid="{80B951F7-354C-4497-ADC0-791FA944D831}"/>
    <hyperlink ref="A92" location="'BFR 2026'!Y263" display="QU368" xr:uid="{452B0170-2F38-495D-8770-23BCCB9F9C59}"/>
    <hyperlink ref="A91" location="'BFR 2026'!Y262" display="QU367" xr:uid="{8021D2F2-071A-4D7B-8F1B-3F6F9C854802}"/>
    <hyperlink ref="A90" location="'BFR 2026'!Y261" display="QU366" xr:uid="{4B0D70D2-BC40-4455-8ACE-C031CBE5840E}"/>
    <hyperlink ref="A89" location="'BFR 2026'!Y260" display="QU365" xr:uid="{46DDAEFF-0A10-4521-A68D-45211ECC8860}"/>
    <hyperlink ref="A88" location="'BFR 2026'!Y259" display="QU364" xr:uid="{95C35D8D-6741-427F-84EF-AF1CA1FEF331}"/>
    <hyperlink ref="A87" location="'BFR 2026'!Y258" display="QU363" xr:uid="{2C4650D9-ECC2-4F2B-920C-43AC8477456A}"/>
    <hyperlink ref="A86" location="'BFR 2026'!Y257" display="QU362" xr:uid="{5403348E-66F1-46B8-9D38-09B89BFEF4B7}"/>
    <hyperlink ref="A85" location="'BFR 2026'!Y256" display="QU361" xr:uid="{2AC8C8E8-A42C-405B-AB03-1DAF605A6D9C}"/>
    <hyperlink ref="A84" location="'BFR 2026'!Y255" display="QU360" xr:uid="{59B69A0E-9ED0-410B-A5D0-FCED9896A6DC}"/>
    <hyperlink ref="A83" location="'BFR 2026'!Y254" display="QU359" xr:uid="{A831DEA1-D18C-4604-A779-ECCF7ED4DABE}"/>
    <hyperlink ref="A82" location="'BFR 2026'!Y253" display="QU358" xr:uid="{594A9AB9-92C0-4ADC-B10F-482F2B8C7382}"/>
    <hyperlink ref="A81" location="'BFR 2026'!Y252" display="QU357" xr:uid="{53509387-C01E-425A-BBD7-4F1DF6984F1D}"/>
    <hyperlink ref="A80" location="'BFR 2026'!Y251" display="QU356" xr:uid="{3D656F35-8F97-45A6-8730-D1F2CAB6134D}"/>
    <hyperlink ref="A79" location="'BFR 2026'!Y250" display="QU355" xr:uid="{827E69D1-02CB-4A40-99B4-E9FE83628472}"/>
    <hyperlink ref="A78" location="'BFR 2026'!Y249" display="QU354" xr:uid="{1AFC1E22-848D-4051-BEC7-1D1DBC33F77B}"/>
    <hyperlink ref="A77" location="'BFR 2026'!Y248" display="QU353" xr:uid="{0C44253E-EAD3-4C4E-ADD0-6D05272FACE8}"/>
    <hyperlink ref="A76" location="'BFR 2026'!Y247" display="QU352" xr:uid="{DA4A694F-53BB-49DB-963B-9AB7CD1C713E}"/>
    <hyperlink ref="A75" location="'BFR 2026'!Y246" display="QU351" xr:uid="{4F79E089-554E-49F4-BFA9-C384049C11F0}"/>
    <hyperlink ref="A74" location="'BFR 2026'!Y245" display="QU350" xr:uid="{2306DB72-88E1-4C76-93FC-0229AF1C7C46}"/>
    <hyperlink ref="A73" location="'BFR 2026'!Y244" display="QU349" xr:uid="{9EB8090C-7BFA-4567-863B-0D825DBE38F7}"/>
    <hyperlink ref="A72" location="'BFR 2026'!Y243" display="QU348" xr:uid="{BFFDAED2-26FC-4210-8C6B-6D686B944195}"/>
    <hyperlink ref="A71" location="'BFR 2026'!Y242" display="QU347" xr:uid="{F392CEF0-D01A-4A4E-8F7E-AEC12F4AA680}"/>
    <hyperlink ref="A70" location="'BFR 2026'!Y241" display="QU346" xr:uid="{12C30A6F-70B0-431F-BEF6-53D7D2687EC6}"/>
    <hyperlink ref="A69" location="'BFR 2026'!Y240" display="QU345" xr:uid="{6447F3AF-1D99-4DDD-8EF6-B155A05C960F}"/>
    <hyperlink ref="A68" location="'BFR 2026'!Y239" display="QU344" xr:uid="{1419B794-E327-4462-9862-AD1D910C39E4}"/>
    <hyperlink ref="A67" location="'BFR 2026'!Y238" display="QU343" xr:uid="{92C20ACB-AF1F-4346-B8C6-839B3494AB33}"/>
    <hyperlink ref="A66" location="'BFR 2026'!Y237" display="QU342" xr:uid="{551BDBC2-3614-4723-9AFB-C9508BCEA7D7}"/>
    <hyperlink ref="A65" location="'BFR 2026'!Y236" display="QU341" xr:uid="{1BB902C0-7AD6-4102-9F7D-6C2A8691B370}"/>
    <hyperlink ref="A64" location="'BFR 2026'!Y235" display="QU340" xr:uid="{A27F997A-FB95-48A9-A8EC-3AFDE3AEABFA}"/>
    <hyperlink ref="A63" location="'BFR 2026'!Y234" display="QU339" xr:uid="{621D111B-562C-40A3-BCAB-B3D7FEA6522F}"/>
    <hyperlink ref="A62" location="'BFR 2026'!Y233" display="QU338" xr:uid="{AE82862B-99B5-4DA8-8147-7BE622D670BA}"/>
    <hyperlink ref="A61" location="'BFR 2026'!Y232" display="QU337" xr:uid="{39943DEA-CD73-4401-ACB2-DBCB93E1E2EA}"/>
    <hyperlink ref="A60" location="'BFR 2026'!Y231" display="QU336" xr:uid="{2A09CDD3-8F27-4E4E-BAE6-9DD8A8680236}"/>
    <hyperlink ref="A59" location="'BFR 2026'!Y230" display="QU335" xr:uid="{B65A47EF-F053-40FC-8631-BF7DD35F6214}"/>
    <hyperlink ref="A58" location="'BFR 2026'!Y229" display="QU334" xr:uid="{1F9ADEAA-EEC4-4718-B042-DFC6BD020FD2}"/>
    <hyperlink ref="A57" location="'BFR 2026'!Y228" display="QU333" xr:uid="{669D610B-C304-49A5-BE35-2B61878C83C3}"/>
    <hyperlink ref="A56" location="'BFR 2026'!Y227" display="QU332" xr:uid="{C42C5368-4946-42F0-BEFB-4EEBC82CB177}"/>
    <hyperlink ref="A55" location="'BFR 2026'!Y226" display="QU331" xr:uid="{64945F2D-3A2E-4C02-9C24-63698D63B269}"/>
    <hyperlink ref="A54" location="'BFR 2026'!Y225" display="QU330" xr:uid="{52B41243-9731-4DAF-B736-98B8B8436E2C}"/>
    <hyperlink ref="A53" location="'BFR 2026'!Y224" display="QU329" xr:uid="{A61183D4-3108-4EE7-AB4F-88D1ECF13F7D}"/>
    <hyperlink ref="A52" location="'BFR 2026'!Y223" display="QU328" xr:uid="{5A1AED96-2AE8-4325-9334-1B40CD0D2505}"/>
    <hyperlink ref="A51" location="'BFR 2026'!Y222" display="QU327" xr:uid="{7437CB8F-4689-4573-8F11-77F8CBCB5013}"/>
    <hyperlink ref="A50" location="'BFR 2026'!Y221" display="QU326" xr:uid="{79F9AD5B-F236-4D4D-A8E4-E133E60494EE}"/>
    <hyperlink ref="A49" location="'BFR 2026'!Y220" display="QU325" xr:uid="{6425A344-EA7B-44A8-9EC7-A37B78822709}"/>
    <hyperlink ref="A48" location="'BFR 2026'!Y219" display="QU324" xr:uid="{43AD12B5-8A7F-4E53-B238-D345F12B1D00}"/>
    <hyperlink ref="A47" location="'BFR 2026'!Y218" display="QU323" xr:uid="{5E67B99B-F4E5-4C04-8BC3-2A105003DEE1}"/>
    <hyperlink ref="A46" location="'BFR 2026'!Y217" display="QU322" xr:uid="{B33503F7-CB1F-4F9B-A82E-3BB3E86F53EF}"/>
    <hyperlink ref="A45" location="'BFR 2026'!Y216" display="QU321" xr:uid="{B8650467-92AF-4445-9B87-C4391C5A1FCE}"/>
    <hyperlink ref="A44" location="'BFR 2026'!Y215" display="QU320" xr:uid="{43C77B4E-43D6-4C3C-AAA0-0B96555CDA0C}"/>
    <hyperlink ref="A43" location="'BFR 2026'!Y214" display="QU319" xr:uid="{E6DC78BE-2C49-4052-B3CE-FA5123F840D6}"/>
    <hyperlink ref="A42" location="'BFR 2026'!Y213" display="QU318" xr:uid="{6717D612-840F-4D7C-BAD3-8DD64A59F140}"/>
    <hyperlink ref="A41" location="'BFR 2026'!Y212" display="QU317" xr:uid="{8DA9BC66-7785-4D0C-9056-5AFF2A9B2405}"/>
    <hyperlink ref="A40" location="'BFR 2026'!Y211" display="QU316" xr:uid="{9B80FD87-28E0-421A-BA27-EDD1236E5B93}"/>
    <hyperlink ref="A39" location="'BFR 2026'!Y210" display="QU315" xr:uid="{5F787F8F-381C-4FD3-9DA4-09EF36C5032F}"/>
    <hyperlink ref="A38" location="'BFR 2026'!Y209" display="QU314" xr:uid="{4A8D3330-894B-492D-9425-E1CCCBEA15DC}"/>
    <hyperlink ref="A37" location="'BFR 2026'!Y208" display="QU313" xr:uid="{3478FA3D-CF6B-4C50-B18C-3969B821DA13}"/>
    <hyperlink ref="A36" location="'BFR 2026'!Y207" display="QU312" xr:uid="{897DB73F-F531-43E5-9B85-E26BCC40EC3B}"/>
    <hyperlink ref="A35" location="'BFR 2026'!Y206" display="QU311" xr:uid="{4CFA4D1D-D540-458B-A338-6BCD5260C941}"/>
    <hyperlink ref="A34" location="'BFR 2026'!Y205" display="QU310" xr:uid="{3E3D16EE-EEA1-435D-9D52-5D331E2F7B2B}"/>
    <hyperlink ref="A32" location="'BFR 2026'!Y12" display="QU99" xr:uid="{4E4ABDF9-B8E5-4BC4-89F2-320B39C83484}"/>
    <hyperlink ref="A31" location="'BFR 2026'!Y74" display="QU23" xr:uid="{B968F9DF-2542-4843-9463-514ED9B2C26D}"/>
    <hyperlink ref="A30" location="'BFR 2026'!Y11" display="QU22" xr:uid="{C9788529-F670-4AD7-A5A6-B0C3A6D202B6}"/>
    <hyperlink ref="A29" location="'BFR 2026'!Y116" display="QU21" xr:uid="{20DB07F8-38FB-4E00-A7DF-7E72D30FCF60}"/>
    <hyperlink ref="A28" location="'BFR 2026'!Y162" display="QU20" xr:uid="{6C0ADCE1-F5D3-4E0F-98B1-5F479DD2E56E}"/>
    <hyperlink ref="A27" location="'BFR 2026'!Y178" display="QU19" xr:uid="{B2123CB0-F1E5-4E1E-AA0A-AC5A63C7E009}"/>
    <hyperlink ref="A26" location="'BFR 2026'!Y176" display="QU18" xr:uid="{13607B73-1CBC-4CB6-9AC4-D218BFFDACF4}"/>
    <hyperlink ref="A25" location="'BFR 2026'!Y167" display="QU17" xr:uid="{A023BC9B-0E30-4DB4-BF5A-B5C42EA40B0E}"/>
    <hyperlink ref="A24" location="'BFR 2026'!Y157" display="QU16" xr:uid="{C40EBDD5-BA21-466C-BFF7-BAA7104544B5}"/>
    <hyperlink ref="A23" location="'BFR 2026'!Y156" display="QU15" xr:uid="{F726480E-FE9E-455F-ADD6-6A1082E13CEB}"/>
    <hyperlink ref="A22" location="'BFR 2026'!Y139" display="QU14" xr:uid="{B9DC424D-9906-4FE3-B68D-9F8F27651D66}"/>
    <hyperlink ref="A21" location="'BFR 2026'!Y103" display="QU13" xr:uid="{54F41CA3-018B-436C-BC3B-7205B170B5D0}"/>
    <hyperlink ref="A20" location="'BFR 2026'!Y105" display="QU12" xr:uid="{CBDB37BF-9BD3-4418-A6F2-09A2F79777FD}"/>
    <hyperlink ref="A19" location="'BFR 2026'!Y104" display="QU11" xr:uid="{73FB361B-7975-4EFC-AA23-2B9FF6B6AFEB}"/>
    <hyperlink ref="A18" location="'BFR 2026'!Y89" display="QU10" xr:uid="{A526E296-FEEC-476E-9B4B-1415FDE3ED99}"/>
    <hyperlink ref="A17" location="'BFR 2026'!Y88" display="QU9" xr:uid="{BB6F20CB-4DFA-4C0D-82B0-CE471E7D1023}"/>
    <hyperlink ref="A16" location="'BFR 2026'!Y85" display="QU8" xr:uid="{7857D06D-7F4D-442E-91FA-FFFC62303321}"/>
    <hyperlink ref="A14" location="'BFR 2026'!Y81" display="QU6" xr:uid="{6F038BFC-B9C2-42A5-89C0-3D31FB4429C3}"/>
    <hyperlink ref="A13" location="'BFR 2026'!Y75" display="QU5" xr:uid="{86E29231-217A-47F2-9F36-1A5DBA8092AE}"/>
    <hyperlink ref="A12" location="'BFR 2026'!Y77" display="QU4" xr:uid="{4EACEA59-8B53-4413-A5CD-6BDD4ABC8811}"/>
    <hyperlink ref="A11" location="'BFR 2026'!Y76" display="QU3" xr:uid="{C37349CD-87D3-471C-B7C0-3EE84C7B406B}"/>
    <hyperlink ref="A10" location="'BFR 2026'!Y23" display="QU2" xr:uid="{349AFCAF-465B-4AB7-8B63-1FEFC941DA02}"/>
    <hyperlink ref="A9" location="'BFR 2026'!Y19" display="QU1" xr:uid="{0B2315ED-6683-403F-A35D-30CAA9660E9F}"/>
    <hyperlink ref="A33" location="'Reserve balance details'!E26" display="QU100" xr:uid="{B38715FB-EC82-47BD-8ACE-1E56DFA85E86}"/>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07AF-5615-4E18-A159-350B05313133}">
  <sheetPr codeName="Sheet10"/>
  <dimension ref="A1:H940"/>
  <sheetViews>
    <sheetView zoomScale="90" zoomScaleNormal="90" workbookViewId="0">
      <pane ySplit="4" topLeftCell="A5" activePane="bottomLeft" state="frozen"/>
      <selection pane="bottomLeft"/>
    </sheetView>
  </sheetViews>
  <sheetFormatPr defaultColWidth="0" defaultRowHeight="15.5" zeroHeight="1" x14ac:dyDescent="0.35"/>
  <cols>
    <col min="1" max="1" width="83.54296875" style="311" customWidth="1"/>
    <col min="2" max="2" width="91.453125" style="311" bestFit="1" customWidth="1"/>
    <col min="3" max="3" width="12.54296875" style="311" customWidth="1"/>
    <col min="4" max="4" width="94.54296875" style="311" bestFit="1" customWidth="1"/>
    <col min="5" max="5" width="0" hidden="1" customWidth="1"/>
  </cols>
  <sheetData>
    <row r="1" spans="1:8" ht="51" customHeight="1" x14ac:dyDescent="0.35">
      <c r="A1" s="403" t="s">
        <v>1505</v>
      </c>
      <c r="B1" s="404" t="s">
        <v>0</v>
      </c>
      <c r="C1" s="237"/>
      <c r="D1" s="404"/>
    </row>
    <row r="2" spans="1:8" s="31" customFormat="1" ht="30" customHeight="1" x14ac:dyDescent="0.35">
      <c r="A2" s="423" t="s">
        <v>1506</v>
      </c>
      <c r="B2" s="423"/>
      <c r="C2" s="237"/>
      <c r="D2" s="423"/>
    </row>
    <row r="3" spans="1:8" s="242" customFormat="1" ht="45" customHeight="1" thickBot="1" x14ac:dyDescent="0.4">
      <c r="A3" s="417" t="str">
        <f>"Use this tab as a reference to the BFR lines and CoA mapping for the  "&amp;RIGHT('Version control'!$A$1,4)-1&amp;"/"&amp;RIGHT('Version control'!$A$1,4)-2001+1&amp;" financial year "</f>
        <v xml:space="preserve">Use this tab as a reference to the BFR lines and CoA mapping for the  2025/26 financial year </v>
      </c>
      <c r="B3" s="423"/>
      <c r="C3" s="237"/>
      <c r="D3" s="313"/>
    </row>
    <row r="4" spans="1:8" ht="60" customHeight="1" thickBot="1" x14ac:dyDescent="0.4">
      <c r="A4" s="424" t="s">
        <v>476</v>
      </c>
      <c r="B4" s="425" t="s">
        <v>533</v>
      </c>
      <c r="C4" s="424" t="s">
        <v>534</v>
      </c>
      <c r="D4" s="425" t="s">
        <v>535</v>
      </c>
      <c r="H4" s="241"/>
    </row>
    <row r="5" spans="1:8" x14ac:dyDescent="0.35">
      <c r="A5" s="280">
        <v>101</v>
      </c>
      <c r="B5" s="426" t="s">
        <v>115</v>
      </c>
      <c r="C5" s="426">
        <v>510150</v>
      </c>
      <c r="D5" s="426" t="s">
        <v>536</v>
      </c>
    </row>
    <row r="6" spans="1:8" x14ac:dyDescent="0.35">
      <c r="A6" s="280">
        <v>102</v>
      </c>
      <c r="B6" s="426" t="s">
        <v>118</v>
      </c>
      <c r="C6" s="426">
        <v>510100</v>
      </c>
      <c r="D6" s="426" t="s">
        <v>537</v>
      </c>
    </row>
    <row r="7" spans="1:8" x14ac:dyDescent="0.35">
      <c r="A7" s="280">
        <v>102</v>
      </c>
      <c r="B7" s="426" t="s">
        <v>118</v>
      </c>
      <c r="C7" s="426">
        <v>510700</v>
      </c>
      <c r="D7" s="426" t="s">
        <v>538</v>
      </c>
      <c r="H7" s="241"/>
    </row>
    <row r="8" spans="1:8" x14ac:dyDescent="0.35">
      <c r="A8" s="280">
        <v>102</v>
      </c>
      <c r="B8" s="426" t="s">
        <v>118</v>
      </c>
      <c r="C8" s="426">
        <v>510970</v>
      </c>
      <c r="D8" s="426" t="s">
        <v>539</v>
      </c>
    </row>
    <row r="9" spans="1:8" x14ac:dyDescent="0.35">
      <c r="A9" s="280">
        <v>102</v>
      </c>
      <c r="B9" s="426" t="s">
        <v>118</v>
      </c>
      <c r="C9" s="426">
        <v>510500</v>
      </c>
      <c r="D9" s="426" t="s">
        <v>540</v>
      </c>
    </row>
    <row r="10" spans="1:8" x14ac:dyDescent="0.35">
      <c r="A10" s="280">
        <v>102</v>
      </c>
      <c r="B10" s="426" t="s">
        <v>118</v>
      </c>
      <c r="C10" s="426">
        <v>510510</v>
      </c>
      <c r="D10" s="426" t="s">
        <v>541</v>
      </c>
    </row>
    <row r="11" spans="1:8" x14ac:dyDescent="0.35">
      <c r="A11" s="280">
        <v>103</v>
      </c>
      <c r="B11" s="426" t="s">
        <v>120</v>
      </c>
      <c r="C11" s="426">
        <v>510110</v>
      </c>
      <c r="D11" s="426" t="s">
        <v>542</v>
      </c>
    </row>
    <row r="12" spans="1:8" x14ac:dyDescent="0.35">
      <c r="A12" s="280">
        <v>105</v>
      </c>
      <c r="B12" s="426" t="s">
        <v>121</v>
      </c>
      <c r="C12" s="426">
        <v>510120</v>
      </c>
      <c r="D12" s="426" t="s">
        <v>543</v>
      </c>
    </row>
    <row r="13" spans="1:8" x14ac:dyDescent="0.35">
      <c r="A13" s="280">
        <v>108</v>
      </c>
      <c r="B13" s="426" t="s">
        <v>123</v>
      </c>
      <c r="C13" s="426">
        <v>510200</v>
      </c>
      <c r="D13" s="426" t="s">
        <v>544</v>
      </c>
    </row>
    <row r="14" spans="1:8" x14ac:dyDescent="0.35">
      <c r="A14" s="280">
        <v>132</v>
      </c>
      <c r="B14" s="426" t="s">
        <v>125</v>
      </c>
      <c r="C14" s="426">
        <v>510140</v>
      </c>
      <c r="D14" s="426" t="s">
        <v>545</v>
      </c>
      <c r="H14" s="241"/>
    </row>
    <row r="15" spans="1:8" x14ac:dyDescent="0.35">
      <c r="A15" s="280">
        <v>135</v>
      </c>
      <c r="B15" s="426" t="s">
        <v>128</v>
      </c>
      <c r="C15" s="426">
        <v>510130</v>
      </c>
      <c r="D15" s="426" t="s">
        <v>546</v>
      </c>
    </row>
    <row r="16" spans="1:8" x14ac:dyDescent="0.35">
      <c r="A16" s="280">
        <v>135</v>
      </c>
      <c r="B16" s="426" t="s">
        <v>128</v>
      </c>
      <c r="C16" s="426">
        <v>510400</v>
      </c>
      <c r="D16" s="426" t="s">
        <v>547</v>
      </c>
    </row>
    <row r="17" spans="1:8" x14ac:dyDescent="0.35">
      <c r="A17" s="280">
        <v>135</v>
      </c>
      <c r="B17" s="426" t="s">
        <v>128</v>
      </c>
      <c r="C17" s="426">
        <v>510450</v>
      </c>
      <c r="D17" s="426" t="s">
        <v>548</v>
      </c>
      <c r="H17" s="241"/>
    </row>
    <row r="18" spans="1:8" x14ac:dyDescent="0.35">
      <c r="A18" s="280">
        <v>135</v>
      </c>
      <c r="B18" s="426" t="s">
        <v>128</v>
      </c>
      <c r="C18" s="426">
        <v>510550</v>
      </c>
      <c r="D18" s="426" t="s">
        <v>549</v>
      </c>
      <c r="H18" s="241"/>
    </row>
    <row r="19" spans="1:8" x14ac:dyDescent="0.35">
      <c r="A19" s="280">
        <v>135</v>
      </c>
      <c r="B19" s="426" t="s">
        <v>128</v>
      </c>
      <c r="C19" s="426">
        <v>510600</v>
      </c>
      <c r="D19" s="426" t="s">
        <v>550</v>
      </c>
    </row>
    <row r="20" spans="1:8" x14ac:dyDescent="0.35">
      <c r="A20" s="280">
        <v>135</v>
      </c>
      <c r="B20" s="426" t="s">
        <v>128</v>
      </c>
      <c r="C20" s="426">
        <v>510950</v>
      </c>
      <c r="D20" s="426" t="s">
        <v>551</v>
      </c>
    </row>
    <row r="21" spans="1:8" x14ac:dyDescent="0.35">
      <c r="A21" s="280">
        <v>135</v>
      </c>
      <c r="B21" s="426" t="s">
        <v>128</v>
      </c>
      <c r="C21" s="426">
        <v>510980</v>
      </c>
      <c r="D21" s="426" t="s">
        <v>552</v>
      </c>
      <c r="H21" s="241"/>
    </row>
    <row r="22" spans="1:8" x14ac:dyDescent="0.35">
      <c r="A22" s="280">
        <v>135</v>
      </c>
      <c r="B22" s="426" t="s">
        <v>128</v>
      </c>
      <c r="C22" s="426">
        <v>510990</v>
      </c>
      <c r="D22" s="426" t="s">
        <v>553</v>
      </c>
    </row>
    <row r="23" spans="1:8" x14ac:dyDescent="0.35">
      <c r="A23" s="280">
        <v>135</v>
      </c>
      <c r="B23" s="426" t="s">
        <v>128</v>
      </c>
      <c r="C23" s="426">
        <v>570200</v>
      </c>
      <c r="D23" s="426" t="s">
        <v>554</v>
      </c>
    </row>
    <row r="24" spans="1:8" x14ac:dyDescent="0.35">
      <c r="A24" s="280">
        <v>136</v>
      </c>
      <c r="B24" s="426" t="s">
        <v>1731</v>
      </c>
      <c r="C24" s="426">
        <v>510250</v>
      </c>
      <c r="D24" s="426" t="s">
        <v>555</v>
      </c>
      <c r="H24" s="241"/>
    </row>
    <row r="25" spans="1:8" x14ac:dyDescent="0.35">
      <c r="A25" s="280">
        <v>137</v>
      </c>
      <c r="B25" s="426" t="s">
        <v>129</v>
      </c>
      <c r="C25" s="426">
        <v>510300</v>
      </c>
      <c r="D25" s="426" t="s">
        <v>556</v>
      </c>
    </row>
    <row r="26" spans="1:8" x14ac:dyDescent="0.35">
      <c r="A26" s="280">
        <v>138</v>
      </c>
      <c r="B26" s="426" t="s">
        <v>131</v>
      </c>
      <c r="C26" s="426">
        <v>510350</v>
      </c>
      <c r="D26" s="426" t="s">
        <v>557</v>
      </c>
    </row>
    <row r="27" spans="1:8" x14ac:dyDescent="0.35">
      <c r="A27" s="280">
        <v>150</v>
      </c>
      <c r="B27" s="426" t="s">
        <v>132</v>
      </c>
      <c r="C27" s="426">
        <v>515100</v>
      </c>
      <c r="D27" s="426" t="s">
        <v>558</v>
      </c>
    </row>
    <row r="28" spans="1:8" x14ac:dyDescent="0.35">
      <c r="A28" s="280">
        <v>150</v>
      </c>
      <c r="B28" s="426" t="s">
        <v>132</v>
      </c>
      <c r="C28" s="426">
        <v>515200</v>
      </c>
      <c r="D28" s="426" t="s">
        <v>559</v>
      </c>
    </row>
    <row r="29" spans="1:8" x14ac:dyDescent="0.35">
      <c r="A29" s="280">
        <v>150</v>
      </c>
      <c r="B29" s="426" t="s">
        <v>132</v>
      </c>
      <c r="C29" s="426">
        <v>515250</v>
      </c>
      <c r="D29" s="426" t="s">
        <v>560</v>
      </c>
    </row>
    <row r="30" spans="1:8" x14ac:dyDescent="0.35">
      <c r="A30" s="280">
        <v>150</v>
      </c>
      <c r="B30" s="426" t="s">
        <v>132</v>
      </c>
      <c r="C30" s="426">
        <v>515300</v>
      </c>
      <c r="D30" s="426" t="s">
        <v>561</v>
      </c>
    </row>
    <row r="31" spans="1:8" x14ac:dyDescent="0.35">
      <c r="A31" s="280">
        <v>150</v>
      </c>
      <c r="B31" s="426" t="s">
        <v>132</v>
      </c>
      <c r="C31" s="426">
        <v>515350</v>
      </c>
      <c r="D31" s="426" t="s">
        <v>562</v>
      </c>
    </row>
    <row r="32" spans="1:8" x14ac:dyDescent="0.35">
      <c r="A32" s="280">
        <v>150</v>
      </c>
      <c r="B32" s="426" t="s">
        <v>132</v>
      </c>
      <c r="C32" s="426">
        <v>515400</v>
      </c>
      <c r="D32" s="426" t="s">
        <v>563</v>
      </c>
    </row>
    <row r="33" spans="1:8" x14ac:dyDescent="0.35">
      <c r="A33" s="280">
        <v>150</v>
      </c>
      <c r="B33" s="426" t="s">
        <v>132</v>
      </c>
      <c r="C33" s="426">
        <v>570220</v>
      </c>
      <c r="D33" s="426" t="s">
        <v>564</v>
      </c>
    </row>
    <row r="34" spans="1:8" x14ac:dyDescent="0.35">
      <c r="A34" s="280">
        <v>150</v>
      </c>
      <c r="B34" s="426" t="s">
        <v>132</v>
      </c>
      <c r="C34" s="426">
        <v>570240</v>
      </c>
      <c r="D34" s="426" t="s">
        <v>565</v>
      </c>
    </row>
    <row r="35" spans="1:8" x14ac:dyDescent="0.35">
      <c r="A35" s="280">
        <v>200</v>
      </c>
      <c r="B35" s="426" t="s">
        <v>135</v>
      </c>
      <c r="C35" s="426">
        <v>520100</v>
      </c>
      <c r="D35" s="426" t="s">
        <v>566</v>
      </c>
    </row>
    <row r="36" spans="1:8" x14ac:dyDescent="0.35">
      <c r="A36" s="280">
        <v>200</v>
      </c>
      <c r="B36" s="426" t="s">
        <v>135</v>
      </c>
      <c r="C36" s="426">
        <v>520150</v>
      </c>
      <c r="D36" s="426" t="s">
        <v>567</v>
      </c>
    </row>
    <row r="37" spans="1:8" x14ac:dyDescent="0.35">
      <c r="A37" s="280">
        <v>200</v>
      </c>
      <c r="B37" s="426" t="s">
        <v>135</v>
      </c>
      <c r="C37" s="426">
        <v>520200</v>
      </c>
      <c r="D37" s="426" t="s">
        <v>568</v>
      </c>
      <c r="H37" s="241"/>
    </row>
    <row r="38" spans="1:8" x14ac:dyDescent="0.35">
      <c r="A38" s="280">
        <v>205</v>
      </c>
      <c r="B38" s="426" t="s">
        <v>137</v>
      </c>
      <c r="C38" s="426">
        <v>520300</v>
      </c>
      <c r="D38" s="426" t="s">
        <v>569</v>
      </c>
    </row>
    <row r="39" spans="1:8" x14ac:dyDescent="0.35">
      <c r="A39" s="280">
        <v>205</v>
      </c>
      <c r="B39" s="426" t="s">
        <v>137</v>
      </c>
      <c r="C39" s="426">
        <v>520400</v>
      </c>
      <c r="D39" s="426" t="s">
        <v>570</v>
      </c>
    </row>
    <row r="40" spans="1:8" x14ac:dyDescent="0.35">
      <c r="A40" s="280">
        <v>205</v>
      </c>
      <c r="B40" s="426" t="s">
        <v>137</v>
      </c>
      <c r="C40" s="426">
        <v>570250</v>
      </c>
      <c r="D40" s="426" t="s">
        <v>571</v>
      </c>
      <c r="H40" s="241"/>
    </row>
    <row r="41" spans="1:8" x14ac:dyDescent="0.35">
      <c r="A41" s="280">
        <v>210</v>
      </c>
      <c r="B41" s="426" t="s">
        <v>572</v>
      </c>
      <c r="C41" s="426">
        <v>520350</v>
      </c>
      <c r="D41" s="426" t="s">
        <v>573</v>
      </c>
    </row>
    <row r="42" spans="1:8" x14ac:dyDescent="0.35">
      <c r="A42" s="280">
        <v>211</v>
      </c>
      <c r="B42" s="426" t="s">
        <v>140</v>
      </c>
      <c r="C42" s="426">
        <v>525300</v>
      </c>
      <c r="D42" s="426" t="s">
        <v>574</v>
      </c>
    </row>
    <row r="43" spans="1:8" x14ac:dyDescent="0.35">
      <c r="A43" s="280">
        <v>211</v>
      </c>
      <c r="B43" s="426" t="s">
        <v>140</v>
      </c>
      <c r="C43" s="426">
        <v>530100</v>
      </c>
      <c r="D43" s="426" t="s">
        <v>575</v>
      </c>
      <c r="H43" s="241"/>
    </row>
    <row r="44" spans="1:8" x14ac:dyDescent="0.35">
      <c r="A44" s="280">
        <v>211</v>
      </c>
      <c r="B44" s="426" t="s">
        <v>140</v>
      </c>
      <c r="C44" s="426">
        <v>530200</v>
      </c>
      <c r="D44" s="426" t="s">
        <v>576</v>
      </c>
    </row>
    <row r="45" spans="1:8" x14ac:dyDescent="0.35">
      <c r="A45" s="280">
        <v>211</v>
      </c>
      <c r="B45" s="426" t="s">
        <v>140</v>
      </c>
      <c r="C45" s="426">
        <v>530250</v>
      </c>
      <c r="D45" s="426" t="s">
        <v>577</v>
      </c>
    </row>
    <row r="46" spans="1:8" x14ac:dyDescent="0.35">
      <c r="A46" s="280">
        <v>211</v>
      </c>
      <c r="B46" s="426" t="s">
        <v>140</v>
      </c>
      <c r="C46" s="426">
        <v>530300</v>
      </c>
      <c r="D46" s="426" t="s">
        <v>578</v>
      </c>
      <c r="H46" s="241"/>
    </row>
    <row r="47" spans="1:8" x14ac:dyDescent="0.35">
      <c r="A47" s="280">
        <v>211</v>
      </c>
      <c r="B47" s="426" t="s">
        <v>140</v>
      </c>
      <c r="C47" s="426">
        <v>530350</v>
      </c>
      <c r="D47" s="426" t="s">
        <v>579</v>
      </c>
    </row>
    <row r="48" spans="1:8" x14ac:dyDescent="0.35">
      <c r="A48" s="280">
        <v>211</v>
      </c>
      <c r="B48" s="426" t="s">
        <v>140</v>
      </c>
      <c r="C48" s="426">
        <v>530400</v>
      </c>
      <c r="D48" s="426" t="s">
        <v>580</v>
      </c>
    </row>
    <row r="49" spans="1:8" x14ac:dyDescent="0.35">
      <c r="A49" s="280">
        <v>211</v>
      </c>
      <c r="B49" s="426" t="s">
        <v>140</v>
      </c>
      <c r="C49" s="426">
        <v>530500</v>
      </c>
      <c r="D49" s="426" t="s">
        <v>581</v>
      </c>
    </row>
    <row r="50" spans="1:8" x14ac:dyDescent="0.35">
      <c r="A50" s="280">
        <v>211</v>
      </c>
      <c r="B50" s="426" t="s">
        <v>140</v>
      </c>
      <c r="C50" s="426">
        <v>530550</v>
      </c>
      <c r="D50" s="426" t="s">
        <v>582</v>
      </c>
    </row>
    <row r="51" spans="1:8" x14ac:dyDescent="0.35">
      <c r="A51" s="280">
        <v>211</v>
      </c>
      <c r="B51" s="426" t="s">
        <v>140</v>
      </c>
      <c r="C51" s="426">
        <v>530580</v>
      </c>
      <c r="D51" s="426" t="s">
        <v>583</v>
      </c>
    </row>
    <row r="52" spans="1:8" x14ac:dyDescent="0.35">
      <c r="A52" s="280">
        <v>211</v>
      </c>
      <c r="B52" s="426" t="s">
        <v>140</v>
      </c>
      <c r="C52" s="426">
        <v>530600</v>
      </c>
      <c r="D52" s="426" t="s">
        <v>584</v>
      </c>
    </row>
    <row r="53" spans="1:8" x14ac:dyDescent="0.35">
      <c r="A53" s="280">
        <v>211</v>
      </c>
      <c r="B53" s="426" t="s">
        <v>140</v>
      </c>
      <c r="C53" s="426">
        <v>530650</v>
      </c>
      <c r="D53" s="426" t="s">
        <v>585</v>
      </c>
    </row>
    <row r="54" spans="1:8" x14ac:dyDescent="0.35">
      <c r="A54" s="280">
        <v>211</v>
      </c>
      <c r="B54" s="426" t="s">
        <v>140</v>
      </c>
      <c r="C54" s="426">
        <v>530660</v>
      </c>
      <c r="D54" s="426" t="s">
        <v>586</v>
      </c>
    </row>
    <row r="55" spans="1:8" x14ac:dyDescent="0.35">
      <c r="A55" s="280">
        <v>211</v>
      </c>
      <c r="B55" s="426" t="s">
        <v>140</v>
      </c>
      <c r="C55" s="426">
        <v>530700</v>
      </c>
      <c r="D55" s="426" t="s">
        <v>587</v>
      </c>
    </row>
    <row r="56" spans="1:8" x14ac:dyDescent="0.35">
      <c r="A56" s="280">
        <v>211</v>
      </c>
      <c r="B56" s="426" t="s">
        <v>140</v>
      </c>
      <c r="C56" s="426">
        <v>530990</v>
      </c>
      <c r="D56" s="426" t="s">
        <v>588</v>
      </c>
      <c r="H56" s="241"/>
    </row>
    <row r="57" spans="1:8" x14ac:dyDescent="0.35">
      <c r="A57" s="280">
        <v>212</v>
      </c>
      <c r="B57" s="426" t="s">
        <v>145</v>
      </c>
      <c r="C57" s="426">
        <v>595200</v>
      </c>
      <c r="D57" s="426" t="s">
        <v>589</v>
      </c>
    </row>
    <row r="58" spans="1:8" x14ac:dyDescent="0.35">
      <c r="A58" s="280">
        <v>212</v>
      </c>
      <c r="B58" s="426" t="s">
        <v>145</v>
      </c>
      <c r="C58" s="426">
        <v>599200</v>
      </c>
      <c r="D58" s="426" t="s">
        <v>590</v>
      </c>
    </row>
    <row r="59" spans="1:8" x14ac:dyDescent="0.35">
      <c r="A59" s="280">
        <v>213</v>
      </c>
      <c r="B59" s="426" t="s">
        <v>141</v>
      </c>
      <c r="C59" s="426">
        <v>525750</v>
      </c>
      <c r="D59" s="426" t="s">
        <v>591</v>
      </c>
    </row>
    <row r="60" spans="1:8" ht="16.5" customHeight="1" x14ac:dyDescent="0.35">
      <c r="A60" s="280">
        <v>215</v>
      </c>
      <c r="B60" s="426" t="s">
        <v>147</v>
      </c>
      <c r="C60" s="426">
        <v>590200</v>
      </c>
      <c r="D60" s="426" t="s">
        <v>592</v>
      </c>
    </row>
    <row r="61" spans="1:8" x14ac:dyDescent="0.35">
      <c r="A61" s="280">
        <v>215</v>
      </c>
      <c r="B61" s="426" t="s">
        <v>147</v>
      </c>
      <c r="C61" s="426">
        <v>590350</v>
      </c>
      <c r="D61" s="426" t="s">
        <v>593</v>
      </c>
      <c r="H61" s="241"/>
    </row>
    <row r="62" spans="1:8" x14ac:dyDescent="0.35">
      <c r="A62" s="280">
        <v>220</v>
      </c>
      <c r="B62" s="426" t="s">
        <v>142</v>
      </c>
      <c r="C62" s="426">
        <v>525100</v>
      </c>
      <c r="D62" s="426" t="s">
        <v>594</v>
      </c>
    </row>
    <row r="63" spans="1:8" x14ac:dyDescent="0.35">
      <c r="A63" s="280">
        <v>220</v>
      </c>
      <c r="B63" s="426" t="s">
        <v>142</v>
      </c>
      <c r="C63" s="426">
        <v>525150</v>
      </c>
      <c r="D63" s="426" t="s">
        <v>595</v>
      </c>
    </row>
    <row r="64" spans="1:8" x14ac:dyDescent="0.35">
      <c r="A64" s="280">
        <v>220</v>
      </c>
      <c r="B64" s="426" t="s">
        <v>142</v>
      </c>
      <c r="C64" s="426">
        <v>525200</v>
      </c>
      <c r="D64" s="426" t="s">
        <v>596</v>
      </c>
    </row>
    <row r="65" spans="1:8" x14ac:dyDescent="0.35">
      <c r="A65" s="280">
        <v>220</v>
      </c>
      <c r="B65" s="426" t="s">
        <v>142</v>
      </c>
      <c r="C65" s="426">
        <v>525210</v>
      </c>
      <c r="D65" s="426" t="s">
        <v>597</v>
      </c>
    </row>
    <row r="66" spans="1:8" x14ac:dyDescent="0.35">
      <c r="A66" s="280">
        <v>220</v>
      </c>
      <c r="B66" s="426" t="s">
        <v>142</v>
      </c>
      <c r="C66" s="426">
        <v>525400</v>
      </c>
      <c r="D66" s="426" t="s">
        <v>598</v>
      </c>
      <c r="H66" s="241"/>
    </row>
    <row r="67" spans="1:8" x14ac:dyDescent="0.35">
      <c r="A67" s="280">
        <v>220</v>
      </c>
      <c r="B67" s="426" t="s">
        <v>142</v>
      </c>
      <c r="C67" s="426">
        <v>525450</v>
      </c>
      <c r="D67" s="426" t="s">
        <v>599</v>
      </c>
    </row>
    <row r="68" spans="1:8" x14ac:dyDescent="0.35">
      <c r="A68" s="280">
        <v>220</v>
      </c>
      <c r="B68" s="426" t="s">
        <v>142</v>
      </c>
      <c r="C68" s="426">
        <v>525500</v>
      </c>
      <c r="D68" s="426" t="s">
        <v>600</v>
      </c>
    </row>
    <row r="69" spans="1:8" x14ac:dyDescent="0.35">
      <c r="A69" s="280">
        <v>220</v>
      </c>
      <c r="B69" s="426" t="s">
        <v>142</v>
      </c>
      <c r="C69" s="426">
        <v>525600</v>
      </c>
      <c r="D69" s="426" t="s">
        <v>601</v>
      </c>
      <c r="H69" s="241"/>
    </row>
    <row r="70" spans="1:8" x14ac:dyDescent="0.35">
      <c r="A70" s="280">
        <v>220</v>
      </c>
      <c r="B70" s="426" t="s">
        <v>142</v>
      </c>
      <c r="C70" s="426">
        <v>570100</v>
      </c>
      <c r="D70" s="426" t="s">
        <v>602</v>
      </c>
    </row>
    <row r="71" spans="1:8" x14ac:dyDescent="0.35">
      <c r="A71" s="280">
        <v>220</v>
      </c>
      <c r="B71" s="426" t="s">
        <v>142</v>
      </c>
      <c r="C71" s="426">
        <v>570300</v>
      </c>
      <c r="D71" s="426" t="s">
        <v>603</v>
      </c>
    </row>
    <row r="72" spans="1:8" x14ac:dyDescent="0.35">
      <c r="A72" s="280">
        <v>220</v>
      </c>
      <c r="B72" s="426" t="s">
        <v>142</v>
      </c>
      <c r="C72" s="426">
        <v>580300</v>
      </c>
      <c r="D72" s="426" t="s">
        <v>604</v>
      </c>
    </row>
    <row r="73" spans="1:8" x14ac:dyDescent="0.35">
      <c r="A73" s="280">
        <v>220</v>
      </c>
      <c r="B73" s="426" t="s">
        <v>142</v>
      </c>
      <c r="C73" s="426">
        <v>580310</v>
      </c>
      <c r="D73" s="426" t="s">
        <v>605</v>
      </c>
    </row>
    <row r="74" spans="1:8" x14ac:dyDescent="0.35">
      <c r="A74" s="280">
        <v>220</v>
      </c>
      <c r="B74" s="426" t="s">
        <v>142</v>
      </c>
      <c r="C74" s="426">
        <v>580350</v>
      </c>
      <c r="D74" s="426" t="s">
        <v>606</v>
      </c>
    </row>
    <row r="75" spans="1:8" x14ac:dyDescent="0.35">
      <c r="A75" s="280">
        <v>220</v>
      </c>
      <c r="B75" s="426" t="s">
        <v>142</v>
      </c>
      <c r="C75" s="426">
        <v>580360</v>
      </c>
      <c r="D75" s="426" t="s">
        <v>607</v>
      </c>
    </row>
    <row r="76" spans="1:8" x14ac:dyDescent="0.35">
      <c r="A76" s="280">
        <v>220</v>
      </c>
      <c r="B76" s="426" t="s">
        <v>142</v>
      </c>
      <c r="C76" s="426">
        <v>580400</v>
      </c>
      <c r="D76" s="426" t="s">
        <v>608</v>
      </c>
    </row>
    <row r="77" spans="1:8" x14ac:dyDescent="0.35">
      <c r="A77" s="280">
        <v>220</v>
      </c>
      <c r="B77" s="426" t="s">
        <v>142</v>
      </c>
      <c r="C77" s="426">
        <v>580410</v>
      </c>
      <c r="D77" s="426" t="s">
        <v>609</v>
      </c>
    </row>
    <row r="78" spans="1:8" x14ac:dyDescent="0.35">
      <c r="A78" s="280">
        <v>255</v>
      </c>
      <c r="B78" s="426" t="s">
        <v>152</v>
      </c>
      <c r="C78" s="426">
        <v>560400</v>
      </c>
      <c r="D78" s="426" t="s">
        <v>610</v>
      </c>
    </row>
    <row r="79" spans="1:8" x14ac:dyDescent="0.35">
      <c r="A79" s="280">
        <v>255</v>
      </c>
      <c r="B79" s="426" t="s">
        <v>152</v>
      </c>
      <c r="C79" s="426">
        <v>892800</v>
      </c>
      <c r="D79" s="426" t="s">
        <v>611</v>
      </c>
    </row>
    <row r="80" spans="1:8" x14ac:dyDescent="0.35">
      <c r="A80" s="280">
        <v>310</v>
      </c>
      <c r="B80" s="426" t="s">
        <v>156</v>
      </c>
      <c r="C80" s="426">
        <v>610100</v>
      </c>
      <c r="D80" s="426" t="s">
        <v>612</v>
      </c>
    </row>
    <row r="81" spans="1:8" x14ac:dyDescent="0.35">
      <c r="A81" s="280">
        <v>310</v>
      </c>
      <c r="B81" s="426" t="s">
        <v>156</v>
      </c>
      <c r="C81" s="426">
        <v>610150</v>
      </c>
      <c r="D81" s="426" t="s">
        <v>613</v>
      </c>
    </row>
    <row r="82" spans="1:8" x14ac:dyDescent="0.35">
      <c r="A82" s="280">
        <v>310</v>
      </c>
      <c r="B82" s="426" t="s">
        <v>156</v>
      </c>
      <c r="C82" s="426">
        <v>611100</v>
      </c>
      <c r="D82" s="426" t="s">
        <v>614</v>
      </c>
    </row>
    <row r="83" spans="1:8" x14ac:dyDescent="0.35">
      <c r="A83" s="280">
        <v>310</v>
      </c>
      <c r="B83" s="426" t="s">
        <v>156</v>
      </c>
      <c r="C83" s="426">
        <v>611150</v>
      </c>
      <c r="D83" s="426" t="s">
        <v>615</v>
      </c>
    </row>
    <row r="84" spans="1:8" x14ac:dyDescent="0.35">
      <c r="A84" s="280">
        <v>310</v>
      </c>
      <c r="B84" s="426" t="s">
        <v>156</v>
      </c>
      <c r="C84" s="426">
        <v>612100</v>
      </c>
      <c r="D84" s="426" t="s">
        <v>616</v>
      </c>
    </row>
    <row r="85" spans="1:8" x14ac:dyDescent="0.35">
      <c r="A85" s="280">
        <v>310</v>
      </c>
      <c r="B85" s="426" t="s">
        <v>156</v>
      </c>
      <c r="C85" s="426">
        <v>612150</v>
      </c>
      <c r="D85" s="426" t="s">
        <v>617</v>
      </c>
    </row>
    <row r="86" spans="1:8" x14ac:dyDescent="0.35">
      <c r="A86" s="280">
        <v>310</v>
      </c>
      <c r="B86" s="426" t="s">
        <v>156</v>
      </c>
      <c r="C86" s="426">
        <v>615100</v>
      </c>
      <c r="D86" s="426" t="s">
        <v>618</v>
      </c>
      <c r="H86" s="241"/>
    </row>
    <row r="87" spans="1:8" x14ac:dyDescent="0.35">
      <c r="A87" s="280">
        <v>310</v>
      </c>
      <c r="B87" s="426" t="s">
        <v>156</v>
      </c>
      <c r="C87" s="426">
        <v>615150</v>
      </c>
      <c r="D87" s="426" t="s">
        <v>619</v>
      </c>
    </row>
    <row r="88" spans="1:8" x14ac:dyDescent="0.35">
      <c r="A88" s="280">
        <v>310</v>
      </c>
      <c r="B88" s="426" t="s">
        <v>156</v>
      </c>
      <c r="C88" s="426">
        <v>620100</v>
      </c>
      <c r="D88" s="426" t="s">
        <v>620</v>
      </c>
    </row>
    <row r="89" spans="1:8" x14ac:dyDescent="0.35">
      <c r="A89" s="280">
        <v>310</v>
      </c>
      <c r="B89" s="426" t="s">
        <v>156</v>
      </c>
      <c r="C89" s="426">
        <v>620150</v>
      </c>
      <c r="D89" s="426" t="s">
        <v>621</v>
      </c>
    </row>
    <row r="90" spans="1:8" x14ac:dyDescent="0.35">
      <c r="A90" s="280">
        <v>310</v>
      </c>
      <c r="B90" s="426" t="s">
        <v>156</v>
      </c>
      <c r="C90" s="426">
        <v>622100</v>
      </c>
      <c r="D90" s="426" t="s">
        <v>622</v>
      </c>
    </row>
    <row r="91" spans="1:8" x14ac:dyDescent="0.35">
      <c r="A91" s="280">
        <v>310</v>
      </c>
      <c r="B91" s="426" t="s">
        <v>156</v>
      </c>
      <c r="C91" s="426">
        <v>622150</v>
      </c>
      <c r="D91" s="426" t="s">
        <v>623</v>
      </c>
    </row>
    <row r="92" spans="1:8" x14ac:dyDescent="0.35">
      <c r="A92" s="280">
        <v>310</v>
      </c>
      <c r="B92" s="426" t="s">
        <v>156</v>
      </c>
      <c r="C92" s="426">
        <v>623100</v>
      </c>
      <c r="D92" s="426" t="s">
        <v>624</v>
      </c>
    </row>
    <row r="93" spans="1:8" x14ac:dyDescent="0.35">
      <c r="A93" s="280">
        <v>310</v>
      </c>
      <c r="B93" s="426" t="s">
        <v>156</v>
      </c>
      <c r="C93" s="426">
        <v>623150</v>
      </c>
      <c r="D93" s="426" t="s">
        <v>625</v>
      </c>
    </row>
    <row r="94" spans="1:8" x14ac:dyDescent="0.35">
      <c r="A94" s="280">
        <v>310</v>
      </c>
      <c r="B94" s="426" t="s">
        <v>156</v>
      </c>
      <c r="C94" s="426">
        <v>624100</v>
      </c>
      <c r="D94" s="426" t="s">
        <v>626</v>
      </c>
    </row>
    <row r="95" spans="1:8" x14ac:dyDescent="0.35">
      <c r="A95" s="280">
        <v>310</v>
      </c>
      <c r="B95" s="426" t="s">
        <v>156</v>
      </c>
      <c r="C95" s="426">
        <v>624150</v>
      </c>
      <c r="D95" s="426" t="s">
        <v>627</v>
      </c>
    </row>
    <row r="96" spans="1:8" x14ac:dyDescent="0.35">
      <c r="A96" s="280">
        <v>310</v>
      </c>
      <c r="B96" s="426" t="s">
        <v>156</v>
      </c>
      <c r="C96" s="426">
        <v>625100</v>
      </c>
      <c r="D96" s="426" t="s">
        <v>628</v>
      </c>
    </row>
    <row r="97" spans="1:8" x14ac:dyDescent="0.35">
      <c r="A97" s="280">
        <v>310</v>
      </c>
      <c r="B97" s="426" t="s">
        <v>156</v>
      </c>
      <c r="C97" s="426">
        <v>625150</v>
      </c>
      <c r="D97" s="426" t="s">
        <v>629</v>
      </c>
    </row>
    <row r="98" spans="1:8" x14ac:dyDescent="0.35">
      <c r="A98" s="280">
        <v>310</v>
      </c>
      <c r="B98" s="426" t="s">
        <v>156</v>
      </c>
      <c r="C98" s="426">
        <v>627100</v>
      </c>
      <c r="D98" s="426" t="s">
        <v>630</v>
      </c>
    </row>
    <row r="99" spans="1:8" x14ac:dyDescent="0.35">
      <c r="A99" s="280">
        <v>310</v>
      </c>
      <c r="B99" s="426" t="s">
        <v>156</v>
      </c>
      <c r="C99" s="426">
        <v>627150</v>
      </c>
      <c r="D99" s="426" t="s">
        <v>631</v>
      </c>
    </row>
    <row r="100" spans="1:8" x14ac:dyDescent="0.35">
      <c r="A100" s="280">
        <v>310</v>
      </c>
      <c r="B100" s="426" t="s">
        <v>156</v>
      </c>
      <c r="C100" s="426">
        <v>630100</v>
      </c>
      <c r="D100" s="426" t="s">
        <v>632</v>
      </c>
    </row>
    <row r="101" spans="1:8" x14ac:dyDescent="0.35">
      <c r="A101" s="280">
        <v>310</v>
      </c>
      <c r="B101" s="426" t="s">
        <v>156</v>
      </c>
      <c r="C101" s="426">
        <v>630150</v>
      </c>
      <c r="D101" s="426" t="s">
        <v>633</v>
      </c>
    </row>
    <row r="102" spans="1:8" x14ac:dyDescent="0.35">
      <c r="A102" s="280">
        <v>310</v>
      </c>
      <c r="B102" s="426" t="s">
        <v>156</v>
      </c>
      <c r="C102" s="426">
        <v>632100</v>
      </c>
      <c r="D102" s="426" t="s">
        <v>634</v>
      </c>
      <c r="H102" s="241"/>
    </row>
    <row r="103" spans="1:8" x14ac:dyDescent="0.35">
      <c r="A103" s="280">
        <v>310</v>
      </c>
      <c r="B103" s="426" t="s">
        <v>156</v>
      </c>
      <c r="C103" s="426">
        <v>632150</v>
      </c>
      <c r="D103" s="426" t="s">
        <v>635</v>
      </c>
    </row>
    <row r="104" spans="1:8" x14ac:dyDescent="0.35">
      <c r="A104" s="280">
        <v>310</v>
      </c>
      <c r="B104" s="426" t="s">
        <v>156</v>
      </c>
      <c r="C104" s="426">
        <v>635100</v>
      </c>
      <c r="D104" s="426" t="s">
        <v>636</v>
      </c>
    </row>
    <row r="105" spans="1:8" x14ac:dyDescent="0.35">
      <c r="A105" s="280">
        <v>310</v>
      </c>
      <c r="B105" s="426" t="s">
        <v>156</v>
      </c>
      <c r="C105" s="426">
        <v>635150</v>
      </c>
      <c r="D105" s="426" t="s">
        <v>637</v>
      </c>
    </row>
    <row r="106" spans="1:8" x14ac:dyDescent="0.35">
      <c r="A106" s="280">
        <v>310</v>
      </c>
      <c r="B106" s="426" t="s">
        <v>156</v>
      </c>
      <c r="C106" s="426">
        <v>637100</v>
      </c>
      <c r="D106" s="426" t="s">
        <v>638</v>
      </c>
      <c r="H106" s="241"/>
    </row>
    <row r="107" spans="1:8" x14ac:dyDescent="0.35">
      <c r="A107" s="280">
        <v>310</v>
      </c>
      <c r="B107" s="426" t="s">
        <v>156</v>
      </c>
      <c r="C107" s="426">
        <v>637150</v>
      </c>
      <c r="D107" s="426" t="s">
        <v>639</v>
      </c>
    </row>
    <row r="108" spans="1:8" x14ac:dyDescent="0.35">
      <c r="A108" s="280">
        <v>310</v>
      </c>
      <c r="B108" s="426" t="s">
        <v>156</v>
      </c>
      <c r="C108" s="426">
        <v>640100</v>
      </c>
      <c r="D108" s="426" t="s">
        <v>640</v>
      </c>
    </row>
    <row r="109" spans="1:8" x14ac:dyDescent="0.35">
      <c r="A109" s="280">
        <v>310</v>
      </c>
      <c r="B109" s="426" t="s">
        <v>156</v>
      </c>
      <c r="C109" s="426">
        <v>640150</v>
      </c>
      <c r="D109" s="426" t="s">
        <v>641</v>
      </c>
    </row>
    <row r="110" spans="1:8" x14ac:dyDescent="0.35">
      <c r="A110" s="280">
        <v>310</v>
      </c>
      <c r="B110" s="426" t="s">
        <v>156</v>
      </c>
      <c r="C110" s="426">
        <v>642100</v>
      </c>
      <c r="D110" s="426" t="s">
        <v>642</v>
      </c>
      <c r="H110" s="241"/>
    </row>
    <row r="111" spans="1:8" x14ac:dyDescent="0.35">
      <c r="A111" s="280">
        <v>310</v>
      </c>
      <c r="B111" s="426" t="s">
        <v>156</v>
      </c>
      <c r="C111" s="426">
        <v>642150</v>
      </c>
      <c r="D111" s="426" t="s">
        <v>643</v>
      </c>
    </row>
    <row r="112" spans="1:8" x14ac:dyDescent="0.35">
      <c r="A112" s="280">
        <v>310</v>
      </c>
      <c r="B112" s="426" t="s">
        <v>156</v>
      </c>
      <c r="C112" s="426">
        <v>645100</v>
      </c>
      <c r="D112" s="426" t="s">
        <v>644</v>
      </c>
    </row>
    <row r="113" spans="1:8" x14ac:dyDescent="0.35">
      <c r="A113" s="280">
        <v>310</v>
      </c>
      <c r="B113" s="426" t="s">
        <v>156</v>
      </c>
      <c r="C113" s="426">
        <v>645150</v>
      </c>
      <c r="D113" s="426" t="s">
        <v>645</v>
      </c>
    </row>
    <row r="114" spans="1:8" x14ac:dyDescent="0.35">
      <c r="A114" s="280">
        <v>310</v>
      </c>
      <c r="B114" s="426" t="s">
        <v>156</v>
      </c>
      <c r="C114" s="426">
        <v>647100</v>
      </c>
      <c r="D114" s="426" t="s">
        <v>646</v>
      </c>
      <c r="H114" s="241"/>
    </row>
    <row r="115" spans="1:8" x14ac:dyDescent="0.35">
      <c r="A115" s="280">
        <v>310</v>
      </c>
      <c r="B115" s="426" t="s">
        <v>156</v>
      </c>
      <c r="C115" s="426">
        <v>647150</v>
      </c>
      <c r="D115" s="426" t="s">
        <v>647</v>
      </c>
    </row>
    <row r="116" spans="1:8" x14ac:dyDescent="0.35">
      <c r="A116" s="280">
        <v>310</v>
      </c>
      <c r="B116" s="426" t="s">
        <v>156</v>
      </c>
      <c r="C116" s="426">
        <v>648100</v>
      </c>
      <c r="D116" s="426" t="s">
        <v>648</v>
      </c>
    </row>
    <row r="117" spans="1:8" x14ac:dyDescent="0.35">
      <c r="A117" s="280">
        <v>310</v>
      </c>
      <c r="B117" s="426" t="s">
        <v>156</v>
      </c>
      <c r="C117" s="426">
        <v>648150</v>
      </c>
      <c r="D117" s="426" t="s">
        <v>649</v>
      </c>
    </row>
    <row r="118" spans="1:8" x14ac:dyDescent="0.35">
      <c r="A118" s="280">
        <v>310</v>
      </c>
      <c r="B118" s="426" t="s">
        <v>156</v>
      </c>
      <c r="C118" s="426">
        <v>650400</v>
      </c>
      <c r="D118" s="426" t="s">
        <v>650</v>
      </c>
    </row>
    <row r="119" spans="1:8" x14ac:dyDescent="0.35">
      <c r="A119" s="280">
        <v>310</v>
      </c>
      <c r="B119" s="426" t="s">
        <v>156</v>
      </c>
      <c r="C119" s="426">
        <v>650450</v>
      </c>
      <c r="D119" s="426" t="s">
        <v>651</v>
      </c>
    </row>
    <row r="120" spans="1:8" x14ac:dyDescent="0.35">
      <c r="A120" s="280">
        <v>310</v>
      </c>
      <c r="B120" s="426" t="s">
        <v>156</v>
      </c>
      <c r="C120" s="426">
        <v>650500</v>
      </c>
      <c r="D120" s="426" t="s">
        <v>652</v>
      </c>
    </row>
    <row r="121" spans="1:8" x14ac:dyDescent="0.35">
      <c r="A121" s="280">
        <v>310</v>
      </c>
      <c r="B121" s="426" t="s">
        <v>156</v>
      </c>
      <c r="C121" s="426">
        <v>650550</v>
      </c>
      <c r="D121" s="426" t="s">
        <v>653</v>
      </c>
    </row>
    <row r="122" spans="1:8" x14ac:dyDescent="0.35">
      <c r="A122" s="280">
        <v>310</v>
      </c>
      <c r="B122" s="426" t="s">
        <v>156</v>
      </c>
      <c r="C122" s="426">
        <v>655100</v>
      </c>
      <c r="D122" s="426" t="s">
        <v>654</v>
      </c>
    </row>
    <row r="123" spans="1:8" x14ac:dyDescent="0.35">
      <c r="A123" s="280">
        <v>310</v>
      </c>
      <c r="B123" s="426" t="s">
        <v>156</v>
      </c>
      <c r="C123" s="426">
        <v>655150</v>
      </c>
      <c r="D123" s="426" t="s">
        <v>655</v>
      </c>
    </row>
    <row r="124" spans="1:8" x14ac:dyDescent="0.35">
      <c r="A124" s="280">
        <v>310</v>
      </c>
      <c r="B124" s="426" t="s">
        <v>156</v>
      </c>
      <c r="C124" s="426">
        <v>655500</v>
      </c>
      <c r="D124" s="426" t="s">
        <v>656</v>
      </c>
    </row>
    <row r="125" spans="1:8" x14ac:dyDescent="0.35">
      <c r="A125" s="280">
        <v>310</v>
      </c>
      <c r="B125" s="426" t="s">
        <v>156</v>
      </c>
      <c r="C125" s="426">
        <v>656100</v>
      </c>
      <c r="D125" s="426" t="s">
        <v>657</v>
      </c>
    </row>
    <row r="126" spans="1:8" x14ac:dyDescent="0.35">
      <c r="A126" s="280">
        <v>310</v>
      </c>
      <c r="B126" s="426" t="s">
        <v>156</v>
      </c>
      <c r="C126" s="426">
        <v>656150</v>
      </c>
      <c r="D126" s="426" t="s">
        <v>658</v>
      </c>
    </row>
    <row r="127" spans="1:8" x14ac:dyDescent="0.35">
      <c r="A127" s="280">
        <v>310</v>
      </c>
      <c r="B127" s="426" t="s">
        <v>156</v>
      </c>
      <c r="C127" s="426">
        <v>656520</v>
      </c>
      <c r="D127" s="426" t="s">
        <v>659</v>
      </c>
    </row>
    <row r="128" spans="1:8" x14ac:dyDescent="0.35">
      <c r="A128" s="280">
        <v>310</v>
      </c>
      <c r="B128" s="426" t="s">
        <v>156</v>
      </c>
      <c r="C128" s="426">
        <v>675200</v>
      </c>
      <c r="D128" s="426" t="s">
        <v>660</v>
      </c>
    </row>
    <row r="129" spans="1:4" x14ac:dyDescent="0.35">
      <c r="A129" s="280">
        <v>310</v>
      </c>
      <c r="B129" s="426" t="s">
        <v>156</v>
      </c>
      <c r="C129" s="426">
        <v>845100</v>
      </c>
      <c r="D129" s="426" t="s">
        <v>661</v>
      </c>
    </row>
    <row r="130" spans="1:4" x14ac:dyDescent="0.35">
      <c r="A130" s="280">
        <v>310</v>
      </c>
      <c r="B130" s="426" t="s">
        <v>156</v>
      </c>
      <c r="C130" s="426">
        <v>845150</v>
      </c>
      <c r="D130" s="426" t="s">
        <v>662</v>
      </c>
    </row>
    <row r="131" spans="1:4" x14ac:dyDescent="0.35">
      <c r="A131" s="280">
        <v>310</v>
      </c>
      <c r="B131" s="426" t="s">
        <v>156</v>
      </c>
      <c r="C131" s="426">
        <v>845200</v>
      </c>
      <c r="D131" s="426" t="s">
        <v>663</v>
      </c>
    </row>
    <row r="132" spans="1:4" x14ac:dyDescent="0.35">
      <c r="A132" s="280">
        <v>310</v>
      </c>
      <c r="B132" s="426" t="s">
        <v>156</v>
      </c>
      <c r="C132" s="426">
        <v>845260</v>
      </c>
      <c r="D132" s="426" t="s">
        <v>664</v>
      </c>
    </row>
    <row r="133" spans="1:4" x14ac:dyDescent="0.35">
      <c r="A133" s="280">
        <v>310</v>
      </c>
      <c r="B133" s="426" t="s">
        <v>156</v>
      </c>
      <c r="C133" s="426">
        <v>845270</v>
      </c>
      <c r="D133" s="426" t="s">
        <v>665</v>
      </c>
    </row>
    <row r="134" spans="1:4" x14ac:dyDescent="0.35">
      <c r="A134" s="280">
        <v>310</v>
      </c>
      <c r="B134" s="426" t="s">
        <v>156</v>
      </c>
      <c r="C134" s="426">
        <v>845280</v>
      </c>
      <c r="D134" s="426" t="s">
        <v>666</v>
      </c>
    </row>
    <row r="135" spans="1:4" x14ac:dyDescent="0.35">
      <c r="A135" s="280">
        <v>310</v>
      </c>
      <c r="B135" s="426" t="s">
        <v>156</v>
      </c>
      <c r="C135" s="426">
        <v>845290</v>
      </c>
      <c r="D135" s="426" t="s">
        <v>667</v>
      </c>
    </row>
    <row r="136" spans="1:4" x14ac:dyDescent="0.35">
      <c r="A136" s="280">
        <v>310</v>
      </c>
      <c r="B136" s="426" t="s">
        <v>156</v>
      </c>
      <c r="C136" s="426">
        <v>845300</v>
      </c>
      <c r="D136" s="426" t="s">
        <v>668</v>
      </c>
    </row>
    <row r="137" spans="1:4" x14ac:dyDescent="0.35">
      <c r="A137" s="280">
        <v>310</v>
      </c>
      <c r="B137" s="426" t="s">
        <v>156</v>
      </c>
      <c r="C137" s="426">
        <v>845310</v>
      </c>
      <c r="D137" s="426" t="s">
        <v>669</v>
      </c>
    </row>
    <row r="138" spans="1:4" x14ac:dyDescent="0.35">
      <c r="A138" s="280">
        <v>310</v>
      </c>
      <c r="B138" s="426" t="s">
        <v>156</v>
      </c>
      <c r="C138" s="426">
        <v>872100</v>
      </c>
      <c r="D138" s="426" t="s">
        <v>1707</v>
      </c>
    </row>
    <row r="139" spans="1:4" x14ac:dyDescent="0.35">
      <c r="A139" s="280">
        <v>310</v>
      </c>
      <c r="B139" s="426" t="s">
        <v>156</v>
      </c>
      <c r="C139" s="426">
        <v>872500</v>
      </c>
      <c r="D139" s="426" t="s">
        <v>1708</v>
      </c>
    </row>
    <row r="140" spans="1:4" x14ac:dyDescent="0.35">
      <c r="A140" s="280">
        <v>311</v>
      </c>
      <c r="B140" s="426" t="s">
        <v>158</v>
      </c>
      <c r="C140" s="426">
        <v>610200</v>
      </c>
      <c r="D140" s="426" t="s">
        <v>670</v>
      </c>
    </row>
    <row r="141" spans="1:4" x14ac:dyDescent="0.35">
      <c r="A141" s="280">
        <v>311</v>
      </c>
      <c r="B141" s="426" t="s">
        <v>158</v>
      </c>
      <c r="C141" s="426">
        <v>611200</v>
      </c>
      <c r="D141" s="426" t="s">
        <v>671</v>
      </c>
    </row>
    <row r="142" spans="1:4" x14ac:dyDescent="0.35">
      <c r="A142" s="280">
        <v>311</v>
      </c>
      <c r="B142" s="426" t="s">
        <v>158</v>
      </c>
      <c r="C142" s="426">
        <v>612200</v>
      </c>
      <c r="D142" s="426" t="s">
        <v>672</v>
      </c>
    </row>
    <row r="143" spans="1:4" x14ac:dyDescent="0.35">
      <c r="A143" s="280">
        <v>311</v>
      </c>
      <c r="B143" s="426" t="s">
        <v>158</v>
      </c>
      <c r="C143" s="426">
        <v>615200</v>
      </c>
      <c r="D143" s="426" t="s">
        <v>673</v>
      </c>
    </row>
    <row r="144" spans="1:4" x14ac:dyDescent="0.35">
      <c r="A144" s="280">
        <v>311</v>
      </c>
      <c r="B144" s="426" t="s">
        <v>158</v>
      </c>
      <c r="C144" s="426">
        <v>620200</v>
      </c>
      <c r="D144" s="426" t="s">
        <v>674</v>
      </c>
    </row>
    <row r="145" spans="1:4" x14ac:dyDescent="0.35">
      <c r="A145" s="280">
        <v>311</v>
      </c>
      <c r="B145" s="426" t="s">
        <v>158</v>
      </c>
      <c r="C145" s="426">
        <v>622200</v>
      </c>
      <c r="D145" s="426" t="s">
        <v>675</v>
      </c>
    </row>
    <row r="146" spans="1:4" x14ac:dyDescent="0.35">
      <c r="A146" s="280">
        <v>311</v>
      </c>
      <c r="B146" s="426" t="s">
        <v>158</v>
      </c>
      <c r="C146" s="426">
        <v>623200</v>
      </c>
      <c r="D146" s="426" t="s">
        <v>676</v>
      </c>
    </row>
    <row r="147" spans="1:4" x14ac:dyDescent="0.35">
      <c r="A147" s="280">
        <v>311</v>
      </c>
      <c r="B147" s="426" t="s">
        <v>158</v>
      </c>
      <c r="C147" s="426">
        <v>624200</v>
      </c>
      <c r="D147" s="426" t="s">
        <v>677</v>
      </c>
    </row>
    <row r="148" spans="1:4" x14ac:dyDescent="0.35">
      <c r="A148" s="280">
        <v>311</v>
      </c>
      <c r="B148" s="426" t="s">
        <v>158</v>
      </c>
      <c r="C148" s="426">
        <v>625200</v>
      </c>
      <c r="D148" s="426" t="s">
        <v>678</v>
      </c>
    </row>
    <row r="149" spans="1:4" x14ac:dyDescent="0.35">
      <c r="A149" s="280">
        <v>311</v>
      </c>
      <c r="B149" s="426" t="s">
        <v>158</v>
      </c>
      <c r="C149" s="426">
        <v>627200</v>
      </c>
      <c r="D149" s="426" t="s">
        <v>679</v>
      </c>
    </row>
    <row r="150" spans="1:4" x14ac:dyDescent="0.35">
      <c r="A150" s="280">
        <v>311</v>
      </c>
      <c r="B150" s="426" t="s">
        <v>158</v>
      </c>
      <c r="C150" s="426">
        <v>630200</v>
      </c>
      <c r="D150" s="426" t="s">
        <v>680</v>
      </c>
    </row>
    <row r="151" spans="1:4" x14ac:dyDescent="0.35">
      <c r="A151" s="280">
        <v>311</v>
      </c>
      <c r="B151" s="426" t="s">
        <v>158</v>
      </c>
      <c r="C151" s="426">
        <v>632200</v>
      </c>
      <c r="D151" s="426" t="s">
        <v>681</v>
      </c>
    </row>
    <row r="152" spans="1:4" x14ac:dyDescent="0.35">
      <c r="A152" s="280">
        <v>311</v>
      </c>
      <c r="B152" s="426" t="s">
        <v>158</v>
      </c>
      <c r="C152" s="426">
        <v>635200</v>
      </c>
      <c r="D152" s="426" t="s">
        <v>682</v>
      </c>
    </row>
    <row r="153" spans="1:4" x14ac:dyDescent="0.35">
      <c r="A153" s="280">
        <v>311</v>
      </c>
      <c r="B153" s="426" t="s">
        <v>158</v>
      </c>
      <c r="C153" s="426">
        <v>637200</v>
      </c>
      <c r="D153" s="426" t="s">
        <v>683</v>
      </c>
    </row>
    <row r="154" spans="1:4" x14ac:dyDescent="0.35">
      <c r="A154" s="280">
        <v>311</v>
      </c>
      <c r="B154" s="426" t="s">
        <v>158</v>
      </c>
      <c r="C154" s="426">
        <v>640200</v>
      </c>
      <c r="D154" s="426" t="s">
        <v>684</v>
      </c>
    </row>
    <row r="155" spans="1:4" x14ac:dyDescent="0.35">
      <c r="A155" s="280">
        <v>311</v>
      </c>
      <c r="B155" s="426" t="s">
        <v>158</v>
      </c>
      <c r="C155" s="426">
        <v>642200</v>
      </c>
      <c r="D155" s="426" t="s">
        <v>685</v>
      </c>
    </row>
    <row r="156" spans="1:4" x14ac:dyDescent="0.35">
      <c r="A156" s="280">
        <v>311</v>
      </c>
      <c r="B156" s="426" t="s">
        <v>158</v>
      </c>
      <c r="C156" s="426">
        <v>645200</v>
      </c>
      <c r="D156" s="426" t="s">
        <v>686</v>
      </c>
    </row>
    <row r="157" spans="1:4" x14ac:dyDescent="0.35">
      <c r="A157" s="280">
        <v>311</v>
      </c>
      <c r="B157" s="426" t="s">
        <v>158</v>
      </c>
      <c r="C157" s="426">
        <v>647200</v>
      </c>
      <c r="D157" s="426" t="s">
        <v>687</v>
      </c>
    </row>
    <row r="158" spans="1:4" x14ac:dyDescent="0.35">
      <c r="A158" s="280">
        <v>311</v>
      </c>
      <c r="B158" s="426" t="s">
        <v>158</v>
      </c>
      <c r="C158" s="426">
        <v>648200</v>
      </c>
      <c r="D158" s="426" t="s">
        <v>688</v>
      </c>
    </row>
    <row r="159" spans="1:4" x14ac:dyDescent="0.35">
      <c r="A159" s="280">
        <v>311</v>
      </c>
      <c r="B159" s="426" t="s">
        <v>158</v>
      </c>
      <c r="C159" s="426">
        <v>650410</v>
      </c>
      <c r="D159" s="426" t="s">
        <v>689</v>
      </c>
    </row>
    <row r="160" spans="1:4" x14ac:dyDescent="0.35">
      <c r="A160" s="280">
        <v>311</v>
      </c>
      <c r="B160" s="426" t="s">
        <v>158</v>
      </c>
      <c r="C160" s="426">
        <v>650460</v>
      </c>
      <c r="D160" s="426" t="s">
        <v>690</v>
      </c>
    </row>
    <row r="161" spans="1:8" x14ac:dyDescent="0.35">
      <c r="A161" s="280">
        <v>311</v>
      </c>
      <c r="B161" s="426" t="s">
        <v>158</v>
      </c>
      <c r="C161" s="426">
        <v>650510</v>
      </c>
      <c r="D161" s="426" t="s">
        <v>691</v>
      </c>
    </row>
    <row r="162" spans="1:8" x14ac:dyDescent="0.35">
      <c r="A162" s="280">
        <v>311</v>
      </c>
      <c r="B162" s="426" t="s">
        <v>158</v>
      </c>
      <c r="C162" s="426">
        <v>650560</v>
      </c>
      <c r="D162" s="426" t="s">
        <v>692</v>
      </c>
    </row>
    <row r="163" spans="1:8" x14ac:dyDescent="0.35">
      <c r="A163" s="280">
        <v>311</v>
      </c>
      <c r="B163" s="426" t="s">
        <v>158</v>
      </c>
      <c r="C163" s="426">
        <v>655200</v>
      </c>
      <c r="D163" s="426" t="s">
        <v>693</v>
      </c>
    </row>
    <row r="164" spans="1:8" x14ac:dyDescent="0.35">
      <c r="A164" s="280">
        <v>311</v>
      </c>
      <c r="B164" s="426" t="s">
        <v>158</v>
      </c>
      <c r="C164" s="426">
        <v>656200</v>
      </c>
      <c r="D164" s="426" t="s">
        <v>694</v>
      </c>
    </row>
    <row r="165" spans="1:8" x14ac:dyDescent="0.35">
      <c r="A165" s="280">
        <v>311</v>
      </c>
      <c r="B165" s="426" t="s">
        <v>158</v>
      </c>
      <c r="C165" s="426">
        <v>675100</v>
      </c>
      <c r="D165" s="426" t="s">
        <v>695</v>
      </c>
    </row>
    <row r="166" spans="1:8" x14ac:dyDescent="0.35">
      <c r="A166" s="280">
        <v>311</v>
      </c>
      <c r="B166" s="426" t="s">
        <v>158</v>
      </c>
      <c r="C166" s="426">
        <v>675110</v>
      </c>
      <c r="D166" s="426" t="s">
        <v>696</v>
      </c>
    </row>
    <row r="167" spans="1:8" x14ac:dyDescent="0.35">
      <c r="A167" s="280">
        <v>311</v>
      </c>
      <c r="B167" s="426" t="s">
        <v>158</v>
      </c>
      <c r="C167" s="426">
        <v>675690</v>
      </c>
      <c r="D167" s="426" t="s">
        <v>697</v>
      </c>
    </row>
    <row r="168" spans="1:8" x14ac:dyDescent="0.35">
      <c r="A168" s="280">
        <v>320</v>
      </c>
      <c r="B168" s="426" t="s">
        <v>160</v>
      </c>
      <c r="C168" s="426">
        <v>610300</v>
      </c>
      <c r="D168" s="426" t="s">
        <v>698</v>
      </c>
    </row>
    <row r="169" spans="1:8" x14ac:dyDescent="0.35">
      <c r="A169" s="280">
        <v>320</v>
      </c>
      <c r="B169" s="426" t="s">
        <v>160</v>
      </c>
      <c r="C169" s="426">
        <v>612300</v>
      </c>
      <c r="D169" s="426" t="s">
        <v>699</v>
      </c>
    </row>
    <row r="170" spans="1:8" x14ac:dyDescent="0.35">
      <c r="A170" s="280">
        <v>320</v>
      </c>
      <c r="B170" s="426" t="s">
        <v>160</v>
      </c>
      <c r="C170" s="426">
        <v>650420</v>
      </c>
      <c r="D170" s="426" t="s">
        <v>700</v>
      </c>
    </row>
    <row r="171" spans="1:8" x14ac:dyDescent="0.35">
      <c r="A171" s="280">
        <v>320</v>
      </c>
      <c r="B171" s="426" t="s">
        <v>160</v>
      </c>
      <c r="C171" s="426">
        <v>650470</v>
      </c>
      <c r="D171" s="426" t="s">
        <v>701</v>
      </c>
    </row>
    <row r="172" spans="1:8" x14ac:dyDescent="0.35">
      <c r="A172" s="280">
        <v>325</v>
      </c>
      <c r="B172" s="426" t="s">
        <v>162</v>
      </c>
      <c r="C172" s="426">
        <v>611300</v>
      </c>
      <c r="D172" s="426" t="s">
        <v>702</v>
      </c>
    </row>
    <row r="173" spans="1:8" x14ac:dyDescent="0.35">
      <c r="A173" s="280">
        <v>325</v>
      </c>
      <c r="B173" s="426" t="s">
        <v>162</v>
      </c>
      <c r="C173" s="426">
        <v>615300</v>
      </c>
      <c r="D173" s="426" t="s">
        <v>703</v>
      </c>
    </row>
    <row r="174" spans="1:8" x14ac:dyDescent="0.35">
      <c r="A174" s="280">
        <v>325</v>
      </c>
      <c r="B174" s="426" t="s">
        <v>162</v>
      </c>
      <c r="C174" s="426">
        <v>620300</v>
      </c>
      <c r="D174" s="426" t="s">
        <v>704</v>
      </c>
    </row>
    <row r="175" spans="1:8" x14ac:dyDescent="0.35">
      <c r="A175" s="280">
        <v>325</v>
      </c>
      <c r="B175" s="426" t="s">
        <v>162</v>
      </c>
      <c r="C175" s="426">
        <v>622300</v>
      </c>
      <c r="D175" s="426" t="s">
        <v>705</v>
      </c>
    </row>
    <row r="176" spans="1:8" x14ac:dyDescent="0.35">
      <c r="A176" s="280">
        <v>325</v>
      </c>
      <c r="B176" s="426" t="s">
        <v>162</v>
      </c>
      <c r="C176" s="426">
        <v>623300</v>
      </c>
      <c r="D176" s="426" t="s">
        <v>706</v>
      </c>
      <c r="H176" s="241"/>
    </row>
    <row r="177" spans="1:4" x14ac:dyDescent="0.35">
      <c r="A177" s="280">
        <v>325</v>
      </c>
      <c r="B177" s="426" t="s">
        <v>162</v>
      </c>
      <c r="C177" s="426">
        <v>624300</v>
      </c>
      <c r="D177" s="426" t="s">
        <v>707</v>
      </c>
    </row>
    <row r="178" spans="1:4" x14ac:dyDescent="0.35">
      <c r="A178" s="280">
        <v>325</v>
      </c>
      <c r="B178" s="426" t="s">
        <v>162</v>
      </c>
      <c r="C178" s="426">
        <v>625300</v>
      </c>
      <c r="D178" s="426" t="s">
        <v>708</v>
      </c>
    </row>
    <row r="179" spans="1:4" x14ac:dyDescent="0.35">
      <c r="A179" s="280">
        <v>325</v>
      </c>
      <c r="B179" s="426" t="s">
        <v>162</v>
      </c>
      <c r="C179" s="426">
        <v>627300</v>
      </c>
      <c r="D179" s="426" t="s">
        <v>709</v>
      </c>
    </row>
    <row r="180" spans="1:4" x14ac:dyDescent="0.35">
      <c r="A180" s="280">
        <v>325</v>
      </c>
      <c r="B180" s="426" t="s">
        <v>162</v>
      </c>
      <c r="C180" s="426">
        <v>630300</v>
      </c>
      <c r="D180" s="426" t="s">
        <v>710</v>
      </c>
    </row>
    <row r="181" spans="1:4" x14ac:dyDescent="0.35">
      <c r="A181" s="280">
        <v>325</v>
      </c>
      <c r="B181" s="426" t="s">
        <v>162</v>
      </c>
      <c r="C181" s="426">
        <v>632300</v>
      </c>
      <c r="D181" s="426" t="s">
        <v>711</v>
      </c>
    </row>
    <row r="182" spans="1:4" x14ac:dyDescent="0.35">
      <c r="A182" s="280">
        <v>325</v>
      </c>
      <c r="B182" s="426" t="s">
        <v>162</v>
      </c>
      <c r="C182" s="426">
        <v>635300</v>
      </c>
      <c r="D182" s="426" t="s">
        <v>712</v>
      </c>
    </row>
    <row r="183" spans="1:4" x14ac:dyDescent="0.35">
      <c r="A183" s="280">
        <v>325</v>
      </c>
      <c r="B183" s="426" t="s">
        <v>162</v>
      </c>
      <c r="C183" s="426">
        <v>637300</v>
      </c>
      <c r="D183" s="426" t="s">
        <v>713</v>
      </c>
    </row>
    <row r="184" spans="1:4" x14ac:dyDescent="0.35">
      <c r="A184" s="280">
        <v>325</v>
      </c>
      <c r="B184" s="426" t="s">
        <v>162</v>
      </c>
      <c r="C184" s="426">
        <v>640300</v>
      </c>
      <c r="D184" s="426" t="s">
        <v>714</v>
      </c>
    </row>
    <row r="185" spans="1:4" x14ac:dyDescent="0.35">
      <c r="A185" s="280">
        <v>325</v>
      </c>
      <c r="B185" s="426" t="s">
        <v>162</v>
      </c>
      <c r="C185" s="426">
        <v>642300</v>
      </c>
      <c r="D185" s="426" t="s">
        <v>715</v>
      </c>
    </row>
    <row r="186" spans="1:4" x14ac:dyDescent="0.35">
      <c r="A186" s="280">
        <v>325</v>
      </c>
      <c r="B186" s="426" t="s">
        <v>162</v>
      </c>
      <c r="C186" s="426">
        <v>645300</v>
      </c>
      <c r="D186" s="426" t="s">
        <v>716</v>
      </c>
    </row>
    <row r="187" spans="1:4" x14ac:dyDescent="0.35">
      <c r="A187" s="280">
        <v>325</v>
      </c>
      <c r="B187" s="426" t="s">
        <v>162</v>
      </c>
      <c r="C187" s="426">
        <v>647300</v>
      </c>
      <c r="D187" s="426" t="s">
        <v>717</v>
      </c>
    </row>
    <row r="188" spans="1:4" x14ac:dyDescent="0.35">
      <c r="A188" s="280">
        <v>325</v>
      </c>
      <c r="B188" s="426" t="s">
        <v>162</v>
      </c>
      <c r="C188" s="426">
        <v>648300</v>
      </c>
      <c r="D188" s="426" t="s">
        <v>718</v>
      </c>
    </row>
    <row r="189" spans="1:4" x14ac:dyDescent="0.35">
      <c r="A189" s="280">
        <v>325</v>
      </c>
      <c r="B189" s="426" t="s">
        <v>162</v>
      </c>
      <c r="C189" s="426">
        <v>649350</v>
      </c>
      <c r="D189" s="426" t="s">
        <v>719</v>
      </c>
    </row>
    <row r="190" spans="1:4" x14ac:dyDescent="0.35">
      <c r="A190" s="280">
        <v>325</v>
      </c>
      <c r="B190" s="426" t="s">
        <v>162</v>
      </c>
      <c r="C190" s="426">
        <v>650520</v>
      </c>
      <c r="D190" s="426" t="s">
        <v>720</v>
      </c>
    </row>
    <row r="191" spans="1:4" x14ac:dyDescent="0.35">
      <c r="A191" s="280">
        <v>325</v>
      </c>
      <c r="B191" s="426" t="s">
        <v>162</v>
      </c>
      <c r="C191" s="426">
        <v>650570</v>
      </c>
      <c r="D191" s="426" t="s">
        <v>721</v>
      </c>
    </row>
    <row r="192" spans="1:4" x14ac:dyDescent="0.35">
      <c r="A192" s="280">
        <v>325</v>
      </c>
      <c r="B192" s="426" t="s">
        <v>162</v>
      </c>
      <c r="C192" s="426">
        <v>655300</v>
      </c>
      <c r="D192" s="426" t="s">
        <v>722</v>
      </c>
    </row>
    <row r="193" spans="1:8" x14ac:dyDescent="0.35">
      <c r="A193" s="280">
        <v>325</v>
      </c>
      <c r="B193" s="426" t="s">
        <v>162</v>
      </c>
      <c r="C193" s="426">
        <v>656300</v>
      </c>
      <c r="D193" s="426" t="s">
        <v>723</v>
      </c>
    </row>
    <row r="194" spans="1:8" x14ac:dyDescent="0.35">
      <c r="A194" s="280">
        <v>330</v>
      </c>
      <c r="B194" s="426" t="s">
        <v>724</v>
      </c>
      <c r="C194" s="426">
        <v>655550</v>
      </c>
      <c r="D194" s="426" t="s">
        <v>725</v>
      </c>
    </row>
    <row r="195" spans="1:8" x14ac:dyDescent="0.35">
      <c r="A195" s="280">
        <v>330</v>
      </c>
      <c r="B195" s="426" t="s">
        <v>724</v>
      </c>
      <c r="C195" s="426">
        <v>656570</v>
      </c>
      <c r="D195" s="426" t="s">
        <v>726</v>
      </c>
    </row>
    <row r="196" spans="1:8" x14ac:dyDescent="0.35">
      <c r="A196" s="280">
        <v>330</v>
      </c>
      <c r="B196" s="426" t="s">
        <v>724</v>
      </c>
      <c r="C196" s="426">
        <v>656600</v>
      </c>
      <c r="D196" s="426" t="s">
        <v>727</v>
      </c>
    </row>
    <row r="197" spans="1:8" x14ac:dyDescent="0.35">
      <c r="A197" s="280">
        <v>330</v>
      </c>
      <c r="B197" s="426" t="s">
        <v>724</v>
      </c>
      <c r="C197" s="426">
        <v>656620</v>
      </c>
      <c r="D197" s="426" t="s">
        <v>728</v>
      </c>
    </row>
    <row r="198" spans="1:8" x14ac:dyDescent="0.35">
      <c r="A198" s="280">
        <v>330</v>
      </c>
      <c r="B198" s="426" t="s">
        <v>724</v>
      </c>
      <c r="C198" s="426">
        <v>656650</v>
      </c>
      <c r="D198" s="426" t="s">
        <v>729</v>
      </c>
    </row>
    <row r="199" spans="1:8" x14ac:dyDescent="0.35">
      <c r="A199" s="280">
        <v>330</v>
      </c>
      <c r="B199" s="426" t="s">
        <v>724</v>
      </c>
      <c r="C199" s="426">
        <v>656700</v>
      </c>
      <c r="D199" s="426" t="s">
        <v>730</v>
      </c>
    </row>
    <row r="200" spans="1:8" x14ac:dyDescent="0.35">
      <c r="A200" s="280">
        <v>330</v>
      </c>
      <c r="B200" s="426" t="s">
        <v>724</v>
      </c>
      <c r="C200" s="426">
        <v>675150</v>
      </c>
      <c r="D200" s="426" t="s">
        <v>731</v>
      </c>
    </row>
    <row r="201" spans="1:8" x14ac:dyDescent="0.35">
      <c r="A201" s="280">
        <v>330</v>
      </c>
      <c r="B201" s="426" t="s">
        <v>724</v>
      </c>
      <c r="C201" s="426">
        <v>675170</v>
      </c>
      <c r="D201" s="426" t="s">
        <v>732</v>
      </c>
    </row>
    <row r="202" spans="1:8" x14ac:dyDescent="0.35">
      <c r="A202" s="280">
        <v>330</v>
      </c>
      <c r="B202" s="426" t="s">
        <v>724</v>
      </c>
      <c r="C202" s="426">
        <v>675220</v>
      </c>
      <c r="D202" s="426" t="s">
        <v>733</v>
      </c>
    </row>
    <row r="203" spans="1:8" x14ac:dyDescent="0.35">
      <c r="A203" s="280">
        <v>330</v>
      </c>
      <c r="B203" s="426" t="s">
        <v>724</v>
      </c>
      <c r="C203" s="426">
        <v>675250</v>
      </c>
      <c r="D203" s="426" t="s">
        <v>734</v>
      </c>
    </row>
    <row r="204" spans="1:8" x14ac:dyDescent="0.35">
      <c r="A204" s="280">
        <v>330</v>
      </c>
      <c r="B204" s="426" t="s">
        <v>724</v>
      </c>
      <c r="C204" s="426">
        <v>675270</v>
      </c>
      <c r="D204" s="426" t="s">
        <v>735</v>
      </c>
    </row>
    <row r="205" spans="1:8" x14ac:dyDescent="0.35">
      <c r="A205" s="280">
        <v>330</v>
      </c>
      <c r="B205" s="426" t="s">
        <v>724</v>
      </c>
      <c r="C205" s="426">
        <v>675300</v>
      </c>
      <c r="D205" s="426" t="s">
        <v>736</v>
      </c>
      <c r="H205" s="241"/>
    </row>
    <row r="206" spans="1:8" x14ac:dyDescent="0.35">
      <c r="A206" s="280">
        <v>330</v>
      </c>
      <c r="B206" s="426" t="s">
        <v>724</v>
      </c>
      <c r="C206" s="426">
        <v>675320</v>
      </c>
      <c r="D206" s="426" t="s">
        <v>737</v>
      </c>
    </row>
    <row r="207" spans="1:8" x14ac:dyDescent="0.35">
      <c r="A207" s="280">
        <v>330</v>
      </c>
      <c r="B207" s="426" t="s">
        <v>724</v>
      </c>
      <c r="C207" s="426">
        <v>675400</v>
      </c>
      <c r="D207" s="426" t="s">
        <v>738</v>
      </c>
    </row>
    <row r="208" spans="1:8" x14ac:dyDescent="0.35">
      <c r="A208" s="280">
        <v>330</v>
      </c>
      <c r="B208" s="426" t="s">
        <v>724</v>
      </c>
      <c r="C208" s="426">
        <v>675410</v>
      </c>
      <c r="D208" s="426" t="s">
        <v>739</v>
      </c>
    </row>
    <row r="209" spans="1:8" x14ac:dyDescent="0.35">
      <c r="A209" s="280">
        <v>330</v>
      </c>
      <c r="B209" s="426" t="s">
        <v>724</v>
      </c>
      <c r="C209" s="426">
        <v>675420</v>
      </c>
      <c r="D209" s="426" t="s">
        <v>740</v>
      </c>
    </row>
    <row r="210" spans="1:8" x14ac:dyDescent="0.35">
      <c r="A210" s="280">
        <v>330</v>
      </c>
      <c r="B210" s="426" t="s">
        <v>724</v>
      </c>
      <c r="C210" s="426">
        <v>675430</v>
      </c>
      <c r="D210" s="426" t="s">
        <v>741</v>
      </c>
    </row>
    <row r="211" spans="1:8" x14ac:dyDescent="0.35">
      <c r="A211" s="280">
        <v>330</v>
      </c>
      <c r="B211" s="426" t="s">
        <v>724</v>
      </c>
      <c r="C211" s="426">
        <v>675440</v>
      </c>
      <c r="D211" s="426" t="s">
        <v>742</v>
      </c>
      <c r="H211" s="241"/>
    </row>
    <row r="212" spans="1:8" x14ac:dyDescent="0.35">
      <c r="A212" s="280">
        <v>330</v>
      </c>
      <c r="B212" s="426" t="s">
        <v>724</v>
      </c>
      <c r="C212" s="426">
        <v>675450</v>
      </c>
      <c r="D212" s="426" t="s">
        <v>743</v>
      </c>
    </row>
    <row r="213" spans="1:8" x14ac:dyDescent="0.35">
      <c r="A213" s="280">
        <v>330</v>
      </c>
      <c r="B213" s="426" t="s">
        <v>724</v>
      </c>
      <c r="C213" s="426">
        <v>675460</v>
      </c>
      <c r="D213" s="426" t="s">
        <v>744</v>
      </c>
    </row>
    <row r="214" spans="1:8" x14ac:dyDescent="0.35">
      <c r="A214" s="280">
        <v>330</v>
      </c>
      <c r="B214" s="426" t="s">
        <v>724</v>
      </c>
      <c r="C214" s="426">
        <v>675480</v>
      </c>
      <c r="D214" s="426" t="s">
        <v>745</v>
      </c>
    </row>
    <row r="215" spans="1:8" x14ac:dyDescent="0.35">
      <c r="A215" s="280">
        <v>330</v>
      </c>
      <c r="B215" s="426" t="s">
        <v>724</v>
      </c>
      <c r="C215" s="426">
        <v>675500</v>
      </c>
      <c r="D215" s="426" t="s">
        <v>746</v>
      </c>
    </row>
    <row r="216" spans="1:8" x14ac:dyDescent="0.35">
      <c r="A216" s="280">
        <v>330</v>
      </c>
      <c r="B216" s="426" t="s">
        <v>724</v>
      </c>
      <c r="C216" s="426">
        <v>675510</v>
      </c>
      <c r="D216" s="426" t="s">
        <v>747</v>
      </c>
    </row>
    <row r="217" spans="1:8" x14ac:dyDescent="0.35">
      <c r="A217" s="280">
        <v>330</v>
      </c>
      <c r="B217" s="426" t="s">
        <v>724</v>
      </c>
      <c r="C217" s="426">
        <v>675520</v>
      </c>
      <c r="D217" s="426" t="s">
        <v>748</v>
      </c>
    </row>
    <row r="218" spans="1:8" x14ac:dyDescent="0.35">
      <c r="A218" s="280">
        <v>330</v>
      </c>
      <c r="B218" s="426" t="s">
        <v>724</v>
      </c>
      <c r="C218" s="426">
        <v>675550</v>
      </c>
      <c r="D218" s="426" t="s">
        <v>749</v>
      </c>
    </row>
    <row r="219" spans="1:8" x14ac:dyDescent="0.35">
      <c r="A219" s="280">
        <v>330</v>
      </c>
      <c r="B219" s="426" t="s">
        <v>724</v>
      </c>
      <c r="C219" s="426">
        <v>675560</v>
      </c>
      <c r="D219" s="426" t="s">
        <v>750</v>
      </c>
    </row>
    <row r="220" spans="1:8" x14ac:dyDescent="0.35">
      <c r="A220" s="280">
        <v>330</v>
      </c>
      <c r="B220" s="426" t="s">
        <v>724</v>
      </c>
      <c r="C220" s="426">
        <v>675570</v>
      </c>
      <c r="D220" s="426" t="s">
        <v>751</v>
      </c>
    </row>
    <row r="221" spans="1:8" x14ac:dyDescent="0.35">
      <c r="A221" s="280">
        <v>330</v>
      </c>
      <c r="B221" s="426" t="s">
        <v>724</v>
      </c>
      <c r="C221" s="426">
        <v>675600</v>
      </c>
      <c r="D221" s="426" t="s">
        <v>752</v>
      </c>
    </row>
    <row r="222" spans="1:8" x14ac:dyDescent="0.35">
      <c r="A222" s="280">
        <v>330</v>
      </c>
      <c r="B222" s="426" t="s">
        <v>724</v>
      </c>
      <c r="C222" s="426">
        <v>675620</v>
      </c>
      <c r="D222" s="426" t="s">
        <v>753</v>
      </c>
    </row>
    <row r="223" spans="1:8" x14ac:dyDescent="0.35">
      <c r="A223" s="280">
        <v>330</v>
      </c>
      <c r="B223" s="426" t="s">
        <v>724</v>
      </c>
      <c r="C223" s="426">
        <v>675650</v>
      </c>
      <c r="D223" s="426" t="s">
        <v>754</v>
      </c>
    </row>
    <row r="224" spans="1:8" x14ac:dyDescent="0.35">
      <c r="A224" s="280">
        <v>330</v>
      </c>
      <c r="B224" s="426" t="s">
        <v>724</v>
      </c>
      <c r="C224" s="426">
        <v>675670</v>
      </c>
      <c r="D224" s="426" t="s">
        <v>755</v>
      </c>
    </row>
    <row r="225" spans="1:8" x14ac:dyDescent="0.35">
      <c r="A225" s="280">
        <v>330</v>
      </c>
      <c r="B225" s="426" t="s">
        <v>724</v>
      </c>
      <c r="C225" s="426">
        <v>675700</v>
      </c>
      <c r="D225" s="426" t="s">
        <v>756</v>
      </c>
    </row>
    <row r="226" spans="1:8" x14ac:dyDescent="0.35">
      <c r="A226" s="280">
        <v>330</v>
      </c>
      <c r="B226" s="426" t="s">
        <v>724</v>
      </c>
      <c r="C226" s="426">
        <v>675720</v>
      </c>
      <c r="D226" s="426" t="s">
        <v>757</v>
      </c>
    </row>
    <row r="227" spans="1:8" x14ac:dyDescent="0.35">
      <c r="A227" s="280">
        <v>330</v>
      </c>
      <c r="B227" s="426" t="s">
        <v>724</v>
      </c>
      <c r="C227" s="426">
        <v>675750</v>
      </c>
      <c r="D227" s="426" t="s">
        <v>758</v>
      </c>
    </row>
    <row r="228" spans="1:8" x14ac:dyDescent="0.35">
      <c r="A228" s="280">
        <v>330</v>
      </c>
      <c r="B228" s="426" t="s">
        <v>724</v>
      </c>
      <c r="C228" s="426">
        <v>675770</v>
      </c>
      <c r="D228" s="426" t="s">
        <v>759</v>
      </c>
    </row>
    <row r="229" spans="1:8" x14ac:dyDescent="0.35">
      <c r="A229" s="280">
        <v>330</v>
      </c>
      <c r="B229" s="426" t="s">
        <v>724</v>
      </c>
      <c r="C229" s="426">
        <v>675780</v>
      </c>
      <c r="D229" s="426" t="s">
        <v>760</v>
      </c>
    </row>
    <row r="230" spans="1:8" x14ac:dyDescent="0.35">
      <c r="A230" s="280">
        <v>330</v>
      </c>
      <c r="B230" s="426" t="s">
        <v>724</v>
      </c>
      <c r="C230" s="426">
        <v>675800</v>
      </c>
      <c r="D230" s="426" t="s">
        <v>761</v>
      </c>
    </row>
    <row r="231" spans="1:8" x14ac:dyDescent="0.35">
      <c r="A231" s="280">
        <v>330</v>
      </c>
      <c r="B231" s="426" t="s">
        <v>724</v>
      </c>
      <c r="C231" s="426">
        <v>675810</v>
      </c>
      <c r="D231" s="426" t="s">
        <v>762</v>
      </c>
    </row>
    <row r="232" spans="1:8" x14ac:dyDescent="0.35">
      <c r="A232" s="280">
        <v>330</v>
      </c>
      <c r="B232" s="426" t="s">
        <v>724</v>
      </c>
      <c r="C232" s="426">
        <v>675820</v>
      </c>
      <c r="D232" s="426" t="s">
        <v>763</v>
      </c>
    </row>
    <row r="233" spans="1:8" x14ac:dyDescent="0.35">
      <c r="A233" s="280">
        <v>330</v>
      </c>
      <c r="B233" s="426" t="s">
        <v>724</v>
      </c>
      <c r="C233" s="426">
        <v>895400</v>
      </c>
      <c r="D233" s="426" t="s">
        <v>764</v>
      </c>
    </row>
    <row r="234" spans="1:8" x14ac:dyDescent="0.35">
      <c r="A234" s="280">
        <v>330</v>
      </c>
      <c r="B234" s="426" t="s">
        <v>724</v>
      </c>
      <c r="C234" s="426">
        <v>895450</v>
      </c>
      <c r="D234" s="426" t="s">
        <v>765</v>
      </c>
    </row>
    <row r="235" spans="1:8" x14ac:dyDescent="0.35">
      <c r="A235" s="280">
        <v>330</v>
      </c>
      <c r="B235" s="426" t="s">
        <v>724</v>
      </c>
      <c r="C235" s="426">
        <v>855270</v>
      </c>
      <c r="D235" s="426" t="s">
        <v>1709</v>
      </c>
    </row>
    <row r="236" spans="1:8" x14ac:dyDescent="0.35">
      <c r="A236" s="280">
        <v>336</v>
      </c>
      <c r="B236" s="426" t="s">
        <v>166</v>
      </c>
      <c r="C236" s="426">
        <v>735300</v>
      </c>
      <c r="D236" s="426" t="s">
        <v>766</v>
      </c>
      <c r="H236" s="241"/>
    </row>
    <row r="237" spans="1:8" x14ac:dyDescent="0.35">
      <c r="A237" s="280">
        <v>336</v>
      </c>
      <c r="B237" s="426" t="s">
        <v>166</v>
      </c>
      <c r="C237" s="426">
        <v>820160</v>
      </c>
      <c r="D237" s="426" t="s">
        <v>767</v>
      </c>
    </row>
    <row r="238" spans="1:8" x14ac:dyDescent="0.35">
      <c r="A238" s="280">
        <v>336</v>
      </c>
      <c r="B238" s="426" t="s">
        <v>166</v>
      </c>
      <c r="C238" s="426">
        <v>820420</v>
      </c>
      <c r="D238" s="426" t="s">
        <v>768</v>
      </c>
    </row>
    <row r="239" spans="1:8" x14ac:dyDescent="0.35">
      <c r="A239" s="280">
        <v>337</v>
      </c>
      <c r="B239" s="426" t="s">
        <v>769</v>
      </c>
      <c r="C239" s="426">
        <v>735310</v>
      </c>
      <c r="D239" s="426" t="s">
        <v>770</v>
      </c>
    </row>
    <row r="240" spans="1:8" x14ac:dyDescent="0.35">
      <c r="A240" s="280">
        <v>337</v>
      </c>
      <c r="B240" s="426" t="s">
        <v>769</v>
      </c>
      <c r="C240" s="426">
        <v>820170</v>
      </c>
      <c r="D240" s="426" t="s">
        <v>771</v>
      </c>
    </row>
    <row r="241" spans="1:8" x14ac:dyDescent="0.35">
      <c r="A241" s="280">
        <v>337</v>
      </c>
      <c r="B241" s="426" t="s">
        <v>769</v>
      </c>
      <c r="C241" s="426">
        <v>820330</v>
      </c>
      <c r="D241" s="426" t="s">
        <v>772</v>
      </c>
      <c r="H241" s="241"/>
    </row>
    <row r="242" spans="1:8" x14ac:dyDescent="0.35">
      <c r="A242" s="280">
        <v>338</v>
      </c>
      <c r="B242" s="426" t="s">
        <v>170</v>
      </c>
      <c r="C242" s="426">
        <v>820150</v>
      </c>
      <c r="D242" s="426" t="s">
        <v>773</v>
      </c>
    </row>
    <row r="243" spans="1:8" x14ac:dyDescent="0.35">
      <c r="A243" s="280">
        <v>339</v>
      </c>
      <c r="B243" s="426" t="s">
        <v>172</v>
      </c>
      <c r="C243" s="426">
        <v>820370</v>
      </c>
      <c r="D243" s="426" t="s">
        <v>774</v>
      </c>
    </row>
    <row r="244" spans="1:8" x14ac:dyDescent="0.35">
      <c r="A244" s="280">
        <v>339</v>
      </c>
      <c r="B244" s="426" t="s">
        <v>172</v>
      </c>
      <c r="C244" s="426">
        <v>820400</v>
      </c>
      <c r="D244" s="426" t="s">
        <v>775</v>
      </c>
    </row>
    <row r="245" spans="1:8" x14ac:dyDescent="0.35">
      <c r="A245" s="280">
        <v>339</v>
      </c>
      <c r="B245" s="426" t="s">
        <v>172</v>
      </c>
      <c r="C245" s="426">
        <v>820550</v>
      </c>
      <c r="D245" s="426" t="s">
        <v>776</v>
      </c>
    </row>
    <row r="246" spans="1:8" x14ac:dyDescent="0.35">
      <c r="A246" s="280">
        <v>340</v>
      </c>
      <c r="B246" s="426" t="s">
        <v>777</v>
      </c>
      <c r="C246" s="426">
        <v>735320</v>
      </c>
      <c r="D246" s="426" t="s">
        <v>778</v>
      </c>
      <c r="H246" s="241"/>
    </row>
    <row r="247" spans="1:8" x14ac:dyDescent="0.35">
      <c r="A247" s="280">
        <v>340</v>
      </c>
      <c r="B247" s="426" t="s">
        <v>777</v>
      </c>
      <c r="C247" s="426">
        <v>820110</v>
      </c>
      <c r="D247" s="426" t="s">
        <v>779</v>
      </c>
    </row>
    <row r="248" spans="1:8" x14ac:dyDescent="0.35">
      <c r="A248" s="280">
        <v>340</v>
      </c>
      <c r="B248" s="426" t="s">
        <v>777</v>
      </c>
      <c r="C248" s="426">
        <v>820310</v>
      </c>
      <c r="D248" s="426" t="s">
        <v>780</v>
      </c>
    </row>
    <row r="249" spans="1:8" x14ac:dyDescent="0.35">
      <c r="A249" s="280">
        <v>341</v>
      </c>
      <c r="B249" s="426" t="s">
        <v>259</v>
      </c>
      <c r="C249" s="426">
        <v>810400</v>
      </c>
      <c r="D249" s="426" t="s">
        <v>781</v>
      </c>
      <c r="H249" s="241"/>
    </row>
    <row r="250" spans="1:8" x14ac:dyDescent="0.35">
      <c r="A250" s="280">
        <v>341</v>
      </c>
      <c r="B250" s="426" t="s">
        <v>259</v>
      </c>
      <c r="C250" s="426">
        <v>820100</v>
      </c>
      <c r="D250" s="426" t="s">
        <v>782</v>
      </c>
    </row>
    <row r="251" spans="1:8" x14ac:dyDescent="0.35">
      <c r="A251" s="280">
        <v>341</v>
      </c>
      <c r="B251" s="426" t="s">
        <v>259</v>
      </c>
      <c r="C251" s="426">
        <v>820320</v>
      </c>
      <c r="D251" s="426" t="s">
        <v>783</v>
      </c>
    </row>
    <row r="252" spans="1:8" x14ac:dyDescent="0.35">
      <c r="A252" s="280">
        <v>341</v>
      </c>
      <c r="B252" s="426" t="s">
        <v>259</v>
      </c>
      <c r="C252" s="426">
        <v>820450</v>
      </c>
      <c r="D252" s="426" t="s">
        <v>784</v>
      </c>
    </row>
    <row r="253" spans="1:8" x14ac:dyDescent="0.35">
      <c r="A253" s="280">
        <v>341</v>
      </c>
      <c r="B253" s="426" t="s">
        <v>259</v>
      </c>
      <c r="C253" s="426">
        <v>820470</v>
      </c>
      <c r="D253" s="426" t="s">
        <v>785</v>
      </c>
    </row>
    <row r="254" spans="1:8" x14ac:dyDescent="0.35">
      <c r="A254" s="280">
        <v>342</v>
      </c>
      <c r="B254" s="426" t="s">
        <v>178</v>
      </c>
      <c r="C254" s="426">
        <v>820180</v>
      </c>
      <c r="D254" s="426" t="s">
        <v>786</v>
      </c>
      <c r="H254" s="241"/>
    </row>
    <row r="255" spans="1:8" x14ac:dyDescent="0.35">
      <c r="A255" s="280">
        <v>342</v>
      </c>
      <c r="B255" s="426" t="s">
        <v>178</v>
      </c>
      <c r="C255" s="426">
        <v>820190</v>
      </c>
      <c r="D255" s="426" t="s">
        <v>787</v>
      </c>
    </row>
    <row r="256" spans="1:8" x14ac:dyDescent="0.35">
      <c r="A256" s="280">
        <v>342</v>
      </c>
      <c r="B256" s="426" t="s">
        <v>178</v>
      </c>
      <c r="C256" s="426">
        <v>820300</v>
      </c>
      <c r="D256" s="426" t="s">
        <v>788</v>
      </c>
    </row>
    <row r="257" spans="1:8" x14ac:dyDescent="0.35">
      <c r="A257" s="280">
        <v>342</v>
      </c>
      <c r="B257" s="426" t="s">
        <v>178</v>
      </c>
      <c r="C257" s="426">
        <v>820350</v>
      </c>
      <c r="D257" s="426" t="s">
        <v>789</v>
      </c>
    </row>
    <row r="258" spans="1:8" x14ac:dyDescent="0.35">
      <c r="A258" s="280">
        <v>342</v>
      </c>
      <c r="B258" s="426" t="s">
        <v>178</v>
      </c>
      <c r="C258" s="426">
        <v>820500</v>
      </c>
      <c r="D258" s="426" t="s">
        <v>790</v>
      </c>
    </row>
    <row r="259" spans="1:8" x14ac:dyDescent="0.35">
      <c r="A259" s="280">
        <v>342</v>
      </c>
      <c r="B259" s="426" t="s">
        <v>178</v>
      </c>
      <c r="C259" s="426">
        <v>820520</v>
      </c>
      <c r="D259" s="426" t="s">
        <v>791</v>
      </c>
      <c r="H259" s="241"/>
    </row>
    <row r="260" spans="1:8" x14ac:dyDescent="0.35">
      <c r="A260" s="280">
        <v>342</v>
      </c>
      <c r="B260" s="426" t="s">
        <v>178</v>
      </c>
      <c r="C260" s="426">
        <v>820570</v>
      </c>
      <c r="D260" s="426" t="s">
        <v>792</v>
      </c>
    </row>
    <row r="261" spans="1:8" x14ac:dyDescent="0.35">
      <c r="A261" s="280">
        <v>351</v>
      </c>
      <c r="B261" s="426" t="s">
        <v>189</v>
      </c>
      <c r="C261" s="426">
        <v>590210</v>
      </c>
      <c r="D261" s="426" t="s">
        <v>793</v>
      </c>
    </row>
    <row r="262" spans="1:8" x14ac:dyDescent="0.35">
      <c r="A262" s="280">
        <v>378</v>
      </c>
      <c r="B262" s="426" t="s">
        <v>794</v>
      </c>
      <c r="C262" s="426">
        <v>710100</v>
      </c>
      <c r="D262" s="426" t="s">
        <v>795</v>
      </c>
    </row>
    <row r="263" spans="1:8" x14ac:dyDescent="0.35">
      <c r="A263" s="280">
        <v>378</v>
      </c>
      <c r="B263" s="426" t="s">
        <v>794</v>
      </c>
      <c r="C263" s="426">
        <v>710200</v>
      </c>
      <c r="D263" s="426" t="s">
        <v>796</v>
      </c>
    </row>
    <row r="264" spans="1:8" x14ac:dyDescent="0.35">
      <c r="A264" s="280">
        <v>378</v>
      </c>
      <c r="B264" s="426" t="s">
        <v>794</v>
      </c>
      <c r="C264" s="426">
        <v>715100</v>
      </c>
      <c r="D264" s="426" t="s">
        <v>797</v>
      </c>
    </row>
    <row r="265" spans="1:8" x14ac:dyDescent="0.35">
      <c r="A265" s="280">
        <v>378</v>
      </c>
      <c r="B265" s="426" t="s">
        <v>794</v>
      </c>
      <c r="C265" s="426">
        <v>720300</v>
      </c>
      <c r="D265" s="426" t="s">
        <v>798</v>
      </c>
    </row>
    <row r="266" spans="1:8" x14ac:dyDescent="0.35">
      <c r="A266" s="280">
        <v>378</v>
      </c>
      <c r="B266" s="426" t="s">
        <v>794</v>
      </c>
      <c r="C266" s="426">
        <v>720500</v>
      </c>
      <c r="D266" s="426" t="s">
        <v>799</v>
      </c>
      <c r="H266" s="241"/>
    </row>
    <row r="267" spans="1:8" x14ac:dyDescent="0.35">
      <c r="A267" s="280">
        <v>378</v>
      </c>
      <c r="B267" s="426" t="s">
        <v>794</v>
      </c>
      <c r="C267" s="426">
        <v>725100</v>
      </c>
      <c r="D267" s="426" t="s">
        <v>800</v>
      </c>
    </row>
    <row r="268" spans="1:8" x14ac:dyDescent="0.35">
      <c r="A268" s="280">
        <v>378</v>
      </c>
      <c r="B268" s="426" t="s">
        <v>794</v>
      </c>
      <c r="C268" s="426">
        <v>725200</v>
      </c>
      <c r="D268" s="426" t="s">
        <v>801</v>
      </c>
    </row>
    <row r="269" spans="1:8" x14ac:dyDescent="0.35">
      <c r="A269" s="280">
        <v>378</v>
      </c>
      <c r="B269" s="426" t="s">
        <v>794</v>
      </c>
      <c r="C269" s="426">
        <v>725300</v>
      </c>
      <c r="D269" s="426" t="s">
        <v>802</v>
      </c>
    </row>
    <row r="270" spans="1:8" x14ac:dyDescent="0.35">
      <c r="A270" s="280">
        <v>378</v>
      </c>
      <c r="B270" s="426" t="s">
        <v>794</v>
      </c>
      <c r="C270" s="426">
        <v>725400</v>
      </c>
      <c r="D270" s="426" t="s">
        <v>803</v>
      </c>
    </row>
    <row r="271" spans="1:8" x14ac:dyDescent="0.35">
      <c r="A271" s="280">
        <v>378</v>
      </c>
      <c r="B271" s="426" t="s">
        <v>794</v>
      </c>
      <c r="C271" s="426">
        <v>730100</v>
      </c>
      <c r="D271" s="426" t="s">
        <v>804</v>
      </c>
    </row>
    <row r="272" spans="1:8" x14ac:dyDescent="0.35">
      <c r="A272" s="280">
        <v>378</v>
      </c>
      <c r="B272" s="426" t="s">
        <v>794</v>
      </c>
      <c r="C272" s="426">
        <v>730200</v>
      </c>
      <c r="D272" s="426" t="s">
        <v>805</v>
      </c>
    </row>
    <row r="273" spans="1:8" x14ac:dyDescent="0.35">
      <c r="A273" s="280">
        <v>378</v>
      </c>
      <c r="B273" s="426" t="s">
        <v>794</v>
      </c>
      <c r="C273" s="426">
        <v>730300</v>
      </c>
      <c r="D273" s="426" t="s">
        <v>806</v>
      </c>
      <c r="H273" s="241"/>
    </row>
    <row r="274" spans="1:8" x14ac:dyDescent="0.35">
      <c r="A274" s="280">
        <v>378</v>
      </c>
      <c r="B274" s="426" t="s">
        <v>794</v>
      </c>
      <c r="C274" s="426">
        <v>730400</v>
      </c>
      <c r="D274" s="426" t="s">
        <v>807</v>
      </c>
    </row>
    <row r="275" spans="1:8" x14ac:dyDescent="0.35">
      <c r="A275" s="280">
        <v>378</v>
      </c>
      <c r="B275" s="426" t="s">
        <v>794</v>
      </c>
      <c r="C275" s="426">
        <v>735100</v>
      </c>
      <c r="D275" s="426" t="s">
        <v>808</v>
      </c>
    </row>
    <row r="276" spans="1:8" x14ac:dyDescent="0.35">
      <c r="A276" s="280">
        <v>378</v>
      </c>
      <c r="B276" s="426" t="s">
        <v>794</v>
      </c>
      <c r="C276" s="426">
        <v>735200</v>
      </c>
      <c r="D276" s="426" t="s">
        <v>809</v>
      </c>
    </row>
    <row r="277" spans="1:8" x14ac:dyDescent="0.35">
      <c r="A277" s="280">
        <v>378</v>
      </c>
      <c r="B277" s="426" t="s">
        <v>794</v>
      </c>
      <c r="C277" s="426">
        <v>735400</v>
      </c>
      <c r="D277" s="426" t="s">
        <v>810</v>
      </c>
    </row>
    <row r="278" spans="1:8" x14ac:dyDescent="0.35">
      <c r="A278" s="280">
        <v>378</v>
      </c>
      <c r="B278" s="426" t="s">
        <v>794</v>
      </c>
      <c r="C278" s="426">
        <v>735410</v>
      </c>
      <c r="D278" s="426" t="s">
        <v>811</v>
      </c>
    </row>
    <row r="279" spans="1:8" x14ac:dyDescent="0.35">
      <c r="A279" s="280">
        <v>378</v>
      </c>
      <c r="B279" s="426" t="s">
        <v>794</v>
      </c>
      <c r="C279" s="426">
        <v>735500</v>
      </c>
      <c r="D279" s="426" t="s">
        <v>812</v>
      </c>
    </row>
    <row r="280" spans="1:8" x14ac:dyDescent="0.35">
      <c r="A280" s="280">
        <v>378</v>
      </c>
      <c r="B280" s="426" t="s">
        <v>794</v>
      </c>
      <c r="C280" s="426">
        <v>740100</v>
      </c>
      <c r="D280" s="426" t="s">
        <v>813</v>
      </c>
    </row>
    <row r="281" spans="1:8" x14ac:dyDescent="0.35">
      <c r="A281" s="280">
        <v>378</v>
      </c>
      <c r="B281" s="426" t="s">
        <v>794</v>
      </c>
      <c r="C281" s="426">
        <v>740200</v>
      </c>
      <c r="D281" s="426" t="s">
        <v>814</v>
      </c>
    </row>
    <row r="282" spans="1:8" x14ac:dyDescent="0.35">
      <c r="A282" s="280">
        <v>378</v>
      </c>
      <c r="B282" s="426" t="s">
        <v>794</v>
      </c>
      <c r="C282" s="426">
        <v>750100</v>
      </c>
      <c r="D282" s="426" t="s">
        <v>815</v>
      </c>
    </row>
    <row r="283" spans="1:8" x14ac:dyDescent="0.35">
      <c r="A283" s="280">
        <v>378</v>
      </c>
      <c r="B283" s="426" t="s">
        <v>794</v>
      </c>
      <c r="C283" s="426">
        <v>750150</v>
      </c>
      <c r="D283" s="426" t="s">
        <v>816</v>
      </c>
    </row>
    <row r="284" spans="1:8" x14ac:dyDescent="0.35">
      <c r="A284" s="280">
        <v>378</v>
      </c>
      <c r="B284" s="426" t="s">
        <v>794</v>
      </c>
      <c r="C284" s="426">
        <v>750200</v>
      </c>
      <c r="D284" s="426" t="s">
        <v>817</v>
      </c>
    </row>
    <row r="285" spans="1:8" x14ac:dyDescent="0.35">
      <c r="A285" s="280">
        <v>378</v>
      </c>
      <c r="B285" s="426" t="s">
        <v>794</v>
      </c>
      <c r="C285" s="426">
        <v>750250</v>
      </c>
      <c r="D285" s="426" t="s">
        <v>818</v>
      </c>
    </row>
    <row r="286" spans="1:8" x14ac:dyDescent="0.35">
      <c r="A286" s="280">
        <v>378</v>
      </c>
      <c r="B286" s="426" t="s">
        <v>794</v>
      </c>
      <c r="C286" s="426">
        <v>750300</v>
      </c>
      <c r="D286" s="426" t="s">
        <v>819</v>
      </c>
    </row>
    <row r="287" spans="1:8" x14ac:dyDescent="0.35">
      <c r="A287" s="280">
        <v>378</v>
      </c>
      <c r="B287" s="426" t="s">
        <v>794</v>
      </c>
      <c r="C287" s="426">
        <v>750350</v>
      </c>
      <c r="D287" s="426" t="s">
        <v>820</v>
      </c>
    </row>
    <row r="288" spans="1:8" x14ac:dyDescent="0.35">
      <c r="A288" s="280">
        <v>378</v>
      </c>
      <c r="B288" s="426" t="s">
        <v>794</v>
      </c>
      <c r="C288" s="426">
        <v>750400</v>
      </c>
      <c r="D288" s="426" t="s">
        <v>821</v>
      </c>
    </row>
    <row r="289" spans="1:4" x14ac:dyDescent="0.35">
      <c r="A289" s="280">
        <v>378</v>
      </c>
      <c r="B289" s="426" t="s">
        <v>794</v>
      </c>
      <c r="C289" s="426">
        <v>760100</v>
      </c>
      <c r="D289" s="426" t="s">
        <v>822</v>
      </c>
    </row>
    <row r="290" spans="1:4" x14ac:dyDescent="0.35">
      <c r="A290" s="280">
        <v>378</v>
      </c>
      <c r="B290" s="426" t="s">
        <v>794</v>
      </c>
      <c r="C290" s="426">
        <v>760150</v>
      </c>
      <c r="D290" s="426" t="s">
        <v>823</v>
      </c>
    </row>
    <row r="291" spans="1:4" x14ac:dyDescent="0.35">
      <c r="A291" s="280">
        <v>378</v>
      </c>
      <c r="B291" s="426" t="s">
        <v>794</v>
      </c>
      <c r="C291" s="426">
        <v>760200</v>
      </c>
      <c r="D291" s="426" t="s">
        <v>824</v>
      </c>
    </row>
    <row r="292" spans="1:4" x14ac:dyDescent="0.35">
      <c r="A292" s="280">
        <v>378</v>
      </c>
      <c r="B292" s="426" t="s">
        <v>794</v>
      </c>
      <c r="C292" s="426">
        <v>760250</v>
      </c>
      <c r="D292" s="426" t="s">
        <v>825</v>
      </c>
    </row>
    <row r="293" spans="1:4" x14ac:dyDescent="0.35">
      <c r="A293" s="280">
        <v>378</v>
      </c>
      <c r="B293" s="426" t="s">
        <v>794</v>
      </c>
      <c r="C293" s="426">
        <v>760300</v>
      </c>
      <c r="D293" s="426" t="s">
        <v>826</v>
      </c>
    </row>
    <row r="294" spans="1:4" x14ac:dyDescent="0.35">
      <c r="A294" s="280">
        <v>378</v>
      </c>
      <c r="B294" s="426" t="s">
        <v>794</v>
      </c>
      <c r="C294" s="426">
        <v>760350</v>
      </c>
      <c r="D294" s="426" t="s">
        <v>827</v>
      </c>
    </row>
    <row r="295" spans="1:4" x14ac:dyDescent="0.35">
      <c r="A295" s="280">
        <v>378</v>
      </c>
      <c r="B295" s="426" t="s">
        <v>794</v>
      </c>
      <c r="C295" s="426">
        <v>760400</v>
      </c>
      <c r="D295" s="426" t="s">
        <v>828</v>
      </c>
    </row>
    <row r="296" spans="1:4" x14ac:dyDescent="0.35">
      <c r="A296" s="280">
        <v>378</v>
      </c>
      <c r="B296" s="426" t="s">
        <v>794</v>
      </c>
      <c r="C296" s="426">
        <v>760450</v>
      </c>
      <c r="D296" s="426" t="s">
        <v>829</v>
      </c>
    </row>
    <row r="297" spans="1:4" x14ac:dyDescent="0.35">
      <c r="A297" s="280">
        <v>378</v>
      </c>
      <c r="B297" s="426" t="s">
        <v>794</v>
      </c>
      <c r="C297" s="426">
        <v>760500</v>
      </c>
      <c r="D297" s="426" t="s">
        <v>830</v>
      </c>
    </row>
    <row r="298" spans="1:4" x14ac:dyDescent="0.35">
      <c r="A298" s="280">
        <v>378</v>
      </c>
      <c r="B298" s="426" t="s">
        <v>794</v>
      </c>
      <c r="C298" s="426">
        <v>760550</v>
      </c>
      <c r="D298" s="426" t="s">
        <v>831</v>
      </c>
    </row>
    <row r="299" spans="1:4" x14ac:dyDescent="0.35">
      <c r="A299" s="280">
        <v>378</v>
      </c>
      <c r="B299" s="426" t="s">
        <v>794</v>
      </c>
      <c r="C299" s="426">
        <v>760600</v>
      </c>
      <c r="D299" s="426" t="s">
        <v>832</v>
      </c>
    </row>
    <row r="300" spans="1:4" x14ac:dyDescent="0.35">
      <c r="A300" s="280">
        <v>378</v>
      </c>
      <c r="B300" s="426" t="s">
        <v>794</v>
      </c>
      <c r="C300" s="426">
        <v>760650</v>
      </c>
      <c r="D300" s="426" t="s">
        <v>833</v>
      </c>
    </row>
    <row r="301" spans="1:4" x14ac:dyDescent="0.35">
      <c r="A301" s="280">
        <v>378</v>
      </c>
      <c r="B301" s="426" t="s">
        <v>794</v>
      </c>
      <c r="C301" s="426">
        <v>760680</v>
      </c>
      <c r="D301" s="426" t="s">
        <v>834</v>
      </c>
    </row>
    <row r="302" spans="1:4" x14ac:dyDescent="0.35">
      <c r="A302" s="280">
        <v>378</v>
      </c>
      <c r="B302" s="426" t="s">
        <v>794</v>
      </c>
      <c r="C302" s="426">
        <v>760700</v>
      </c>
      <c r="D302" s="426" t="s">
        <v>835</v>
      </c>
    </row>
    <row r="303" spans="1:4" x14ac:dyDescent="0.35">
      <c r="A303" s="280">
        <v>378</v>
      </c>
      <c r="B303" s="426" t="s">
        <v>794</v>
      </c>
      <c r="C303" s="426">
        <v>760710</v>
      </c>
      <c r="D303" s="426" t="s">
        <v>836</v>
      </c>
    </row>
    <row r="304" spans="1:4" x14ac:dyDescent="0.35">
      <c r="A304" s="280">
        <v>378</v>
      </c>
      <c r="B304" s="426" t="s">
        <v>794</v>
      </c>
      <c r="C304" s="426">
        <v>780100</v>
      </c>
      <c r="D304" s="426" t="s">
        <v>837</v>
      </c>
    </row>
    <row r="305" spans="1:8" x14ac:dyDescent="0.35">
      <c r="A305" s="280">
        <v>378</v>
      </c>
      <c r="B305" s="426" t="s">
        <v>794</v>
      </c>
      <c r="C305" s="426">
        <v>780150</v>
      </c>
      <c r="D305" s="426" t="s">
        <v>838</v>
      </c>
    </row>
    <row r="306" spans="1:8" x14ac:dyDescent="0.35">
      <c r="A306" s="280">
        <v>378</v>
      </c>
      <c r="B306" s="426" t="s">
        <v>794</v>
      </c>
      <c r="C306" s="426">
        <v>780200</v>
      </c>
      <c r="D306" s="426" t="s">
        <v>839</v>
      </c>
    </row>
    <row r="307" spans="1:8" x14ac:dyDescent="0.35">
      <c r="A307" s="280">
        <v>378</v>
      </c>
      <c r="B307" s="426" t="s">
        <v>794</v>
      </c>
      <c r="C307" s="426">
        <v>780250</v>
      </c>
      <c r="D307" s="426" t="s">
        <v>840</v>
      </c>
    </row>
    <row r="308" spans="1:8" x14ac:dyDescent="0.35">
      <c r="A308" s="280">
        <v>378</v>
      </c>
      <c r="B308" s="426" t="s">
        <v>794</v>
      </c>
      <c r="C308" s="426">
        <v>780300</v>
      </c>
      <c r="D308" s="426" t="s">
        <v>841</v>
      </c>
    </row>
    <row r="309" spans="1:8" x14ac:dyDescent="0.35">
      <c r="A309" s="280">
        <v>378</v>
      </c>
      <c r="B309" s="426" t="s">
        <v>794</v>
      </c>
      <c r="C309" s="426">
        <v>780350</v>
      </c>
      <c r="D309" s="426" t="s">
        <v>842</v>
      </c>
    </row>
    <row r="310" spans="1:8" x14ac:dyDescent="0.35">
      <c r="A310" s="280">
        <v>378</v>
      </c>
      <c r="B310" s="426" t="s">
        <v>794</v>
      </c>
      <c r="C310" s="426">
        <v>780400</v>
      </c>
      <c r="D310" s="426" t="s">
        <v>843</v>
      </c>
    </row>
    <row r="311" spans="1:8" x14ac:dyDescent="0.35">
      <c r="A311" s="280">
        <v>378</v>
      </c>
      <c r="B311" s="426" t="s">
        <v>794</v>
      </c>
      <c r="C311" s="426">
        <v>780450</v>
      </c>
      <c r="D311" s="426" t="s">
        <v>844</v>
      </c>
    </row>
    <row r="312" spans="1:8" x14ac:dyDescent="0.35">
      <c r="A312" s="280">
        <v>378</v>
      </c>
      <c r="B312" s="426" t="s">
        <v>794</v>
      </c>
      <c r="C312" s="426">
        <v>780500</v>
      </c>
      <c r="D312" s="426" t="s">
        <v>845</v>
      </c>
    </row>
    <row r="313" spans="1:8" x14ac:dyDescent="0.35">
      <c r="A313" s="280">
        <v>378</v>
      </c>
      <c r="B313" s="426" t="s">
        <v>794</v>
      </c>
      <c r="C313" s="426">
        <v>780600</v>
      </c>
      <c r="D313" s="426" t="s">
        <v>846</v>
      </c>
    </row>
    <row r="314" spans="1:8" x14ac:dyDescent="0.35">
      <c r="A314" s="280">
        <v>378</v>
      </c>
      <c r="B314" s="426" t="s">
        <v>794</v>
      </c>
      <c r="C314" s="426">
        <v>780700</v>
      </c>
      <c r="D314" s="426" t="s">
        <v>847</v>
      </c>
    </row>
    <row r="315" spans="1:8" x14ac:dyDescent="0.35">
      <c r="A315" s="280">
        <v>378</v>
      </c>
      <c r="B315" s="426" t="s">
        <v>794</v>
      </c>
      <c r="C315" s="426">
        <v>780720</v>
      </c>
      <c r="D315" s="426" t="s">
        <v>848</v>
      </c>
    </row>
    <row r="316" spans="1:8" x14ac:dyDescent="0.35">
      <c r="A316" s="280">
        <v>378</v>
      </c>
      <c r="B316" s="426" t="s">
        <v>794</v>
      </c>
      <c r="C316" s="426">
        <v>780750</v>
      </c>
      <c r="D316" s="426" t="s">
        <v>849</v>
      </c>
      <c r="H316" s="241"/>
    </row>
    <row r="317" spans="1:8" x14ac:dyDescent="0.35">
      <c r="A317" s="280">
        <v>378</v>
      </c>
      <c r="B317" s="426" t="s">
        <v>794</v>
      </c>
      <c r="C317" s="426">
        <v>780770</v>
      </c>
      <c r="D317" s="426" t="s">
        <v>850</v>
      </c>
    </row>
    <row r="318" spans="1:8" x14ac:dyDescent="0.35">
      <c r="A318" s="280">
        <v>378</v>
      </c>
      <c r="B318" s="426" t="s">
        <v>794</v>
      </c>
      <c r="C318" s="426">
        <v>780800</v>
      </c>
      <c r="D318" s="426" t="s">
        <v>851</v>
      </c>
    </row>
    <row r="319" spans="1:8" x14ac:dyDescent="0.35">
      <c r="A319" s="280">
        <v>378</v>
      </c>
      <c r="B319" s="426" t="s">
        <v>794</v>
      </c>
      <c r="C319" s="426">
        <v>780850</v>
      </c>
      <c r="D319" s="426" t="s">
        <v>852</v>
      </c>
    </row>
    <row r="320" spans="1:8" x14ac:dyDescent="0.35">
      <c r="A320" s="280">
        <v>378</v>
      </c>
      <c r="B320" s="426" t="s">
        <v>794</v>
      </c>
      <c r="C320" s="426">
        <v>810100</v>
      </c>
      <c r="D320" s="426" t="s">
        <v>853</v>
      </c>
    </row>
    <row r="321" spans="1:4" x14ac:dyDescent="0.35">
      <c r="A321" s="280">
        <v>378</v>
      </c>
      <c r="B321" s="426" t="s">
        <v>794</v>
      </c>
      <c r="C321" s="426">
        <v>810150</v>
      </c>
      <c r="D321" s="426" t="s">
        <v>854</v>
      </c>
    </row>
    <row r="322" spans="1:4" x14ac:dyDescent="0.35">
      <c r="A322" s="280">
        <v>378</v>
      </c>
      <c r="B322" s="426" t="s">
        <v>794</v>
      </c>
      <c r="C322" s="426">
        <v>810200</v>
      </c>
      <c r="D322" s="426" t="s">
        <v>855</v>
      </c>
    </row>
    <row r="323" spans="1:4" x14ac:dyDescent="0.35">
      <c r="A323" s="280">
        <v>378</v>
      </c>
      <c r="B323" s="426" t="s">
        <v>794</v>
      </c>
      <c r="C323" s="426">
        <v>810220</v>
      </c>
      <c r="D323" s="426" t="s">
        <v>856</v>
      </c>
    </row>
    <row r="324" spans="1:4" x14ac:dyDescent="0.35">
      <c r="A324" s="280">
        <v>378</v>
      </c>
      <c r="B324" s="426" t="s">
        <v>794</v>
      </c>
      <c r="C324" s="426">
        <v>810250</v>
      </c>
      <c r="D324" s="426" t="s">
        <v>857</v>
      </c>
    </row>
    <row r="325" spans="1:4" x14ac:dyDescent="0.35">
      <c r="A325" s="280">
        <v>378</v>
      </c>
      <c r="B325" s="426" t="s">
        <v>794</v>
      </c>
      <c r="C325" s="426">
        <v>810300</v>
      </c>
      <c r="D325" s="426" t="s">
        <v>858</v>
      </c>
    </row>
    <row r="326" spans="1:4" x14ac:dyDescent="0.35">
      <c r="A326" s="280">
        <v>378</v>
      </c>
      <c r="B326" s="426" t="s">
        <v>794</v>
      </c>
      <c r="C326" s="426">
        <v>810350</v>
      </c>
      <c r="D326" s="426" t="s">
        <v>859</v>
      </c>
    </row>
    <row r="327" spans="1:4" x14ac:dyDescent="0.35">
      <c r="A327" s="280">
        <v>378</v>
      </c>
      <c r="B327" s="426" t="s">
        <v>794</v>
      </c>
      <c r="C327" s="426">
        <v>810450</v>
      </c>
      <c r="D327" s="426" t="s">
        <v>860</v>
      </c>
    </row>
    <row r="328" spans="1:4" x14ac:dyDescent="0.35">
      <c r="A328" s="280">
        <v>378</v>
      </c>
      <c r="B328" s="426" t="s">
        <v>794</v>
      </c>
      <c r="C328" s="426">
        <v>810500</v>
      </c>
      <c r="D328" s="426" t="s">
        <v>861</v>
      </c>
    </row>
    <row r="329" spans="1:4" x14ac:dyDescent="0.35">
      <c r="A329" s="280">
        <v>378</v>
      </c>
      <c r="B329" s="426" t="s">
        <v>794</v>
      </c>
      <c r="C329" s="426">
        <v>810510</v>
      </c>
      <c r="D329" s="426" t="s">
        <v>862</v>
      </c>
    </row>
    <row r="330" spans="1:4" x14ac:dyDescent="0.35">
      <c r="A330" s="280">
        <v>378</v>
      </c>
      <c r="B330" s="426" t="s">
        <v>794</v>
      </c>
      <c r="C330" s="426">
        <v>810550</v>
      </c>
      <c r="D330" s="426" t="s">
        <v>863</v>
      </c>
    </row>
    <row r="331" spans="1:4" x14ac:dyDescent="0.35">
      <c r="A331" s="280">
        <v>378</v>
      </c>
      <c r="B331" s="426" t="s">
        <v>794</v>
      </c>
      <c r="C331" s="426">
        <v>815100</v>
      </c>
      <c r="D331" s="426" t="s">
        <v>864</v>
      </c>
    </row>
    <row r="332" spans="1:4" x14ac:dyDescent="0.35">
      <c r="A332" s="280">
        <v>378</v>
      </c>
      <c r="B332" s="426" t="s">
        <v>794</v>
      </c>
      <c r="C332" s="426">
        <v>815200</v>
      </c>
      <c r="D332" s="426" t="s">
        <v>865</v>
      </c>
    </row>
    <row r="333" spans="1:4" x14ac:dyDescent="0.35">
      <c r="A333" s="280">
        <v>378</v>
      </c>
      <c r="B333" s="426" t="s">
        <v>794</v>
      </c>
      <c r="C333" s="426">
        <v>825100</v>
      </c>
      <c r="D333" s="426" t="s">
        <v>866</v>
      </c>
    </row>
    <row r="334" spans="1:4" x14ac:dyDescent="0.35">
      <c r="A334" s="280">
        <v>378</v>
      </c>
      <c r="B334" s="426" t="s">
        <v>794</v>
      </c>
      <c r="C334" s="426">
        <v>825150</v>
      </c>
      <c r="D334" s="426" t="s">
        <v>867</v>
      </c>
    </row>
    <row r="335" spans="1:4" x14ac:dyDescent="0.35">
      <c r="A335" s="280">
        <v>378</v>
      </c>
      <c r="B335" s="426" t="s">
        <v>794</v>
      </c>
      <c r="C335" s="426">
        <v>825200</v>
      </c>
      <c r="D335" s="426" t="s">
        <v>868</v>
      </c>
    </row>
    <row r="336" spans="1:4" x14ac:dyDescent="0.35">
      <c r="A336" s="280">
        <v>378</v>
      </c>
      <c r="B336" s="426" t="s">
        <v>794</v>
      </c>
      <c r="C336" s="426">
        <v>825250</v>
      </c>
      <c r="D336" s="426" t="s">
        <v>869</v>
      </c>
    </row>
    <row r="337" spans="1:4" x14ac:dyDescent="0.35">
      <c r="A337" s="280">
        <v>378</v>
      </c>
      <c r="B337" s="426" t="s">
        <v>794</v>
      </c>
      <c r="C337" s="426">
        <v>825300</v>
      </c>
      <c r="D337" s="426" t="s">
        <v>870</v>
      </c>
    </row>
    <row r="338" spans="1:4" x14ac:dyDescent="0.35">
      <c r="A338" s="280">
        <v>378</v>
      </c>
      <c r="B338" s="426" t="s">
        <v>794</v>
      </c>
      <c r="C338" s="426">
        <v>825330</v>
      </c>
      <c r="D338" s="426" t="s">
        <v>871</v>
      </c>
    </row>
    <row r="339" spans="1:4" x14ac:dyDescent="0.35">
      <c r="A339" s="280">
        <v>378</v>
      </c>
      <c r="B339" s="426" t="s">
        <v>794</v>
      </c>
      <c r="C339" s="426">
        <v>825350</v>
      </c>
      <c r="D339" s="426" t="s">
        <v>872</v>
      </c>
    </row>
    <row r="340" spans="1:4" x14ac:dyDescent="0.35">
      <c r="A340" s="280">
        <v>378</v>
      </c>
      <c r="B340" s="426" t="s">
        <v>794</v>
      </c>
      <c r="C340" s="426">
        <v>825400</v>
      </c>
      <c r="D340" s="426" t="s">
        <v>873</v>
      </c>
    </row>
    <row r="341" spans="1:4" x14ac:dyDescent="0.35">
      <c r="A341" s="280">
        <v>378</v>
      </c>
      <c r="B341" s="426" t="s">
        <v>794</v>
      </c>
      <c r="C341" s="426">
        <v>830100</v>
      </c>
      <c r="D341" s="426" t="s">
        <v>874</v>
      </c>
    </row>
    <row r="342" spans="1:4" x14ac:dyDescent="0.35">
      <c r="A342" s="280">
        <v>378</v>
      </c>
      <c r="B342" s="426" t="s">
        <v>794</v>
      </c>
      <c r="C342" s="426">
        <v>830150</v>
      </c>
      <c r="D342" s="426" t="s">
        <v>875</v>
      </c>
    </row>
    <row r="343" spans="1:4" x14ac:dyDescent="0.35">
      <c r="A343" s="280">
        <v>378</v>
      </c>
      <c r="B343" s="426" t="s">
        <v>794</v>
      </c>
      <c r="C343" s="426">
        <v>830170</v>
      </c>
      <c r="D343" s="426" t="s">
        <v>876</v>
      </c>
    </row>
    <row r="344" spans="1:4" x14ac:dyDescent="0.35">
      <c r="A344" s="280">
        <v>378</v>
      </c>
      <c r="B344" s="426" t="s">
        <v>794</v>
      </c>
      <c r="C344" s="426">
        <v>830200</v>
      </c>
      <c r="D344" s="426" t="s">
        <v>877</v>
      </c>
    </row>
    <row r="345" spans="1:4" x14ac:dyDescent="0.35">
      <c r="A345" s="280">
        <v>378</v>
      </c>
      <c r="B345" s="426" t="s">
        <v>794</v>
      </c>
      <c r="C345" s="426">
        <v>830250</v>
      </c>
      <c r="D345" s="426" t="s">
        <v>878</v>
      </c>
    </row>
    <row r="346" spans="1:4" x14ac:dyDescent="0.35">
      <c r="A346" s="280">
        <v>378</v>
      </c>
      <c r="B346" s="426" t="s">
        <v>794</v>
      </c>
      <c r="C346" s="426">
        <v>830300</v>
      </c>
      <c r="D346" s="426" t="s">
        <v>879</v>
      </c>
    </row>
    <row r="347" spans="1:4" x14ac:dyDescent="0.35">
      <c r="A347" s="280">
        <v>378</v>
      </c>
      <c r="B347" s="426" t="s">
        <v>794</v>
      </c>
      <c r="C347" s="426">
        <v>830400</v>
      </c>
      <c r="D347" s="426" t="s">
        <v>880</v>
      </c>
    </row>
    <row r="348" spans="1:4" x14ac:dyDescent="0.35">
      <c r="A348" s="280">
        <v>378</v>
      </c>
      <c r="B348" s="426" t="s">
        <v>794</v>
      </c>
      <c r="C348" s="426">
        <v>835100</v>
      </c>
      <c r="D348" s="426" t="s">
        <v>881</v>
      </c>
    </row>
    <row r="349" spans="1:4" x14ac:dyDescent="0.35">
      <c r="A349" s="280">
        <v>378</v>
      </c>
      <c r="B349" s="426" t="s">
        <v>794</v>
      </c>
      <c r="C349" s="426">
        <v>835120</v>
      </c>
      <c r="D349" s="426" t="s">
        <v>882</v>
      </c>
    </row>
    <row r="350" spans="1:4" x14ac:dyDescent="0.35">
      <c r="A350" s="280">
        <v>378</v>
      </c>
      <c r="B350" s="426" t="s">
        <v>794</v>
      </c>
      <c r="C350" s="426">
        <v>835150</v>
      </c>
      <c r="D350" s="426" t="s">
        <v>883</v>
      </c>
    </row>
    <row r="351" spans="1:4" x14ac:dyDescent="0.35">
      <c r="A351" s="280">
        <v>378</v>
      </c>
      <c r="B351" s="426" t="s">
        <v>794</v>
      </c>
      <c r="C351" s="426">
        <v>835170</v>
      </c>
      <c r="D351" s="426" t="s">
        <v>884</v>
      </c>
    </row>
    <row r="352" spans="1:4" x14ac:dyDescent="0.35">
      <c r="A352" s="280">
        <v>378</v>
      </c>
      <c r="B352" s="426" t="s">
        <v>794</v>
      </c>
      <c r="C352" s="426">
        <v>835200</v>
      </c>
      <c r="D352" s="426" t="s">
        <v>885</v>
      </c>
    </row>
    <row r="353" spans="1:4" x14ac:dyDescent="0.35">
      <c r="A353" s="280">
        <v>378</v>
      </c>
      <c r="B353" s="426" t="s">
        <v>794</v>
      </c>
      <c r="C353" s="426">
        <v>835220</v>
      </c>
      <c r="D353" s="426" t="s">
        <v>886</v>
      </c>
    </row>
    <row r="354" spans="1:4" x14ac:dyDescent="0.35">
      <c r="A354" s="280">
        <v>378</v>
      </c>
      <c r="B354" s="426" t="s">
        <v>794</v>
      </c>
      <c r="C354" s="426">
        <v>835250</v>
      </c>
      <c r="D354" s="426" t="s">
        <v>887</v>
      </c>
    </row>
    <row r="355" spans="1:4" x14ac:dyDescent="0.35">
      <c r="A355" s="280">
        <v>378</v>
      </c>
      <c r="B355" s="426" t="s">
        <v>794</v>
      </c>
      <c r="C355" s="426">
        <v>835270</v>
      </c>
      <c r="D355" s="426" t="s">
        <v>888</v>
      </c>
    </row>
    <row r="356" spans="1:4" x14ac:dyDescent="0.35">
      <c r="A356" s="280">
        <v>378</v>
      </c>
      <c r="B356" s="426" t="s">
        <v>794</v>
      </c>
      <c r="C356" s="426">
        <v>835300</v>
      </c>
      <c r="D356" s="426" t="s">
        <v>889</v>
      </c>
    </row>
    <row r="357" spans="1:4" x14ac:dyDescent="0.35">
      <c r="A357" s="280">
        <v>378</v>
      </c>
      <c r="B357" s="426" t="s">
        <v>794</v>
      </c>
      <c r="C357" s="426">
        <v>835320</v>
      </c>
      <c r="D357" s="426" t="s">
        <v>890</v>
      </c>
    </row>
    <row r="358" spans="1:4" x14ac:dyDescent="0.35">
      <c r="A358" s="280">
        <v>378</v>
      </c>
      <c r="B358" s="426" t="s">
        <v>794</v>
      </c>
      <c r="C358" s="426">
        <v>835350</v>
      </c>
      <c r="D358" s="426" t="s">
        <v>891</v>
      </c>
    </row>
    <row r="359" spans="1:4" x14ac:dyDescent="0.35">
      <c r="A359" s="280">
        <v>378</v>
      </c>
      <c r="B359" s="426" t="s">
        <v>794</v>
      </c>
      <c r="C359" s="426">
        <v>835370</v>
      </c>
      <c r="D359" s="426" t="s">
        <v>892</v>
      </c>
    </row>
    <row r="360" spans="1:4" x14ac:dyDescent="0.35">
      <c r="A360" s="280">
        <v>378</v>
      </c>
      <c r="B360" s="426" t="s">
        <v>794</v>
      </c>
      <c r="C360" s="426">
        <v>835400</v>
      </c>
      <c r="D360" s="426" t="s">
        <v>893</v>
      </c>
    </row>
    <row r="361" spans="1:4" x14ac:dyDescent="0.35">
      <c r="A361" s="280">
        <v>378</v>
      </c>
      <c r="B361" s="426" t="s">
        <v>794</v>
      </c>
      <c r="C361" s="426">
        <v>835420</v>
      </c>
      <c r="D361" s="426" t="s">
        <v>894</v>
      </c>
    </row>
    <row r="362" spans="1:4" x14ac:dyDescent="0.35">
      <c r="A362" s="280">
        <v>378</v>
      </c>
      <c r="B362" s="426" t="s">
        <v>794</v>
      </c>
      <c r="C362" s="426">
        <v>835470</v>
      </c>
      <c r="D362" s="426" t="s">
        <v>895</v>
      </c>
    </row>
    <row r="363" spans="1:4" x14ac:dyDescent="0.35">
      <c r="A363" s="280">
        <v>378</v>
      </c>
      <c r="B363" s="426" t="s">
        <v>794</v>
      </c>
      <c r="C363" s="426">
        <v>835500</v>
      </c>
      <c r="D363" s="426" t="s">
        <v>896</v>
      </c>
    </row>
    <row r="364" spans="1:4" x14ac:dyDescent="0.35">
      <c r="A364" s="280">
        <v>378</v>
      </c>
      <c r="B364" s="426" t="s">
        <v>794</v>
      </c>
      <c r="C364" s="426">
        <v>835520</v>
      </c>
      <c r="D364" s="426" t="s">
        <v>897</v>
      </c>
    </row>
    <row r="365" spans="1:4" x14ac:dyDescent="0.35">
      <c r="A365" s="280">
        <v>378</v>
      </c>
      <c r="B365" s="426" t="s">
        <v>794</v>
      </c>
      <c r="C365" s="426">
        <v>835550</v>
      </c>
      <c r="D365" s="426" t="s">
        <v>898</v>
      </c>
    </row>
    <row r="366" spans="1:4" x14ac:dyDescent="0.35">
      <c r="A366" s="280">
        <v>378</v>
      </c>
      <c r="B366" s="426" t="s">
        <v>794</v>
      </c>
      <c r="C366" s="426">
        <v>835570</v>
      </c>
      <c r="D366" s="426" t="s">
        <v>899</v>
      </c>
    </row>
    <row r="367" spans="1:4" x14ac:dyDescent="0.35">
      <c r="A367" s="280">
        <v>378</v>
      </c>
      <c r="B367" s="426" t="s">
        <v>794</v>
      </c>
      <c r="C367" s="426">
        <v>835590</v>
      </c>
      <c r="D367" s="426" t="s">
        <v>900</v>
      </c>
    </row>
    <row r="368" spans="1:4" x14ac:dyDescent="0.35">
      <c r="A368" s="280">
        <v>378</v>
      </c>
      <c r="B368" s="426" t="s">
        <v>794</v>
      </c>
      <c r="C368" s="426">
        <v>840100</v>
      </c>
      <c r="D368" s="426" t="s">
        <v>901</v>
      </c>
    </row>
    <row r="369" spans="1:4" x14ac:dyDescent="0.35">
      <c r="A369" s="280">
        <v>378</v>
      </c>
      <c r="B369" s="426" t="s">
        <v>794</v>
      </c>
      <c r="C369" s="426">
        <v>840110</v>
      </c>
      <c r="D369" s="426" t="s">
        <v>902</v>
      </c>
    </row>
    <row r="370" spans="1:4" x14ac:dyDescent="0.35">
      <c r="A370" s="280">
        <v>378</v>
      </c>
      <c r="B370" s="426" t="s">
        <v>794</v>
      </c>
      <c r="C370" s="426">
        <v>840120</v>
      </c>
      <c r="D370" s="426" t="s">
        <v>903</v>
      </c>
    </row>
    <row r="371" spans="1:4" x14ac:dyDescent="0.35">
      <c r="A371" s="280">
        <v>378</v>
      </c>
      <c r="B371" s="426" t="s">
        <v>794</v>
      </c>
      <c r="C371" s="426">
        <v>840130</v>
      </c>
      <c r="D371" s="426" t="s">
        <v>904</v>
      </c>
    </row>
    <row r="372" spans="1:4" x14ac:dyDescent="0.35">
      <c r="A372" s="280">
        <v>378</v>
      </c>
      <c r="B372" s="426" t="s">
        <v>794</v>
      </c>
      <c r="C372" s="426">
        <v>840200</v>
      </c>
      <c r="D372" s="426" t="s">
        <v>905</v>
      </c>
    </row>
    <row r="373" spans="1:4" x14ac:dyDescent="0.35">
      <c r="A373" s="280">
        <v>378</v>
      </c>
      <c r="B373" s="426" t="s">
        <v>794</v>
      </c>
      <c r="C373" s="426">
        <v>850100</v>
      </c>
      <c r="D373" s="426" t="s">
        <v>906</v>
      </c>
    </row>
    <row r="374" spans="1:4" x14ac:dyDescent="0.35">
      <c r="A374" s="280">
        <v>378</v>
      </c>
      <c r="B374" s="426" t="s">
        <v>794</v>
      </c>
      <c r="C374" s="426">
        <v>850150</v>
      </c>
      <c r="D374" s="426" t="s">
        <v>907</v>
      </c>
    </row>
    <row r="375" spans="1:4" x14ac:dyDescent="0.35">
      <c r="A375" s="280">
        <v>378</v>
      </c>
      <c r="B375" s="426" t="s">
        <v>794</v>
      </c>
      <c r="C375" s="426">
        <v>850200</v>
      </c>
      <c r="D375" s="426" t="s">
        <v>908</v>
      </c>
    </row>
    <row r="376" spans="1:4" x14ac:dyDescent="0.35">
      <c r="A376" s="280">
        <v>378</v>
      </c>
      <c r="B376" s="426" t="s">
        <v>794</v>
      </c>
      <c r="C376" s="426">
        <v>850250</v>
      </c>
      <c r="D376" s="426" t="s">
        <v>909</v>
      </c>
    </row>
    <row r="377" spans="1:4" x14ac:dyDescent="0.35">
      <c r="A377" s="280">
        <v>378</v>
      </c>
      <c r="B377" s="426" t="s">
        <v>794</v>
      </c>
      <c r="C377" s="426">
        <v>850300</v>
      </c>
      <c r="D377" s="426" t="s">
        <v>910</v>
      </c>
    </row>
    <row r="378" spans="1:4" x14ac:dyDescent="0.35">
      <c r="A378" s="280">
        <v>378</v>
      </c>
      <c r="B378" s="426" t="s">
        <v>794</v>
      </c>
      <c r="C378" s="426">
        <v>850350</v>
      </c>
      <c r="D378" s="426" t="s">
        <v>911</v>
      </c>
    </row>
    <row r="379" spans="1:4" x14ac:dyDescent="0.35">
      <c r="A379" s="280">
        <v>378</v>
      </c>
      <c r="B379" s="426" t="s">
        <v>794</v>
      </c>
      <c r="C379" s="426">
        <v>855100</v>
      </c>
      <c r="D379" s="426" t="s">
        <v>912</v>
      </c>
    </row>
    <row r="380" spans="1:4" x14ac:dyDescent="0.35">
      <c r="A380" s="280">
        <v>378</v>
      </c>
      <c r="B380" s="426" t="s">
        <v>794</v>
      </c>
      <c r="C380" s="426">
        <v>855120</v>
      </c>
      <c r="D380" s="426" t="s">
        <v>913</v>
      </c>
    </row>
    <row r="381" spans="1:4" x14ac:dyDescent="0.35">
      <c r="A381" s="280">
        <v>378</v>
      </c>
      <c r="B381" s="426" t="s">
        <v>794</v>
      </c>
      <c r="C381" s="426">
        <v>855150</v>
      </c>
      <c r="D381" s="426" t="s">
        <v>914</v>
      </c>
    </row>
    <row r="382" spans="1:4" x14ac:dyDescent="0.35">
      <c r="A382" s="280">
        <v>378</v>
      </c>
      <c r="B382" s="426" t="s">
        <v>794</v>
      </c>
      <c r="C382" s="426">
        <v>855170</v>
      </c>
      <c r="D382" s="426" t="s">
        <v>915</v>
      </c>
    </row>
    <row r="383" spans="1:4" x14ac:dyDescent="0.35">
      <c r="A383" s="280">
        <v>378</v>
      </c>
      <c r="B383" s="426" t="s">
        <v>794</v>
      </c>
      <c r="C383" s="426">
        <v>855180</v>
      </c>
      <c r="D383" s="426" t="s">
        <v>916</v>
      </c>
    </row>
    <row r="384" spans="1:4" x14ac:dyDescent="0.35">
      <c r="A384" s="280">
        <v>378</v>
      </c>
      <c r="B384" s="426" t="s">
        <v>794</v>
      </c>
      <c r="C384" s="426">
        <v>855200</v>
      </c>
      <c r="D384" s="426" t="s">
        <v>917</v>
      </c>
    </row>
    <row r="385" spans="1:4" x14ac:dyDescent="0.35">
      <c r="A385" s="280">
        <v>378</v>
      </c>
      <c r="B385" s="426" t="s">
        <v>794</v>
      </c>
      <c r="C385" s="426">
        <v>855220</v>
      </c>
      <c r="D385" s="426" t="s">
        <v>918</v>
      </c>
    </row>
    <row r="386" spans="1:4" x14ac:dyDescent="0.35">
      <c r="A386" s="280">
        <v>378</v>
      </c>
      <c r="B386" s="426" t="s">
        <v>794</v>
      </c>
      <c r="C386" s="426">
        <v>855250</v>
      </c>
      <c r="D386" s="426" t="s">
        <v>919</v>
      </c>
    </row>
    <row r="387" spans="1:4" x14ac:dyDescent="0.35">
      <c r="A387" s="280">
        <v>378</v>
      </c>
      <c r="B387" s="426" t="s">
        <v>794</v>
      </c>
      <c r="C387" s="426">
        <v>855300</v>
      </c>
      <c r="D387" s="426" t="s">
        <v>920</v>
      </c>
    </row>
    <row r="388" spans="1:4" x14ac:dyDescent="0.35">
      <c r="A388" s="280">
        <v>378</v>
      </c>
      <c r="B388" s="426" t="s">
        <v>794</v>
      </c>
      <c r="C388" s="426">
        <v>855320</v>
      </c>
      <c r="D388" s="426" t="s">
        <v>921</v>
      </c>
    </row>
    <row r="389" spans="1:4" x14ac:dyDescent="0.35">
      <c r="A389" s="280">
        <v>378</v>
      </c>
      <c r="B389" s="426" t="s">
        <v>794</v>
      </c>
      <c r="C389" s="426">
        <v>855350</v>
      </c>
      <c r="D389" s="426" t="s">
        <v>922</v>
      </c>
    </row>
    <row r="390" spans="1:4" x14ac:dyDescent="0.35">
      <c r="A390" s="280">
        <v>378</v>
      </c>
      <c r="B390" s="426" t="s">
        <v>794</v>
      </c>
      <c r="C390" s="426">
        <v>855370</v>
      </c>
      <c r="D390" s="426" t="s">
        <v>923</v>
      </c>
    </row>
    <row r="391" spans="1:4" x14ac:dyDescent="0.35">
      <c r="A391" s="280">
        <v>378</v>
      </c>
      <c r="B391" s="426" t="s">
        <v>794</v>
      </c>
      <c r="C391" s="426">
        <v>855400</v>
      </c>
      <c r="D391" s="426" t="s">
        <v>924</v>
      </c>
    </row>
    <row r="392" spans="1:4" x14ac:dyDescent="0.35">
      <c r="A392" s="280">
        <v>378</v>
      </c>
      <c r="B392" s="426" t="s">
        <v>794</v>
      </c>
      <c r="C392" s="426">
        <v>855420</v>
      </c>
      <c r="D392" s="426" t="s">
        <v>925</v>
      </c>
    </row>
    <row r="393" spans="1:4" x14ac:dyDescent="0.35">
      <c r="A393" s="280">
        <v>378</v>
      </c>
      <c r="B393" s="426" t="s">
        <v>794</v>
      </c>
      <c r="C393" s="426">
        <v>855450</v>
      </c>
      <c r="D393" s="426" t="s">
        <v>926</v>
      </c>
    </row>
    <row r="394" spans="1:4" x14ac:dyDescent="0.35">
      <c r="A394" s="280">
        <v>378</v>
      </c>
      <c r="B394" s="426" t="s">
        <v>794</v>
      </c>
      <c r="C394" s="426">
        <v>855470</v>
      </c>
      <c r="D394" s="426" t="s">
        <v>927</v>
      </c>
    </row>
    <row r="395" spans="1:4" x14ac:dyDescent="0.35">
      <c r="A395" s="280">
        <v>378</v>
      </c>
      <c r="B395" s="426" t="s">
        <v>794</v>
      </c>
      <c r="C395" s="426">
        <v>855500</v>
      </c>
      <c r="D395" s="426" t="s">
        <v>928</v>
      </c>
    </row>
    <row r="396" spans="1:4" x14ac:dyDescent="0.35">
      <c r="A396" s="280">
        <v>378</v>
      </c>
      <c r="B396" s="426" t="s">
        <v>794</v>
      </c>
      <c r="C396" s="426">
        <v>855600</v>
      </c>
      <c r="D396" s="426" t="s">
        <v>929</v>
      </c>
    </row>
    <row r="397" spans="1:4" x14ac:dyDescent="0.35">
      <c r="A397" s="280">
        <v>378</v>
      </c>
      <c r="B397" s="426" t="s">
        <v>794</v>
      </c>
      <c r="C397" s="426">
        <v>860100</v>
      </c>
      <c r="D397" s="426" t="s">
        <v>930</v>
      </c>
    </row>
    <row r="398" spans="1:4" x14ac:dyDescent="0.35">
      <c r="A398" s="280">
        <v>378</v>
      </c>
      <c r="B398" s="426" t="s">
        <v>794</v>
      </c>
      <c r="C398" s="426">
        <v>860200</v>
      </c>
      <c r="D398" s="426" t="s">
        <v>931</v>
      </c>
    </row>
    <row r="399" spans="1:4" x14ac:dyDescent="0.35">
      <c r="A399" s="280">
        <v>378</v>
      </c>
      <c r="B399" s="426" t="s">
        <v>794</v>
      </c>
      <c r="C399" s="426">
        <v>860300</v>
      </c>
      <c r="D399" s="426" t="s">
        <v>932</v>
      </c>
    </row>
    <row r="400" spans="1:4" x14ac:dyDescent="0.35">
      <c r="A400" s="280">
        <v>378</v>
      </c>
      <c r="B400" s="426" t="s">
        <v>794</v>
      </c>
      <c r="C400" s="426">
        <v>865100</v>
      </c>
      <c r="D400" s="426" t="s">
        <v>933</v>
      </c>
    </row>
    <row r="401" spans="1:4" x14ac:dyDescent="0.35">
      <c r="A401" s="280">
        <v>378</v>
      </c>
      <c r="B401" s="426" t="s">
        <v>794</v>
      </c>
      <c r="C401" s="426">
        <v>865150</v>
      </c>
      <c r="D401" s="426" t="s">
        <v>934</v>
      </c>
    </row>
    <row r="402" spans="1:4" x14ac:dyDescent="0.35">
      <c r="A402" s="280">
        <v>378</v>
      </c>
      <c r="B402" s="426" t="s">
        <v>794</v>
      </c>
      <c r="C402" s="426">
        <v>865200</v>
      </c>
      <c r="D402" s="426" t="s">
        <v>935</v>
      </c>
    </row>
    <row r="403" spans="1:4" x14ac:dyDescent="0.35">
      <c r="A403" s="280">
        <v>378</v>
      </c>
      <c r="B403" s="426" t="s">
        <v>794</v>
      </c>
      <c r="C403" s="426">
        <v>865300</v>
      </c>
      <c r="D403" s="426" t="s">
        <v>936</v>
      </c>
    </row>
    <row r="404" spans="1:4" x14ac:dyDescent="0.35">
      <c r="A404" s="280">
        <v>378</v>
      </c>
      <c r="B404" s="426" t="s">
        <v>794</v>
      </c>
      <c r="C404" s="426">
        <v>865350</v>
      </c>
      <c r="D404" s="426" t="s">
        <v>937</v>
      </c>
    </row>
    <row r="405" spans="1:4" x14ac:dyDescent="0.35">
      <c r="A405" s="280">
        <v>378</v>
      </c>
      <c r="B405" s="426" t="s">
        <v>794</v>
      </c>
      <c r="C405" s="426">
        <v>865400</v>
      </c>
      <c r="D405" s="426" t="s">
        <v>938</v>
      </c>
    </row>
    <row r="406" spans="1:4" x14ac:dyDescent="0.35">
      <c r="A406" s="280">
        <v>378</v>
      </c>
      <c r="B406" s="426" t="s">
        <v>794</v>
      </c>
      <c r="C406" s="426">
        <v>865410</v>
      </c>
      <c r="D406" s="426" t="s">
        <v>939</v>
      </c>
    </row>
    <row r="407" spans="1:4" x14ac:dyDescent="0.35">
      <c r="A407" s="280">
        <v>378</v>
      </c>
      <c r="B407" s="426" t="s">
        <v>794</v>
      </c>
      <c r="C407" s="426">
        <v>870200</v>
      </c>
      <c r="D407" s="426" t="s">
        <v>940</v>
      </c>
    </row>
    <row r="408" spans="1:4" x14ac:dyDescent="0.35">
      <c r="A408" s="280">
        <v>378</v>
      </c>
      <c r="B408" s="426" t="s">
        <v>794</v>
      </c>
      <c r="C408" s="426">
        <v>870300</v>
      </c>
      <c r="D408" s="426" t="s">
        <v>941</v>
      </c>
    </row>
    <row r="409" spans="1:4" x14ac:dyDescent="0.35">
      <c r="A409" s="280">
        <v>378</v>
      </c>
      <c r="B409" s="426" t="s">
        <v>794</v>
      </c>
      <c r="C409" s="426">
        <v>870350</v>
      </c>
      <c r="D409" s="426" t="s">
        <v>942</v>
      </c>
    </row>
    <row r="410" spans="1:4" x14ac:dyDescent="0.35">
      <c r="A410" s="280">
        <v>378</v>
      </c>
      <c r="B410" s="426" t="s">
        <v>794</v>
      </c>
      <c r="C410" s="426">
        <v>870400</v>
      </c>
      <c r="D410" s="426" t="s">
        <v>943</v>
      </c>
    </row>
    <row r="411" spans="1:4" x14ac:dyDescent="0.35">
      <c r="A411" s="280">
        <v>378</v>
      </c>
      <c r="B411" s="426" t="s">
        <v>794</v>
      </c>
      <c r="C411" s="426">
        <v>870500</v>
      </c>
      <c r="D411" s="426" t="s">
        <v>944</v>
      </c>
    </row>
    <row r="412" spans="1:4" x14ac:dyDescent="0.35">
      <c r="A412" s="280">
        <v>378</v>
      </c>
      <c r="B412" s="426" t="s">
        <v>794</v>
      </c>
      <c r="C412" s="426">
        <v>880100</v>
      </c>
      <c r="D412" s="426" t="s">
        <v>945</v>
      </c>
    </row>
    <row r="413" spans="1:4" x14ac:dyDescent="0.35">
      <c r="A413" s="280">
        <v>378</v>
      </c>
      <c r="B413" s="426" t="s">
        <v>794</v>
      </c>
      <c r="C413" s="426">
        <v>880150</v>
      </c>
      <c r="D413" s="426" t="s">
        <v>946</v>
      </c>
    </row>
    <row r="414" spans="1:4" x14ac:dyDescent="0.35">
      <c r="A414" s="280">
        <v>378</v>
      </c>
      <c r="B414" s="426" t="s">
        <v>794</v>
      </c>
      <c r="C414" s="426">
        <v>880170</v>
      </c>
      <c r="D414" s="426" t="s">
        <v>947</v>
      </c>
    </row>
    <row r="415" spans="1:4" x14ac:dyDescent="0.35">
      <c r="A415" s="280">
        <v>378</v>
      </c>
      <c r="B415" s="426" t="s">
        <v>794</v>
      </c>
      <c r="C415" s="426">
        <v>880200</v>
      </c>
      <c r="D415" s="426" t="s">
        <v>948</v>
      </c>
    </row>
    <row r="416" spans="1:4" x14ac:dyDescent="0.35">
      <c r="A416" s="280">
        <v>378</v>
      </c>
      <c r="B416" s="426" t="s">
        <v>794</v>
      </c>
      <c r="C416" s="426">
        <v>880220</v>
      </c>
      <c r="D416" s="426" t="s">
        <v>949</v>
      </c>
    </row>
    <row r="417" spans="1:4" x14ac:dyDescent="0.35">
      <c r="A417" s="280">
        <v>378</v>
      </c>
      <c r="B417" s="426" t="s">
        <v>794</v>
      </c>
      <c r="C417" s="426">
        <v>880250</v>
      </c>
      <c r="D417" s="426" t="s">
        <v>950</v>
      </c>
    </row>
    <row r="418" spans="1:4" x14ac:dyDescent="0.35">
      <c r="A418" s="280">
        <v>378</v>
      </c>
      <c r="B418" s="426" t="s">
        <v>794</v>
      </c>
      <c r="C418" s="426">
        <v>880300</v>
      </c>
      <c r="D418" s="426" t="s">
        <v>951</v>
      </c>
    </row>
    <row r="419" spans="1:4" x14ac:dyDescent="0.35">
      <c r="A419" s="280">
        <v>378</v>
      </c>
      <c r="B419" s="426" t="s">
        <v>794</v>
      </c>
      <c r="C419" s="426">
        <v>880350</v>
      </c>
      <c r="D419" s="426" t="s">
        <v>952</v>
      </c>
    </row>
    <row r="420" spans="1:4" x14ac:dyDescent="0.35">
      <c r="A420" s="280">
        <v>378</v>
      </c>
      <c r="B420" s="426" t="s">
        <v>794</v>
      </c>
      <c r="C420" s="426">
        <v>880400</v>
      </c>
      <c r="D420" s="426" t="s">
        <v>953</v>
      </c>
    </row>
    <row r="421" spans="1:4" x14ac:dyDescent="0.35">
      <c r="A421" s="280">
        <v>378</v>
      </c>
      <c r="B421" s="426" t="s">
        <v>794</v>
      </c>
      <c r="C421" s="426">
        <v>880450</v>
      </c>
      <c r="D421" s="426" t="s">
        <v>954</v>
      </c>
    </row>
    <row r="422" spans="1:4" x14ac:dyDescent="0.35">
      <c r="A422" s="280">
        <v>378</v>
      </c>
      <c r="B422" s="426" t="s">
        <v>955</v>
      </c>
      <c r="C422" s="426">
        <v>880500</v>
      </c>
      <c r="D422" s="426" t="s">
        <v>956</v>
      </c>
    </row>
    <row r="423" spans="1:4" x14ac:dyDescent="0.35">
      <c r="A423" s="280">
        <v>378</v>
      </c>
      <c r="B423" s="426" t="s">
        <v>794</v>
      </c>
      <c r="C423" s="426">
        <v>880530</v>
      </c>
      <c r="D423" s="426" t="s">
        <v>957</v>
      </c>
    </row>
    <row r="424" spans="1:4" x14ac:dyDescent="0.35">
      <c r="A424" s="280">
        <v>378</v>
      </c>
      <c r="B424" s="426" t="s">
        <v>794</v>
      </c>
      <c r="C424" s="426">
        <v>880550</v>
      </c>
      <c r="D424" s="426" t="s">
        <v>958</v>
      </c>
    </row>
    <row r="425" spans="1:4" x14ac:dyDescent="0.35">
      <c r="A425" s="280">
        <v>378</v>
      </c>
      <c r="B425" s="426" t="s">
        <v>794</v>
      </c>
      <c r="C425" s="426">
        <v>890100</v>
      </c>
      <c r="D425" s="426" t="s">
        <v>959</v>
      </c>
    </row>
    <row r="426" spans="1:4" x14ac:dyDescent="0.35">
      <c r="A426" s="280">
        <v>378</v>
      </c>
      <c r="B426" s="426" t="s">
        <v>794</v>
      </c>
      <c r="C426" s="426">
        <v>890150</v>
      </c>
      <c r="D426" s="426" t="s">
        <v>960</v>
      </c>
    </row>
    <row r="427" spans="1:4" x14ac:dyDescent="0.35">
      <c r="A427" s="280">
        <v>378</v>
      </c>
      <c r="B427" s="426" t="s">
        <v>794</v>
      </c>
      <c r="C427" s="426">
        <v>890200</v>
      </c>
      <c r="D427" s="426" t="s">
        <v>961</v>
      </c>
    </row>
    <row r="428" spans="1:4" x14ac:dyDescent="0.35">
      <c r="A428" s="280">
        <v>378</v>
      </c>
      <c r="B428" s="426" t="s">
        <v>794</v>
      </c>
      <c r="C428" s="426">
        <v>890300</v>
      </c>
      <c r="D428" s="426" t="s">
        <v>962</v>
      </c>
    </row>
    <row r="429" spans="1:4" x14ac:dyDescent="0.35">
      <c r="A429" s="280">
        <v>378</v>
      </c>
      <c r="B429" s="426" t="s">
        <v>794</v>
      </c>
      <c r="C429" s="426">
        <v>890400</v>
      </c>
      <c r="D429" s="426" t="s">
        <v>963</v>
      </c>
    </row>
    <row r="430" spans="1:4" x14ac:dyDescent="0.35">
      <c r="A430" s="280">
        <v>378</v>
      </c>
      <c r="B430" s="426" t="s">
        <v>794</v>
      </c>
      <c r="C430" s="426">
        <v>895100</v>
      </c>
      <c r="D430" s="426" t="s">
        <v>964</v>
      </c>
    </row>
    <row r="431" spans="1:4" x14ac:dyDescent="0.35">
      <c r="A431" s="280">
        <v>378</v>
      </c>
      <c r="B431" s="426" t="s">
        <v>794</v>
      </c>
      <c r="C431" s="426">
        <v>895150</v>
      </c>
      <c r="D431" s="426" t="s">
        <v>965</v>
      </c>
    </row>
    <row r="432" spans="1:4" x14ac:dyDescent="0.35">
      <c r="A432" s="280">
        <v>378</v>
      </c>
      <c r="B432" s="426" t="s">
        <v>794</v>
      </c>
      <c r="C432" s="426">
        <v>895200</v>
      </c>
      <c r="D432" s="426" t="s">
        <v>966</v>
      </c>
    </row>
    <row r="433" spans="1:4" x14ac:dyDescent="0.35">
      <c r="A433" s="280">
        <v>378</v>
      </c>
      <c r="B433" s="426" t="s">
        <v>794</v>
      </c>
      <c r="C433" s="426">
        <v>895250</v>
      </c>
      <c r="D433" s="426" t="s">
        <v>967</v>
      </c>
    </row>
    <row r="434" spans="1:4" x14ac:dyDescent="0.35">
      <c r="A434" s="280">
        <v>378</v>
      </c>
      <c r="B434" s="426" t="s">
        <v>794</v>
      </c>
      <c r="C434" s="426">
        <v>895300</v>
      </c>
      <c r="D434" s="426" t="s">
        <v>968</v>
      </c>
    </row>
    <row r="435" spans="1:4" x14ac:dyDescent="0.35">
      <c r="A435" s="280">
        <v>378</v>
      </c>
      <c r="B435" s="426" t="s">
        <v>794</v>
      </c>
      <c r="C435" s="426">
        <v>895350</v>
      </c>
      <c r="D435" s="426" t="s">
        <v>969</v>
      </c>
    </row>
    <row r="436" spans="1:4" x14ac:dyDescent="0.35">
      <c r="A436" s="280">
        <v>378</v>
      </c>
      <c r="B436" s="426" t="s">
        <v>794</v>
      </c>
      <c r="C436" s="426">
        <v>895500</v>
      </c>
      <c r="D436" s="426" t="s">
        <v>970</v>
      </c>
    </row>
    <row r="437" spans="1:4" x14ac:dyDescent="0.35">
      <c r="A437" s="280">
        <v>378</v>
      </c>
      <c r="B437" s="426" t="s">
        <v>794</v>
      </c>
      <c r="C437" s="426">
        <v>895550</v>
      </c>
      <c r="D437" s="426" t="s">
        <v>971</v>
      </c>
    </row>
    <row r="438" spans="1:4" x14ac:dyDescent="0.35">
      <c r="A438" s="280">
        <v>378</v>
      </c>
      <c r="B438" s="426" t="s">
        <v>794</v>
      </c>
      <c r="C438" s="426">
        <v>720100</v>
      </c>
      <c r="D438" s="426" t="s">
        <v>972</v>
      </c>
    </row>
    <row r="439" spans="1:4" x14ac:dyDescent="0.35">
      <c r="A439" s="280">
        <v>378</v>
      </c>
      <c r="B439" s="426" t="s">
        <v>794</v>
      </c>
      <c r="C439" s="426">
        <v>720200</v>
      </c>
      <c r="D439" s="426" t="s">
        <v>973</v>
      </c>
    </row>
    <row r="440" spans="1:4" x14ac:dyDescent="0.35">
      <c r="A440" s="280">
        <v>378</v>
      </c>
      <c r="B440" s="426" t="s">
        <v>794</v>
      </c>
      <c r="C440" s="426">
        <v>835450</v>
      </c>
      <c r="D440" s="426" t="s">
        <v>1710</v>
      </c>
    </row>
    <row r="441" spans="1:4" x14ac:dyDescent="0.35">
      <c r="A441" s="280">
        <v>378</v>
      </c>
      <c r="B441" s="426" t="s">
        <v>794</v>
      </c>
      <c r="C441" s="426">
        <v>872150</v>
      </c>
      <c r="D441" s="426" t="s">
        <v>1711</v>
      </c>
    </row>
    <row r="442" spans="1:4" x14ac:dyDescent="0.35">
      <c r="A442" s="280">
        <v>378</v>
      </c>
      <c r="B442" s="426" t="s">
        <v>794</v>
      </c>
      <c r="C442" s="426">
        <v>872200</v>
      </c>
      <c r="D442" s="426" t="s">
        <v>1712</v>
      </c>
    </row>
    <row r="443" spans="1:4" x14ac:dyDescent="0.35">
      <c r="A443" s="280">
        <v>378</v>
      </c>
      <c r="B443" s="426" t="s">
        <v>794</v>
      </c>
      <c r="C443" s="426">
        <v>872600</v>
      </c>
      <c r="D443" s="426" t="s">
        <v>1713</v>
      </c>
    </row>
    <row r="444" spans="1:4" x14ac:dyDescent="0.35">
      <c r="A444" s="280">
        <v>378</v>
      </c>
      <c r="B444" s="426" t="s">
        <v>794</v>
      </c>
      <c r="C444" s="426">
        <v>872650</v>
      </c>
      <c r="D444" s="426" t="s">
        <v>1714</v>
      </c>
    </row>
    <row r="445" spans="1:4" x14ac:dyDescent="0.35">
      <c r="A445" s="280">
        <v>378</v>
      </c>
      <c r="B445" s="426" t="s">
        <v>794</v>
      </c>
      <c r="C445" s="426">
        <v>872700</v>
      </c>
      <c r="D445" s="426" t="s">
        <v>1715</v>
      </c>
    </row>
    <row r="446" spans="1:4" x14ac:dyDescent="0.35">
      <c r="A446" s="280">
        <v>378</v>
      </c>
      <c r="B446" s="426" t="s">
        <v>794</v>
      </c>
      <c r="C446" s="426">
        <v>872750</v>
      </c>
      <c r="D446" s="426" t="s">
        <v>1716</v>
      </c>
    </row>
    <row r="447" spans="1:4" x14ac:dyDescent="0.35">
      <c r="A447" s="280">
        <v>378</v>
      </c>
      <c r="B447" s="426" t="s">
        <v>794</v>
      </c>
      <c r="C447" s="426">
        <v>872950</v>
      </c>
      <c r="D447" s="426" t="s">
        <v>1717</v>
      </c>
    </row>
    <row r="448" spans="1:4" x14ac:dyDescent="0.35">
      <c r="A448" s="280">
        <v>510</v>
      </c>
      <c r="B448" s="426" t="s">
        <v>214</v>
      </c>
      <c r="C448" s="426">
        <v>550250</v>
      </c>
      <c r="D448" s="426" t="s">
        <v>974</v>
      </c>
    </row>
    <row r="449" spans="1:4" x14ac:dyDescent="0.35">
      <c r="A449" s="280">
        <v>520</v>
      </c>
      <c r="B449" s="426" t="s">
        <v>1702</v>
      </c>
      <c r="C449" s="426">
        <v>550200</v>
      </c>
      <c r="D449" s="426" t="s">
        <v>975</v>
      </c>
    </row>
    <row r="450" spans="1:4" x14ac:dyDescent="0.35">
      <c r="A450" s="280">
        <v>520</v>
      </c>
      <c r="B450" s="426" t="s">
        <v>1702</v>
      </c>
      <c r="C450" s="426">
        <v>550300</v>
      </c>
      <c r="D450" s="426" t="s">
        <v>976</v>
      </c>
    </row>
    <row r="451" spans="1:4" x14ac:dyDescent="0.35">
      <c r="A451" s="280">
        <v>520</v>
      </c>
      <c r="B451" s="426" t="s">
        <v>1702</v>
      </c>
      <c r="C451" s="426">
        <v>580100</v>
      </c>
      <c r="D451" s="426" t="s">
        <v>977</v>
      </c>
    </row>
    <row r="452" spans="1:4" x14ac:dyDescent="0.35">
      <c r="A452" s="280">
        <v>530</v>
      </c>
      <c r="B452" s="426" t="s">
        <v>221</v>
      </c>
      <c r="C452" s="426">
        <v>550100</v>
      </c>
      <c r="D452" s="426" t="s">
        <v>978</v>
      </c>
    </row>
    <row r="453" spans="1:4" x14ac:dyDescent="0.35">
      <c r="A453" s="280">
        <v>530</v>
      </c>
      <c r="B453" s="426" t="s">
        <v>221</v>
      </c>
      <c r="C453" s="426">
        <v>550150</v>
      </c>
      <c r="D453" s="426" t="s">
        <v>979</v>
      </c>
    </row>
    <row r="454" spans="1:4" x14ac:dyDescent="0.35">
      <c r="A454" s="280">
        <v>530</v>
      </c>
      <c r="B454" s="426" t="s">
        <v>221</v>
      </c>
      <c r="C454" s="426">
        <v>550350</v>
      </c>
      <c r="D454" s="426" t="s">
        <v>980</v>
      </c>
    </row>
    <row r="455" spans="1:4" x14ac:dyDescent="0.35">
      <c r="A455" s="280">
        <v>530</v>
      </c>
      <c r="B455" s="426" t="s">
        <v>221</v>
      </c>
      <c r="C455" s="426">
        <v>550400</v>
      </c>
      <c r="D455" s="426" t="s">
        <v>981</v>
      </c>
    </row>
    <row r="456" spans="1:4" x14ac:dyDescent="0.35">
      <c r="A456" s="280">
        <v>530</v>
      </c>
      <c r="B456" s="426" t="s">
        <v>221</v>
      </c>
      <c r="C456" s="426">
        <v>550450</v>
      </c>
      <c r="D456" s="426" t="s">
        <v>982</v>
      </c>
    </row>
    <row r="457" spans="1:4" x14ac:dyDescent="0.35">
      <c r="A457" s="280">
        <v>530</v>
      </c>
      <c r="B457" s="426" t="s">
        <v>221</v>
      </c>
      <c r="C457" s="426">
        <v>550500</v>
      </c>
      <c r="D457" s="426" t="s">
        <v>983</v>
      </c>
    </row>
    <row r="458" spans="1:4" x14ac:dyDescent="0.35">
      <c r="A458" s="280">
        <v>530</v>
      </c>
      <c r="B458" s="426" t="s">
        <v>221</v>
      </c>
      <c r="C458" s="426">
        <v>550600</v>
      </c>
      <c r="D458" s="426" t="s">
        <v>984</v>
      </c>
    </row>
    <row r="459" spans="1:4" x14ac:dyDescent="0.35">
      <c r="A459" s="510">
        <v>530</v>
      </c>
      <c r="B459" s="426" t="s">
        <v>221</v>
      </c>
      <c r="C459" s="427">
        <v>595100</v>
      </c>
      <c r="D459" s="426" t="s">
        <v>1004</v>
      </c>
    </row>
    <row r="460" spans="1:4" x14ac:dyDescent="0.35">
      <c r="A460" s="510">
        <v>530</v>
      </c>
      <c r="B460" s="426" t="s">
        <v>221</v>
      </c>
      <c r="C460" s="427">
        <v>599100</v>
      </c>
      <c r="D460" s="426" t="s">
        <v>1180</v>
      </c>
    </row>
    <row r="461" spans="1:4" x14ac:dyDescent="0.35">
      <c r="A461" s="280">
        <v>540</v>
      </c>
      <c r="B461" s="426" t="s">
        <v>219</v>
      </c>
      <c r="C461" s="426">
        <v>555100</v>
      </c>
      <c r="D461" s="426" t="s">
        <v>985</v>
      </c>
    </row>
    <row r="462" spans="1:4" x14ac:dyDescent="0.35">
      <c r="A462" s="280">
        <v>540</v>
      </c>
      <c r="B462" s="426" t="s">
        <v>219</v>
      </c>
      <c r="C462" s="426">
        <v>555200</v>
      </c>
      <c r="D462" s="426" t="s">
        <v>986</v>
      </c>
    </row>
    <row r="463" spans="1:4" x14ac:dyDescent="0.35">
      <c r="A463" s="280">
        <v>540</v>
      </c>
      <c r="B463" s="426" t="s">
        <v>219</v>
      </c>
      <c r="C463" s="426">
        <v>555250</v>
      </c>
      <c r="D463" s="426" t="s">
        <v>987</v>
      </c>
    </row>
    <row r="464" spans="1:4" x14ac:dyDescent="0.35">
      <c r="A464" s="280">
        <v>540</v>
      </c>
      <c r="B464" s="426" t="s">
        <v>219</v>
      </c>
      <c r="C464" s="426">
        <v>555300</v>
      </c>
      <c r="D464" s="426" t="s">
        <v>988</v>
      </c>
    </row>
    <row r="465" spans="1:4" x14ac:dyDescent="0.35">
      <c r="A465" s="280">
        <v>540</v>
      </c>
      <c r="B465" s="426" t="s">
        <v>219</v>
      </c>
      <c r="C465" s="426">
        <v>555350</v>
      </c>
      <c r="D465" s="426" t="s">
        <v>989</v>
      </c>
    </row>
    <row r="466" spans="1:4" x14ac:dyDescent="0.35">
      <c r="A466" s="280">
        <v>540</v>
      </c>
      <c r="B466" s="426" t="s">
        <v>219</v>
      </c>
      <c r="C466" s="426">
        <v>555400</v>
      </c>
      <c r="D466" s="426" t="s">
        <v>990</v>
      </c>
    </row>
    <row r="467" spans="1:4" x14ac:dyDescent="0.35">
      <c r="A467" s="280">
        <v>560</v>
      </c>
      <c r="B467" s="426" t="s">
        <v>991</v>
      </c>
      <c r="C467" s="426">
        <v>560100</v>
      </c>
      <c r="D467" s="426" t="s">
        <v>992</v>
      </c>
    </row>
    <row r="468" spans="1:4" x14ac:dyDescent="0.35">
      <c r="A468" s="280">
        <v>560</v>
      </c>
      <c r="B468" s="426" t="s">
        <v>991</v>
      </c>
      <c r="C468" s="426">
        <v>590100</v>
      </c>
      <c r="D468" s="426" t="s">
        <v>993</v>
      </c>
    </row>
    <row r="469" spans="1:4" x14ac:dyDescent="0.35">
      <c r="A469" s="280">
        <v>570</v>
      </c>
      <c r="B469" s="426" t="s">
        <v>994</v>
      </c>
      <c r="C469" s="426">
        <v>560300</v>
      </c>
      <c r="D469" s="426" t="s">
        <v>995</v>
      </c>
    </row>
    <row r="470" spans="1:4" x14ac:dyDescent="0.35">
      <c r="A470" s="280">
        <v>570</v>
      </c>
      <c r="B470" s="426" t="s">
        <v>994</v>
      </c>
      <c r="C470" s="426">
        <v>580150</v>
      </c>
      <c r="D470" s="426" t="s">
        <v>996</v>
      </c>
    </row>
    <row r="471" spans="1:4" x14ac:dyDescent="0.35">
      <c r="A471" s="280">
        <v>570</v>
      </c>
      <c r="B471" s="426" t="s">
        <v>994</v>
      </c>
      <c r="C471" s="426">
        <v>580160</v>
      </c>
      <c r="D471" s="426" t="s">
        <v>997</v>
      </c>
    </row>
    <row r="472" spans="1:4" x14ac:dyDescent="0.35">
      <c r="A472" s="280">
        <v>570</v>
      </c>
      <c r="B472" s="426" t="s">
        <v>994</v>
      </c>
      <c r="C472" s="426">
        <v>580200</v>
      </c>
      <c r="D472" s="426" t="s">
        <v>998</v>
      </c>
    </row>
    <row r="473" spans="1:4" x14ac:dyDescent="0.35">
      <c r="A473" s="280">
        <v>570</v>
      </c>
      <c r="B473" s="426" t="s">
        <v>994</v>
      </c>
      <c r="C473" s="426">
        <v>580210</v>
      </c>
      <c r="D473" s="426" t="s">
        <v>999</v>
      </c>
    </row>
    <row r="474" spans="1:4" x14ac:dyDescent="0.35">
      <c r="A474" s="280">
        <v>570</v>
      </c>
      <c r="B474" s="426" t="s">
        <v>994</v>
      </c>
      <c r="C474" s="426">
        <v>580250</v>
      </c>
      <c r="D474" s="426" t="s">
        <v>1000</v>
      </c>
    </row>
    <row r="475" spans="1:4" x14ac:dyDescent="0.35">
      <c r="A475" s="280">
        <v>570</v>
      </c>
      <c r="B475" s="426" t="s">
        <v>994</v>
      </c>
      <c r="C475" s="426">
        <v>580260</v>
      </c>
      <c r="D475" s="426" t="s">
        <v>1001</v>
      </c>
    </row>
    <row r="476" spans="1:4" x14ac:dyDescent="0.35">
      <c r="A476" s="280">
        <v>571</v>
      </c>
      <c r="B476" s="426" t="s">
        <v>228</v>
      </c>
      <c r="C476" s="426">
        <v>560200</v>
      </c>
      <c r="D476" s="426" t="s">
        <v>1002</v>
      </c>
    </row>
    <row r="477" spans="1:4" x14ac:dyDescent="0.35">
      <c r="A477" s="280">
        <v>571</v>
      </c>
      <c r="B477" s="426" t="s">
        <v>228</v>
      </c>
      <c r="C477" s="426">
        <v>590300</v>
      </c>
      <c r="D477" s="426" t="s">
        <v>1003</v>
      </c>
    </row>
    <row r="478" spans="1:4" x14ac:dyDescent="0.35">
      <c r="A478" s="280">
        <v>572</v>
      </c>
      <c r="B478" s="426" t="s">
        <v>275</v>
      </c>
      <c r="C478" s="426">
        <v>110300</v>
      </c>
      <c r="D478" s="426" t="s">
        <v>1005</v>
      </c>
    </row>
    <row r="479" spans="1:4" x14ac:dyDescent="0.35">
      <c r="A479" s="280">
        <v>572</v>
      </c>
      <c r="B479" s="426" t="s">
        <v>275</v>
      </c>
      <c r="C479" s="426">
        <v>115300</v>
      </c>
      <c r="D479" s="426" t="s">
        <v>1006</v>
      </c>
    </row>
    <row r="480" spans="1:4" x14ac:dyDescent="0.35">
      <c r="A480" s="280">
        <v>572</v>
      </c>
      <c r="B480" s="426" t="s">
        <v>275</v>
      </c>
      <c r="C480" s="426">
        <v>120300</v>
      </c>
      <c r="D480" s="426" t="s">
        <v>1007</v>
      </c>
    </row>
    <row r="481" spans="1:4" x14ac:dyDescent="0.35">
      <c r="A481" s="280">
        <v>572</v>
      </c>
      <c r="B481" s="426" t="s">
        <v>275</v>
      </c>
      <c r="C481" s="426">
        <v>125300</v>
      </c>
      <c r="D481" s="426" t="s">
        <v>1008</v>
      </c>
    </row>
    <row r="482" spans="1:4" x14ac:dyDescent="0.35">
      <c r="A482" s="280">
        <v>572</v>
      </c>
      <c r="B482" s="426" t="s">
        <v>275</v>
      </c>
      <c r="C482" s="426">
        <v>130300</v>
      </c>
      <c r="D482" s="426" t="s">
        <v>1009</v>
      </c>
    </row>
    <row r="483" spans="1:4" x14ac:dyDescent="0.35">
      <c r="A483" s="280">
        <v>572</v>
      </c>
      <c r="B483" s="426" t="s">
        <v>275</v>
      </c>
      <c r="C483" s="426">
        <v>135300</v>
      </c>
      <c r="D483" s="426" t="s">
        <v>1010</v>
      </c>
    </row>
    <row r="484" spans="1:4" x14ac:dyDescent="0.35">
      <c r="A484" s="280">
        <v>572</v>
      </c>
      <c r="B484" s="426" t="s">
        <v>275</v>
      </c>
      <c r="C484" s="426">
        <v>140300</v>
      </c>
      <c r="D484" s="426" t="s">
        <v>1011</v>
      </c>
    </row>
    <row r="485" spans="1:4" x14ac:dyDescent="0.35">
      <c r="A485" s="280">
        <v>572</v>
      </c>
      <c r="B485" s="426" t="s">
        <v>275</v>
      </c>
      <c r="C485" s="426">
        <v>145300</v>
      </c>
      <c r="D485" s="426" t="s">
        <v>1012</v>
      </c>
    </row>
    <row r="486" spans="1:4" x14ac:dyDescent="0.35">
      <c r="A486" s="280">
        <v>572</v>
      </c>
      <c r="B486" s="426" t="s">
        <v>275</v>
      </c>
      <c r="C486" s="426">
        <v>150300</v>
      </c>
      <c r="D486" s="426" t="s">
        <v>1013</v>
      </c>
    </row>
    <row r="487" spans="1:4" x14ac:dyDescent="0.35">
      <c r="A487" s="280">
        <v>572</v>
      </c>
      <c r="B487" s="426" t="s">
        <v>275</v>
      </c>
      <c r="C487" s="426">
        <v>160300</v>
      </c>
      <c r="D487" s="426" t="s">
        <v>1014</v>
      </c>
    </row>
    <row r="488" spans="1:4" x14ac:dyDescent="0.35">
      <c r="A488" s="280">
        <v>572</v>
      </c>
      <c r="B488" s="426" t="s">
        <v>275</v>
      </c>
      <c r="C488" s="426">
        <v>170300</v>
      </c>
      <c r="D488" s="426" t="s">
        <v>1015</v>
      </c>
    </row>
    <row r="489" spans="1:4" x14ac:dyDescent="0.35">
      <c r="A489" s="280">
        <v>572</v>
      </c>
      <c r="B489" s="426" t="s">
        <v>275</v>
      </c>
      <c r="C489" s="426">
        <v>175300</v>
      </c>
      <c r="D489" s="426" t="s">
        <v>1016</v>
      </c>
    </row>
    <row r="490" spans="1:4" x14ac:dyDescent="0.35">
      <c r="A490" s="280">
        <v>573</v>
      </c>
      <c r="B490" s="426" t="s">
        <v>276</v>
      </c>
      <c r="C490" s="426">
        <v>110310</v>
      </c>
      <c r="D490" s="426" t="s">
        <v>1017</v>
      </c>
    </row>
    <row r="491" spans="1:4" x14ac:dyDescent="0.35">
      <c r="A491" s="280">
        <v>573</v>
      </c>
      <c r="B491" s="426" t="s">
        <v>276</v>
      </c>
      <c r="C491" s="426">
        <v>110320</v>
      </c>
      <c r="D491" s="426" t="s">
        <v>1018</v>
      </c>
    </row>
    <row r="492" spans="1:4" x14ac:dyDescent="0.35">
      <c r="A492" s="280">
        <v>573</v>
      </c>
      <c r="B492" s="426" t="s">
        <v>276</v>
      </c>
      <c r="C492" s="426">
        <v>110930</v>
      </c>
      <c r="D492" s="426" t="s">
        <v>1019</v>
      </c>
    </row>
    <row r="493" spans="1:4" x14ac:dyDescent="0.35">
      <c r="A493" s="280">
        <v>573</v>
      </c>
      <c r="B493" s="426" t="s">
        <v>276</v>
      </c>
      <c r="C493" s="426">
        <v>115310</v>
      </c>
      <c r="D493" s="426" t="s">
        <v>1020</v>
      </c>
    </row>
    <row r="494" spans="1:4" x14ac:dyDescent="0.35">
      <c r="A494" s="280">
        <v>573</v>
      </c>
      <c r="B494" s="426" t="s">
        <v>276</v>
      </c>
      <c r="C494" s="426">
        <v>115320</v>
      </c>
      <c r="D494" s="426" t="s">
        <v>1021</v>
      </c>
    </row>
    <row r="495" spans="1:4" x14ac:dyDescent="0.35">
      <c r="A495" s="280">
        <v>573</v>
      </c>
      <c r="B495" s="426" t="s">
        <v>276</v>
      </c>
      <c r="C495" s="426">
        <v>115720</v>
      </c>
      <c r="D495" s="426" t="s">
        <v>1022</v>
      </c>
    </row>
    <row r="496" spans="1:4" x14ac:dyDescent="0.35">
      <c r="A496" s="280">
        <v>573</v>
      </c>
      <c r="B496" s="426" t="s">
        <v>276</v>
      </c>
      <c r="C496" s="426">
        <v>115930</v>
      </c>
      <c r="D496" s="426" t="s">
        <v>1023</v>
      </c>
    </row>
    <row r="497" spans="1:8" x14ac:dyDescent="0.35">
      <c r="A497" s="280">
        <v>573</v>
      </c>
      <c r="B497" s="426" t="s">
        <v>276</v>
      </c>
      <c r="C497" s="426">
        <v>120310</v>
      </c>
      <c r="D497" s="426" t="s">
        <v>1024</v>
      </c>
    </row>
    <row r="498" spans="1:8" x14ac:dyDescent="0.35">
      <c r="A498" s="280">
        <v>573</v>
      </c>
      <c r="B498" s="426" t="s">
        <v>276</v>
      </c>
      <c r="C498" s="426">
        <v>120320</v>
      </c>
      <c r="D498" s="426" t="s">
        <v>1025</v>
      </c>
    </row>
    <row r="499" spans="1:8" x14ac:dyDescent="0.35">
      <c r="A499" s="280">
        <v>573</v>
      </c>
      <c r="B499" s="426" t="s">
        <v>276</v>
      </c>
      <c r="C499" s="426">
        <v>120930</v>
      </c>
      <c r="D499" s="426" t="s">
        <v>1026</v>
      </c>
    </row>
    <row r="500" spans="1:8" x14ac:dyDescent="0.35">
      <c r="A500" s="280">
        <v>573</v>
      </c>
      <c r="B500" s="426" t="s">
        <v>276</v>
      </c>
      <c r="C500" s="426">
        <v>125310</v>
      </c>
      <c r="D500" s="426" t="s">
        <v>1027</v>
      </c>
    </row>
    <row r="501" spans="1:8" x14ac:dyDescent="0.35">
      <c r="A501" s="280">
        <v>573</v>
      </c>
      <c r="B501" s="426" t="s">
        <v>276</v>
      </c>
      <c r="C501" s="426">
        <v>125320</v>
      </c>
      <c r="D501" s="426" t="s">
        <v>1028</v>
      </c>
    </row>
    <row r="502" spans="1:8" x14ac:dyDescent="0.35">
      <c r="A502" s="280">
        <v>573</v>
      </c>
      <c r="B502" s="426" t="s">
        <v>276</v>
      </c>
      <c r="C502" s="426">
        <v>125720</v>
      </c>
      <c r="D502" s="426" t="s">
        <v>1029</v>
      </c>
      <c r="H502" s="241"/>
    </row>
    <row r="503" spans="1:8" x14ac:dyDescent="0.35">
      <c r="A503" s="280">
        <v>573</v>
      </c>
      <c r="B503" s="426" t="s">
        <v>276</v>
      </c>
      <c r="C503" s="426">
        <v>125930</v>
      </c>
      <c r="D503" s="426" t="s">
        <v>1030</v>
      </c>
    </row>
    <row r="504" spans="1:8" x14ac:dyDescent="0.35">
      <c r="A504" s="280">
        <v>573</v>
      </c>
      <c r="B504" s="426" t="s">
        <v>276</v>
      </c>
      <c r="C504" s="426">
        <v>130310</v>
      </c>
      <c r="D504" s="426" t="s">
        <v>1031</v>
      </c>
    </row>
    <row r="505" spans="1:8" x14ac:dyDescent="0.35">
      <c r="A505" s="280">
        <v>573</v>
      </c>
      <c r="B505" s="426" t="s">
        <v>276</v>
      </c>
      <c r="C505" s="426">
        <v>130320</v>
      </c>
      <c r="D505" s="426" t="s">
        <v>1032</v>
      </c>
    </row>
    <row r="506" spans="1:8" x14ac:dyDescent="0.35">
      <c r="A506" s="280">
        <v>573</v>
      </c>
      <c r="B506" s="426" t="s">
        <v>276</v>
      </c>
      <c r="C506" s="426">
        <v>130720</v>
      </c>
      <c r="D506" s="426" t="s">
        <v>1033</v>
      </c>
      <c r="H506" s="241"/>
    </row>
    <row r="507" spans="1:8" x14ac:dyDescent="0.35">
      <c r="A507" s="280">
        <v>573</v>
      </c>
      <c r="B507" s="426" t="s">
        <v>276</v>
      </c>
      <c r="C507" s="426">
        <v>130930</v>
      </c>
      <c r="D507" s="426" t="s">
        <v>1034</v>
      </c>
    </row>
    <row r="508" spans="1:8" x14ac:dyDescent="0.35">
      <c r="A508" s="280">
        <v>573</v>
      </c>
      <c r="B508" s="426" t="s">
        <v>276</v>
      </c>
      <c r="C508" s="426">
        <v>135310</v>
      </c>
      <c r="D508" s="426" t="s">
        <v>1035</v>
      </c>
    </row>
    <row r="509" spans="1:8" x14ac:dyDescent="0.35">
      <c r="A509" s="280">
        <v>573</v>
      </c>
      <c r="B509" s="426" t="s">
        <v>276</v>
      </c>
      <c r="C509" s="426">
        <v>135320</v>
      </c>
      <c r="D509" s="426" t="s">
        <v>1036</v>
      </c>
      <c r="H509" s="241"/>
    </row>
    <row r="510" spans="1:8" x14ac:dyDescent="0.35">
      <c r="A510" s="280">
        <v>573</v>
      </c>
      <c r="B510" s="426" t="s">
        <v>276</v>
      </c>
      <c r="C510" s="426">
        <v>135720</v>
      </c>
      <c r="D510" s="426" t="s">
        <v>1037</v>
      </c>
    </row>
    <row r="511" spans="1:8" x14ac:dyDescent="0.35">
      <c r="A511" s="280">
        <v>573</v>
      </c>
      <c r="B511" s="426" t="s">
        <v>276</v>
      </c>
      <c r="C511" s="426">
        <v>135930</v>
      </c>
      <c r="D511" s="426" t="s">
        <v>1038</v>
      </c>
    </row>
    <row r="512" spans="1:8" x14ac:dyDescent="0.35">
      <c r="A512" s="280">
        <v>573</v>
      </c>
      <c r="B512" s="426" t="s">
        <v>276</v>
      </c>
      <c r="C512" s="426">
        <v>140310</v>
      </c>
      <c r="D512" s="426" t="s">
        <v>1039</v>
      </c>
      <c r="H512" s="241"/>
    </row>
    <row r="513" spans="1:8" x14ac:dyDescent="0.35">
      <c r="A513" s="280">
        <v>573</v>
      </c>
      <c r="B513" s="426" t="s">
        <v>276</v>
      </c>
      <c r="C513" s="426">
        <v>140320</v>
      </c>
      <c r="D513" s="426" t="s">
        <v>1040</v>
      </c>
    </row>
    <row r="514" spans="1:8" x14ac:dyDescent="0.35">
      <c r="A514" s="280">
        <v>573</v>
      </c>
      <c r="B514" s="426" t="s">
        <v>276</v>
      </c>
      <c r="C514" s="426">
        <v>140720</v>
      </c>
      <c r="D514" s="426" t="s">
        <v>1041</v>
      </c>
    </row>
    <row r="515" spans="1:8" x14ac:dyDescent="0.35">
      <c r="A515" s="280">
        <v>573</v>
      </c>
      <c r="B515" s="426" t="s">
        <v>276</v>
      </c>
      <c r="C515" s="426">
        <v>140930</v>
      </c>
      <c r="D515" s="426" t="s">
        <v>1042</v>
      </c>
    </row>
    <row r="516" spans="1:8" x14ac:dyDescent="0.35">
      <c r="A516" s="280">
        <v>573</v>
      </c>
      <c r="B516" s="426" t="s">
        <v>276</v>
      </c>
      <c r="C516" s="426">
        <v>145310</v>
      </c>
      <c r="D516" s="426" t="s">
        <v>1043</v>
      </c>
    </row>
    <row r="517" spans="1:8" x14ac:dyDescent="0.35">
      <c r="A517" s="280">
        <v>573</v>
      </c>
      <c r="B517" s="426" t="s">
        <v>276</v>
      </c>
      <c r="C517" s="426">
        <v>145320</v>
      </c>
      <c r="D517" s="426" t="s">
        <v>1044</v>
      </c>
      <c r="H517" s="241"/>
    </row>
    <row r="518" spans="1:8" x14ac:dyDescent="0.35">
      <c r="A518" s="280">
        <v>573</v>
      </c>
      <c r="B518" s="426" t="s">
        <v>276</v>
      </c>
      <c r="C518" s="426">
        <v>145720</v>
      </c>
      <c r="D518" s="426" t="s">
        <v>1045</v>
      </c>
    </row>
    <row r="519" spans="1:8" x14ac:dyDescent="0.35">
      <c r="A519" s="280">
        <v>573</v>
      </c>
      <c r="B519" s="426" t="s">
        <v>276</v>
      </c>
      <c r="C519" s="426">
        <v>145930</v>
      </c>
      <c r="D519" s="426" t="s">
        <v>1046</v>
      </c>
    </row>
    <row r="520" spans="1:8" x14ac:dyDescent="0.35">
      <c r="A520" s="280">
        <v>573</v>
      </c>
      <c r="B520" s="426" t="s">
        <v>276</v>
      </c>
      <c r="C520" s="426">
        <v>150310</v>
      </c>
      <c r="D520" s="426" t="s">
        <v>1047</v>
      </c>
    </row>
    <row r="521" spans="1:8" x14ac:dyDescent="0.35">
      <c r="A521" s="280">
        <v>573</v>
      </c>
      <c r="B521" s="426" t="s">
        <v>276</v>
      </c>
      <c r="C521" s="426">
        <v>150320</v>
      </c>
      <c r="D521" s="426" t="s">
        <v>1048</v>
      </c>
    </row>
    <row r="522" spans="1:8" x14ac:dyDescent="0.35">
      <c r="A522" s="280">
        <v>573</v>
      </c>
      <c r="B522" s="426" t="s">
        <v>276</v>
      </c>
      <c r="C522" s="426">
        <v>150720</v>
      </c>
      <c r="D522" s="426" t="s">
        <v>1049</v>
      </c>
    </row>
    <row r="523" spans="1:8" x14ac:dyDescent="0.35">
      <c r="A523" s="280">
        <v>573</v>
      </c>
      <c r="B523" s="426" t="s">
        <v>276</v>
      </c>
      <c r="C523" s="426">
        <v>150930</v>
      </c>
      <c r="D523" s="426" t="s">
        <v>1050</v>
      </c>
    </row>
    <row r="524" spans="1:8" x14ac:dyDescent="0.35">
      <c r="A524" s="280">
        <v>573</v>
      </c>
      <c r="B524" s="426" t="s">
        <v>276</v>
      </c>
      <c r="C524" s="426">
        <v>160310</v>
      </c>
      <c r="D524" s="426" t="s">
        <v>1051</v>
      </c>
    </row>
    <row r="525" spans="1:8" x14ac:dyDescent="0.35">
      <c r="A525" s="280">
        <v>573</v>
      </c>
      <c r="B525" s="426" t="s">
        <v>276</v>
      </c>
      <c r="C525" s="426">
        <v>160320</v>
      </c>
      <c r="D525" s="426" t="s">
        <v>1052</v>
      </c>
    </row>
    <row r="526" spans="1:8" x14ac:dyDescent="0.35">
      <c r="A526" s="280">
        <v>573</v>
      </c>
      <c r="B526" s="426" t="s">
        <v>276</v>
      </c>
      <c r="C526" s="426">
        <v>160930</v>
      </c>
      <c r="D526" s="426" t="s">
        <v>1053</v>
      </c>
      <c r="H526" s="241"/>
    </row>
    <row r="527" spans="1:8" x14ac:dyDescent="0.35">
      <c r="A527" s="280">
        <v>573</v>
      </c>
      <c r="B527" s="426" t="s">
        <v>276</v>
      </c>
      <c r="C527" s="426">
        <v>170310</v>
      </c>
      <c r="D527" s="426" t="s">
        <v>1054</v>
      </c>
    </row>
    <row r="528" spans="1:8" x14ac:dyDescent="0.35">
      <c r="A528" s="280">
        <v>573</v>
      </c>
      <c r="B528" s="426" t="s">
        <v>276</v>
      </c>
      <c r="C528" s="426">
        <v>170320</v>
      </c>
      <c r="D528" s="426" t="s">
        <v>1055</v>
      </c>
    </row>
    <row r="529" spans="1:8" x14ac:dyDescent="0.35">
      <c r="A529" s="280">
        <v>573</v>
      </c>
      <c r="B529" s="426" t="s">
        <v>276</v>
      </c>
      <c r="C529" s="426">
        <v>170820</v>
      </c>
      <c r="D529" s="426" t="s">
        <v>1056</v>
      </c>
    </row>
    <row r="530" spans="1:8" x14ac:dyDescent="0.35">
      <c r="A530" s="280">
        <v>573</v>
      </c>
      <c r="B530" s="426" t="s">
        <v>276</v>
      </c>
      <c r="C530" s="426">
        <v>170930</v>
      </c>
      <c r="D530" s="426" t="s">
        <v>1057</v>
      </c>
    </row>
    <row r="531" spans="1:8" x14ac:dyDescent="0.35">
      <c r="A531" s="280">
        <v>573</v>
      </c>
      <c r="B531" s="426" t="s">
        <v>276</v>
      </c>
      <c r="C531" s="426">
        <v>175310</v>
      </c>
      <c r="D531" s="426" t="s">
        <v>1058</v>
      </c>
    </row>
    <row r="532" spans="1:8" x14ac:dyDescent="0.35">
      <c r="A532" s="280">
        <v>573</v>
      </c>
      <c r="B532" s="426" t="s">
        <v>276</v>
      </c>
      <c r="C532" s="426">
        <v>175320</v>
      </c>
      <c r="D532" s="426" t="s">
        <v>1059</v>
      </c>
    </row>
    <row r="533" spans="1:8" x14ac:dyDescent="0.35">
      <c r="A533" s="280">
        <v>573</v>
      </c>
      <c r="B533" s="426" t="s">
        <v>276</v>
      </c>
      <c r="C533" s="426">
        <v>175820</v>
      </c>
      <c r="D533" s="426" t="s">
        <v>1060</v>
      </c>
    </row>
    <row r="534" spans="1:8" x14ac:dyDescent="0.35">
      <c r="A534" s="280">
        <v>573</v>
      </c>
      <c r="B534" s="426" t="s">
        <v>276</v>
      </c>
      <c r="C534" s="426">
        <v>175930</v>
      </c>
      <c r="D534" s="426" t="s">
        <v>1061</v>
      </c>
      <c r="H534" s="241"/>
    </row>
    <row r="535" spans="1:8" x14ac:dyDescent="0.35">
      <c r="A535" s="280">
        <v>575</v>
      </c>
      <c r="B535" s="426" t="s">
        <v>231</v>
      </c>
      <c r="C535" s="426">
        <v>580120</v>
      </c>
      <c r="D535" s="426" t="s">
        <v>1062</v>
      </c>
    </row>
    <row r="536" spans="1:8" x14ac:dyDescent="0.35">
      <c r="A536" s="280">
        <v>581</v>
      </c>
      <c r="B536" s="426" t="s">
        <v>235</v>
      </c>
      <c r="C536" s="426">
        <v>110500</v>
      </c>
      <c r="D536" s="426" t="s">
        <v>1063</v>
      </c>
    </row>
    <row r="537" spans="1:8" x14ac:dyDescent="0.35">
      <c r="A537" s="280">
        <v>581</v>
      </c>
      <c r="B537" s="426" t="s">
        <v>235</v>
      </c>
      <c r="C537" s="426">
        <v>110920</v>
      </c>
      <c r="D537" s="426" t="s">
        <v>1064</v>
      </c>
    </row>
    <row r="538" spans="1:8" x14ac:dyDescent="0.35">
      <c r="A538" s="280">
        <v>581</v>
      </c>
      <c r="B538" s="426" t="s">
        <v>235</v>
      </c>
      <c r="C538" s="426">
        <v>115500</v>
      </c>
      <c r="D538" s="426" t="s">
        <v>1065</v>
      </c>
      <c r="H538" s="241"/>
    </row>
    <row r="539" spans="1:8" x14ac:dyDescent="0.35">
      <c r="A539" s="280">
        <v>581</v>
      </c>
      <c r="B539" s="426" t="s">
        <v>235</v>
      </c>
      <c r="C539" s="426">
        <v>115740</v>
      </c>
      <c r="D539" s="426" t="s">
        <v>1066</v>
      </c>
    </row>
    <row r="540" spans="1:8" x14ac:dyDescent="0.35">
      <c r="A540" s="280">
        <v>581</v>
      </c>
      <c r="B540" s="426" t="s">
        <v>235</v>
      </c>
      <c r="C540" s="426">
        <v>115920</v>
      </c>
      <c r="D540" s="426" t="s">
        <v>1067</v>
      </c>
    </row>
    <row r="541" spans="1:8" x14ac:dyDescent="0.35">
      <c r="A541" s="280">
        <v>581</v>
      </c>
      <c r="B541" s="426" t="s">
        <v>235</v>
      </c>
      <c r="C541" s="426">
        <v>120500</v>
      </c>
      <c r="D541" s="426" t="s">
        <v>1068</v>
      </c>
    </row>
    <row r="542" spans="1:8" x14ac:dyDescent="0.35">
      <c r="A542" s="280">
        <v>581</v>
      </c>
      <c r="B542" s="426" t="s">
        <v>235</v>
      </c>
      <c r="C542" s="426">
        <v>120920</v>
      </c>
      <c r="D542" s="426" t="s">
        <v>1069</v>
      </c>
    </row>
    <row r="543" spans="1:8" x14ac:dyDescent="0.35">
      <c r="A543" s="280">
        <v>581</v>
      </c>
      <c r="B543" s="426" t="s">
        <v>235</v>
      </c>
      <c r="C543" s="426">
        <v>125500</v>
      </c>
      <c r="D543" s="426" t="s">
        <v>1070</v>
      </c>
    </row>
    <row r="544" spans="1:8" x14ac:dyDescent="0.35">
      <c r="A544" s="280">
        <v>581</v>
      </c>
      <c r="B544" s="426" t="s">
        <v>235</v>
      </c>
      <c r="C544" s="426">
        <v>125740</v>
      </c>
      <c r="D544" s="426" t="s">
        <v>1071</v>
      </c>
      <c r="H544" s="241"/>
    </row>
    <row r="545" spans="1:8" x14ac:dyDescent="0.35">
      <c r="A545" s="280">
        <v>581</v>
      </c>
      <c r="B545" s="426" t="s">
        <v>235</v>
      </c>
      <c r="C545" s="426">
        <v>125920</v>
      </c>
      <c r="D545" s="426" t="s">
        <v>1072</v>
      </c>
    </row>
    <row r="546" spans="1:8" x14ac:dyDescent="0.35">
      <c r="A546" s="280">
        <v>582</v>
      </c>
      <c r="B546" s="426" t="s">
        <v>1073</v>
      </c>
      <c r="C546" s="426">
        <v>130500</v>
      </c>
      <c r="D546" s="426" t="s">
        <v>1074</v>
      </c>
    </row>
    <row r="547" spans="1:8" x14ac:dyDescent="0.35">
      <c r="A547" s="280">
        <v>582</v>
      </c>
      <c r="B547" s="426" t="s">
        <v>1073</v>
      </c>
      <c r="C547" s="426">
        <v>130740</v>
      </c>
      <c r="D547" s="426" t="s">
        <v>1075</v>
      </c>
    </row>
    <row r="548" spans="1:8" x14ac:dyDescent="0.35">
      <c r="A548" s="280">
        <v>582</v>
      </c>
      <c r="B548" s="426" t="s">
        <v>1073</v>
      </c>
      <c r="C548" s="426">
        <v>130920</v>
      </c>
      <c r="D548" s="426" t="s">
        <v>1076</v>
      </c>
    </row>
    <row r="549" spans="1:8" x14ac:dyDescent="0.35">
      <c r="A549" s="280">
        <v>582</v>
      </c>
      <c r="B549" s="426" t="s">
        <v>1073</v>
      </c>
      <c r="C549" s="426">
        <v>135500</v>
      </c>
      <c r="D549" s="426" t="s">
        <v>1077</v>
      </c>
      <c r="H549" s="241"/>
    </row>
    <row r="550" spans="1:8" x14ac:dyDescent="0.35">
      <c r="A550" s="280">
        <v>582</v>
      </c>
      <c r="B550" s="426" t="s">
        <v>1073</v>
      </c>
      <c r="C550" s="426">
        <v>135740</v>
      </c>
      <c r="D550" s="426" t="s">
        <v>1078</v>
      </c>
    </row>
    <row r="551" spans="1:8" x14ac:dyDescent="0.35">
      <c r="A551" s="280">
        <v>582</v>
      </c>
      <c r="B551" s="426" t="s">
        <v>1073</v>
      </c>
      <c r="C551" s="426">
        <v>135920</v>
      </c>
      <c r="D551" s="426" t="s">
        <v>1079</v>
      </c>
    </row>
    <row r="552" spans="1:8" x14ac:dyDescent="0.35">
      <c r="A552" s="280">
        <v>582</v>
      </c>
      <c r="B552" s="426" t="s">
        <v>1073</v>
      </c>
      <c r="C552" s="426">
        <v>140500</v>
      </c>
      <c r="D552" s="426" t="s">
        <v>1080</v>
      </c>
      <c r="H552" s="241"/>
    </row>
    <row r="553" spans="1:8" x14ac:dyDescent="0.35">
      <c r="A553" s="280">
        <v>582</v>
      </c>
      <c r="B553" s="426" t="s">
        <v>1073</v>
      </c>
      <c r="C553" s="426">
        <v>140740</v>
      </c>
      <c r="D553" s="426" t="s">
        <v>1081</v>
      </c>
    </row>
    <row r="554" spans="1:8" x14ac:dyDescent="0.35">
      <c r="A554" s="280">
        <v>582</v>
      </c>
      <c r="B554" s="426" t="s">
        <v>1073</v>
      </c>
      <c r="C554" s="426">
        <v>140920</v>
      </c>
      <c r="D554" s="426" t="s">
        <v>1082</v>
      </c>
    </row>
    <row r="555" spans="1:8" x14ac:dyDescent="0.35">
      <c r="A555" s="280">
        <v>582</v>
      </c>
      <c r="B555" s="426" t="s">
        <v>1073</v>
      </c>
      <c r="C555" s="426">
        <v>145500</v>
      </c>
      <c r="D555" s="426" t="s">
        <v>1083</v>
      </c>
    </row>
    <row r="556" spans="1:8" x14ac:dyDescent="0.35">
      <c r="A556" s="280">
        <v>582</v>
      </c>
      <c r="B556" s="426" t="s">
        <v>1073</v>
      </c>
      <c r="C556" s="426">
        <v>145740</v>
      </c>
      <c r="D556" s="426" t="s">
        <v>1084</v>
      </c>
    </row>
    <row r="557" spans="1:8" x14ac:dyDescent="0.35">
      <c r="A557" s="280">
        <v>582</v>
      </c>
      <c r="B557" s="426" t="s">
        <v>1073</v>
      </c>
      <c r="C557" s="426">
        <v>145920</v>
      </c>
      <c r="D557" s="426" t="s">
        <v>1085</v>
      </c>
    </row>
    <row r="558" spans="1:8" x14ac:dyDescent="0.35">
      <c r="A558" s="280">
        <v>582</v>
      </c>
      <c r="B558" s="426" t="s">
        <v>1073</v>
      </c>
      <c r="C558" s="426">
        <v>150500</v>
      </c>
      <c r="D558" s="426" t="s">
        <v>1086</v>
      </c>
    </row>
    <row r="559" spans="1:8" x14ac:dyDescent="0.35">
      <c r="A559" s="280">
        <v>582</v>
      </c>
      <c r="B559" s="426" t="s">
        <v>1073</v>
      </c>
      <c r="C559" s="426">
        <v>150740</v>
      </c>
      <c r="D559" s="426" t="s">
        <v>1087</v>
      </c>
    </row>
    <row r="560" spans="1:8" x14ac:dyDescent="0.35">
      <c r="A560" s="280">
        <v>582</v>
      </c>
      <c r="B560" s="426" t="s">
        <v>1073</v>
      </c>
      <c r="C560" s="426">
        <v>150920</v>
      </c>
      <c r="D560" s="426" t="s">
        <v>1088</v>
      </c>
    </row>
    <row r="561" spans="1:8" x14ac:dyDescent="0.35">
      <c r="A561" s="280">
        <v>582</v>
      </c>
      <c r="B561" s="426" t="s">
        <v>1073</v>
      </c>
      <c r="C561" s="426">
        <v>160500</v>
      </c>
      <c r="D561" s="426" t="s">
        <v>1089</v>
      </c>
    </row>
    <row r="562" spans="1:8" x14ac:dyDescent="0.35">
      <c r="A562" s="280">
        <v>582</v>
      </c>
      <c r="B562" s="426" t="s">
        <v>1073</v>
      </c>
      <c r="C562" s="426">
        <v>160920</v>
      </c>
      <c r="D562" s="426" t="s">
        <v>1090</v>
      </c>
    </row>
    <row r="563" spans="1:8" x14ac:dyDescent="0.35">
      <c r="A563" s="280">
        <v>582</v>
      </c>
      <c r="B563" s="426" t="s">
        <v>1073</v>
      </c>
      <c r="C563" s="426">
        <v>170500</v>
      </c>
      <c r="D563" s="426" t="s">
        <v>1091</v>
      </c>
    </row>
    <row r="564" spans="1:8" x14ac:dyDescent="0.35">
      <c r="A564" s="280">
        <v>582</v>
      </c>
      <c r="B564" s="426" t="s">
        <v>1073</v>
      </c>
      <c r="C564" s="426">
        <v>170840</v>
      </c>
      <c r="D564" s="426" t="s">
        <v>1092</v>
      </c>
      <c r="H564" s="241"/>
    </row>
    <row r="565" spans="1:8" x14ac:dyDescent="0.35">
      <c r="A565" s="280">
        <v>582</v>
      </c>
      <c r="B565" s="426" t="s">
        <v>1073</v>
      </c>
      <c r="C565" s="426">
        <v>170920</v>
      </c>
      <c r="D565" s="426" t="s">
        <v>1093</v>
      </c>
    </row>
    <row r="566" spans="1:8" x14ac:dyDescent="0.35">
      <c r="A566" s="280">
        <v>582</v>
      </c>
      <c r="B566" s="426" t="s">
        <v>1073</v>
      </c>
      <c r="C566" s="426">
        <v>175500</v>
      </c>
      <c r="D566" s="426" t="s">
        <v>1094</v>
      </c>
    </row>
    <row r="567" spans="1:8" x14ac:dyDescent="0.35">
      <c r="A567" s="280">
        <v>582</v>
      </c>
      <c r="B567" s="426" t="s">
        <v>1073</v>
      </c>
      <c r="C567" s="426">
        <v>175840</v>
      </c>
      <c r="D567" s="426" t="s">
        <v>1095</v>
      </c>
    </row>
    <row r="568" spans="1:8" x14ac:dyDescent="0.35">
      <c r="A568" s="280">
        <v>582</v>
      </c>
      <c r="B568" s="426" t="s">
        <v>1073</v>
      </c>
      <c r="C568" s="426">
        <v>175920</v>
      </c>
      <c r="D568" s="426" t="s">
        <v>1096</v>
      </c>
    </row>
    <row r="569" spans="1:8" x14ac:dyDescent="0.35">
      <c r="A569" s="280">
        <v>601</v>
      </c>
      <c r="B569" s="426" t="s">
        <v>245</v>
      </c>
      <c r="C569" s="426">
        <v>110210</v>
      </c>
      <c r="D569" s="426" t="s">
        <v>1097</v>
      </c>
    </row>
    <row r="570" spans="1:8" x14ac:dyDescent="0.35">
      <c r="A570" s="280">
        <v>601</v>
      </c>
      <c r="B570" s="426" t="s">
        <v>245</v>
      </c>
      <c r="C570" s="426">
        <v>115210</v>
      </c>
      <c r="D570" s="426" t="s">
        <v>1098</v>
      </c>
    </row>
    <row r="571" spans="1:8" x14ac:dyDescent="0.35">
      <c r="A571" s="280">
        <v>601</v>
      </c>
      <c r="B571" s="426" t="s">
        <v>245</v>
      </c>
      <c r="C571" s="426">
        <v>120210</v>
      </c>
      <c r="D571" s="426" t="s">
        <v>1099</v>
      </c>
    </row>
    <row r="572" spans="1:8" x14ac:dyDescent="0.35">
      <c r="A572" s="280">
        <v>601</v>
      </c>
      <c r="B572" s="426" t="s">
        <v>245</v>
      </c>
      <c r="C572" s="426">
        <v>125210</v>
      </c>
      <c r="D572" s="426" t="s">
        <v>1100</v>
      </c>
    </row>
    <row r="573" spans="1:8" x14ac:dyDescent="0.35">
      <c r="A573" s="280">
        <v>601</v>
      </c>
      <c r="B573" s="426" t="s">
        <v>245</v>
      </c>
      <c r="C573" s="426">
        <v>130210</v>
      </c>
      <c r="D573" s="426" t="s">
        <v>1101</v>
      </c>
    </row>
    <row r="574" spans="1:8" x14ac:dyDescent="0.35">
      <c r="A574" s="280">
        <v>605</v>
      </c>
      <c r="B574" s="426" t="s">
        <v>1695</v>
      </c>
      <c r="C574" s="426">
        <v>110200</v>
      </c>
      <c r="D574" s="426" t="s">
        <v>1102</v>
      </c>
    </row>
    <row r="575" spans="1:8" x14ac:dyDescent="0.35">
      <c r="A575" s="280">
        <v>605</v>
      </c>
      <c r="B575" s="426" t="s">
        <v>1695</v>
      </c>
      <c r="C575" s="426">
        <v>115200</v>
      </c>
      <c r="D575" s="426" t="s">
        <v>1103</v>
      </c>
    </row>
    <row r="576" spans="1:8" x14ac:dyDescent="0.35">
      <c r="A576" s="280">
        <v>605</v>
      </c>
      <c r="B576" s="426" t="s">
        <v>1695</v>
      </c>
      <c r="C576" s="426">
        <v>120200</v>
      </c>
      <c r="D576" s="426" t="s">
        <v>1104</v>
      </c>
    </row>
    <row r="577" spans="1:8" x14ac:dyDescent="0.35">
      <c r="A577" s="280">
        <v>605</v>
      </c>
      <c r="B577" s="426" t="s">
        <v>1695</v>
      </c>
      <c r="C577" s="426">
        <v>125200</v>
      </c>
      <c r="D577" s="426" t="s">
        <v>1105</v>
      </c>
    </row>
    <row r="578" spans="1:8" x14ac:dyDescent="0.35">
      <c r="A578" s="280">
        <v>605</v>
      </c>
      <c r="B578" s="426" t="s">
        <v>1695</v>
      </c>
      <c r="C578" s="426">
        <v>130200</v>
      </c>
      <c r="D578" s="426" t="s">
        <v>1106</v>
      </c>
    </row>
    <row r="579" spans="1:8" x14ac:dyDescent="0.35">
      <c r="A579" s="280">
        <v>605</v>
      </c>
      <c r="B579" s="426" t="s">
        <v>1695</v>
      </c>
      <c r="C579" s="426">
        <v>160200</v>
      </c>
      <c r="D579" s="426" t="s">
        <v>1107</v>
      </c>
    </row>
    <row r="580" spans="1:8" x14ac:dyDescent="0.35">
      <c r="A580" s="280">
        <v>606</v>
      </c>
      <c r="B580" s="426" t="s">
        <v>267</v>
      </c>
      <c r="C580" s="426">
        <v>110410</v>
      </c>
      <c r="D580" s="426" t="s">
        <v>1108</v>
      </c>
    </row>
    <row r="581" spans="1:8" x14ac:dyDescent="0.35">
      <c r="A581" s="280">
        <v>606</v>
      </c>
      <c r="B581" s="426" t="s">
        <v>267</v>
      </c>
      <c r="C581" s="426">
        <v>115410</v>
      </c>
      <c r="D581" s="426" t="s">
        <v>1109</v>
      </c>
    </row>
    <row r="582" spans="1:8" x14ac:dyDescent="0.35">
      <c r="A582" s="280">
        <v>606</v>
      </c>
      <c r="B582" s="426" t="s">
        <v>267</v>
      </c>
      <c r="C582" s="426">
        <v>120410</v>
      </c>
      <c r="D582" s="426" t="s">
        <v>1110</v>
      </c>
    </row>
    <row r="583" spans="1:8" x14ac:dyDescent="0.35">
      <c r="A583" s="280">
        <v>606</v>
      </c>
      <c r="B583" s="426" t="s">
        <v>267</v>
      </c>
      <c r="C583" s="426">
        <v>125410</v>
      </c>
      <c r="D583" s="426" t="s">
        <v>1111</v>
      </c>
    </row>
    <row r="584" spans="1:8" x14ac:dyDescent="0.35">
      <c r="A584" s="280">
        <v>606</v>
      </c>
      <c r="B584" s="426" t="s">
        <v>267</v>
      </c>
      <c r="C584" s="426">
        <v>130410</v>
      </c>
      <c r="D584" s="426" t="s">
        <v>1112</v>
      </c>
    </row>
    <row r="585" spans="1:8" x14ac:dyDescent="0.35">
      <c r="A585" s="280">
        <v>606</v>
      </c>
      <c r="B585" s="426" t="s">
        <v>267</v>
      </c>
      <c r="C585" s="426">
        <v>135410</v>
      </c>
      <c r="D585" s="426" t="s">
        <v>1113</v>
      </c>
    </row>
    <row r="586" spans="1:8" x14ac:dyDescent="0.35">
      <c r="A586" s="280">
        <v>606</v>
      </c>
      <c r="B586" s="426" t="s">
        <v>267</v>
      </c>
      <c r="C586" s="426">
        <v>140410</v>
      </c>
      <c r="D586" s="426" t="s">
        <v>1114</v>
      </c>
    </row>
    <row r="587" spans="1:8" x14ac:dyDescent="0.35">
      <c r="A587" s="280">
        <v>606</v>
      </c>
      <c r="B587" s="426" t="s">
        <v>267</v>
      </c>
      <c r="C587" s="426">
        <v>145410</v>
      </c>
      <c r="D587" s="426" t="s">
        <v>1115</v>
      </c>
    </row>
    <row r="588" spans="1:8" x14ac:dyDescent="0.35">
      <c r="A588" s="280">
        <v>606</v>
      </c>
      <c r="B588" s="426" t="s">
        <v>267</v>
      </c>
      <c r="C588" s="426">
        <v>150410</v>
      </c>
      <c r="D588" s="426" t="s">
        <v>1116</v>
      </c>
    </row>
    <row r="589" spans="1:8" x14ac:dyDescent="0.35">
      <c r="A589" s="280">
        <v>606</v>
      </c>
      <c r="B589" s="426" t="s">
        <v>267</v>
      </c>
      <c r="C589" s="426">
        <v>160410</v>
      </c>
      <c r="D589" s="426" t="s">
        <v>1117</v>
      </c>
      <c r="H589" s="241"/>
    </row>
    <row r="590" spans="1:8" x14ac:dyDescent="0.35">
      <c r="A590" s="280">
        <v>615</v>
      </c>
      <c r="B590" s="426" t="s">
        <v>249</v>
      </c>
      <c r="C590" s="426">
        <v>110220</v>
      </c>
      <c r="D590" s="426" t="s">
        <v>1118</v>
      </c>
    </row>
    <row r="591" spans="1:8" x14ac:dyDescent="0.35">
      <c r="A591" s="280">
        <v>615</v>
      </c>
      <c r="B591" s="426" t="s">
        <v>249</v>
      </c>
      <c r="C591" s="426">
        <v>115220</v>
      </c>
      <c r="D591" s="426" t="s">
        <v>1119</v>
      </c>
    </row>
    <row r="592" spans="1:8" x14ac:dyDescent="0.35">
      <c r="A592" s="280">
        <v>615</v>
      </c>
      <c r="B592" s="426" t="s">
        <v>249</v>
      </c>
      <c r="C592" s="426">
        <v>120220</v>
      </c>
      <c r="D592" s="426" t="s">
        <v>1120</v>
      </c>
    </row>
    <row r="593" spans="1:8" x14ac:dyDescent="0.35">
      <c r="A593" s="280">
        <v>615</v>
      </c>
      <c r="B593" s="426" t="s">
        <v>249</v>
      </c>
      <c r="C593" s="426">
        <v>125220</v>
      </c>
      <c r="D593" s="426" t="s">
        <v>1121</v>
      </c>
    </row>
    <row r="594" spans="1:8" x14ac:dyDescent="0.35">
      <c r="A594" s="280">
        <v>615</v>
      </c>
      <c r="B594" s="426" t="s">
        <v>249</v>
      </c>
      <c r="C594" s="426">
        <v>130220</v>
      </c>
      <c r="D594" s="426" t="s">
        <v>1122</v>
      </c>
    </row>
    <row r="595" spans="1:8" x14ac:dyDescent="0.35">
      <c r="A595" s="280">
        <v>620</v>
      </c>
      <c r="B595" s="426" t="s">
        <v>250</v>
      </c>
      <c r="C595" s="426">
        <v>110230</v>
      </c>
      <c r="D595" s="426" t="s">
        <v>1123</v>
      </c>
    </row>
    <row r="596" spans="1:8" x14ac:dyDescent="0.35">
      <c r="A596" s="280">
        <v>620</v>
      </c>
      <c r="B596" s="426" t="s">
        <v>250</v>
      </c>
      <c r="C596" s="426">
        <v>115230</v>
      </c>
      <c r="D596" s="426" t="s">
        <v>1124</v>
      </c>
      <c r="H596" s="241"/>
    </row>
    <row r="597" spans="1:8" x14ac:dyDescent="0.35">
      <c r="A597" s="280">
        <v>620</v>
      </c>
      <c r="B597" s="426" t="s">
        <v>250</v>
      </c>
      <c r="C597" s="426">
        <v>120230</v>
      </c>
      <c r="D597" s="426" t="s">
        <v>1125</v>
      </c>
    </row>
    <row r="598" spans="1:8" x14ac:dyDescent="0.35">
      <c r="A598" s="280">
        <v>620</v>
      </c>
      <c r="B598" s="426" t="s">
        <v>250</v>
      </c>
      <c r="C598" s="426">
        <v>125230</v>
      </c>
      <c r="D598" s="426" t="s">
        <v>1126</v>
      </c>
    </row>
    <row r="599" spans="1:8" x14ac:dyDescent="0.35">
      <c r="A599" s="280">
        <v>620</v>
      </c>
      <c r="B599" s="426" t="s">
        <v>250</v>
      </c>
      <c r="C599" s="426">
        <v>130230</v>
      </c>
      <c r="D599" s="426" t="s">
        <v>1127</v>
      </c>
    </row>
    <row r="600" spans="1:8" x14ac:dyDescent="0.35">
      <c r="A600" s="280">
        <v>636</v>
      </c>
      <c r="B600" s="426" t="s">
        <v>261</v>
      </c>
      <c r="C600" s="426">
        <v>135200</v>
      </c>
      <c r="D600" s="426" t="s">
        <v>1128</v>
      </c>
    </row>
    <row r="601" spans="1:8" x14ac:dyDescent="0.35">
      <c r="A601" s="280">
        <v>636</v>
      </c>
      <c r="B601" s="426" t="s">
        <v>261</v>
      </c>
      <c r="C601" s="426">
        <v>135210</v>
      </c>
      <c r="D601" s="426" t="s">
        <v>1129</v>
      </c>
    </row>
    <row r="602" spans="1:8" x14ac:dyDescent="0.35">
      <c r="A602" s="280">
        <v>636</v>
      </c>
      <c r="B602" s="426" t="s">
        <v>261</v>
      </c>
      <c r="C602" s="426">
        <v>140200</v>
      </c>
      <c r="D602" s="426" t="s">
        <v>1130</v>
      </c>
    </row>
    <row r="603" spans="1:8" x14ac:dyDescent="0.35">
      <c r="A603" s="280">
        <v>636</v>
      </c>
      <c r="B603" s="426" t="s">
        <v>261</v>
      </c>
      <c r="C603" s="426">
        <v>140210</v>
      </c>
      <c r="D603" s="426" t="s">
        <v>1131</v>
      </c>
    </row>
    <row r="604" spans="1:8" x14ac:dyDescent="0.35">
      <c r="A604" s="280">
        <v>636</v>
      </c>
      <c r="B604" s="426" t="s">
        <v>261</v>
      </c>
      <c r="C604" s="426">
        <v>145200</v>
      </c>
      <c r="D604" s="426" t="s">
        <v>1132</v>
      </c>
      <c r="H604" s="241"/>
    </row>
    <row r="605" spans="1:8" x14ac:dyDescent="0.35">
      <c r="A605" s="280">
        <v>636</v>
      </c>
      <c r="B605" s="426" t="s">
        <v>261</v>
      </c>
      <c r="C605" s="426">
        <v>145210</v>
      </c>
      <c r="D605" s="426" t="s">
        <v>1133</v>
      </c>
    </row>
    <row r="606" spans="1:8" x14ac:dyDescent="0.35">
      <c r="A606" s="280">
        <v>636</v>
      </c>
      <c r="B606" s="426" t="s">
        <v>261</v>
      </c>
      <c r="C606" s="426">
        <v>150200</v>
      </c>
      <c r="D606" s="426" t="s">
        <v>1134</v>
      </c>
    </row>
    <row r="607" spans="1:8" x14ac:dyDescent="0.35">
      <c r="A607" s="280">
        <v>636</v>
      </c>
      <c r="B607" s="426" t="s">
        <v>261</v>
      </c>
      <c r="C607" s="426">
        <v>150210</v>
      </c>
      <c r="D607" s="426" t="s">
        <v>1135</v>
      </c>
    </row>
    <row r="608" spans="1:8" x14ac:dyDescent="0.35">
      <c r="A608" s="280">
        <v>636</v>
      </c>
      <c r="B608" s="426" t="s">
        <v>261</v>
      </c>
      <c r="C608" s="426">
        <v>160210</v>
      </c>
      <c r="D608" s="426" t="s">
        <v>1136</v>
      </c>
    </row>
    <row r="609" spans="1:8" x14ac:dyDescent="0.35">
      <c r="A609" s="280">
        <v>637</v>
      </c>
      <c r="B609" s="426" t="s">
        <v>263</v>
      </c>
      <c r="C609" s="426">
        <v>135220</v>
      </c>
      <c r="D609" s="426" t="s">
        <v>1137</v>
      </c>
    </row>
    <row r="610" spans="1:8" x14ac:dyDescent="0.35">
      <c r="A610" s="280">
        <v>637</v>
      </c>
      <c r="B610" s="426" t="s">
        <v>263</v>
      </c>
      <c r="C610" s="426">
        <v>140220</v>
      </c>
      <c r="D610" s="426" t="s">
        <v>1138</v>
      </c>
    </row>
    <row r="611" spans="1:8" x14ac:dyDescent="0.35">
      <c r="A611" s="280">
        <v>637</v>
      </c>
      <c r="B611" s="426" t="s">
        <v>263</v>
      </c>
      <c r="C611" s="426">
        <v>145220</v>
      </c>
      <c r="D611" s="426" t="s">
        <v>1139</v>
      </c>
      <c r="H611" s="241"/>
    </row>
    <row r="612" spans="1:8" x14ac:dyDescent="0.35">
      <c r="A612" s="280">
        <v>637</v>
      </c>
      <c r="B612" s="426" t="s">
        <v>263</v>
      </c>
      <c r="C612" s="426">
        <v>150220</v>
      </c>
      <c r="D612" s="426" t="s">
        <v>1140</v>
      </c>
    </row>
    <row r="613" spans="1:8" x14ac:dyDescent="0.35">
      <c r="A613" s="280">
        <v>637</v>
      </c>
      <c r="B613" s="426" t="s">
        <v>263</v>
      </c>
      <c r="C613" s="426">
        <v>160220</v>
      </c>
      <c r="D613" s="426" t="s">
        <v>1141</v>
      </c>
    </row>
    <row r="614" spans="1:8" x14ac:dyDescent="0.35">
      <c r="A614" s="280">
        <v>638</v>
      </c>
      <c r="B614" s="426" t="s">
        <v>265</v>
      </c>
      <c r="C614" s="426">
        <v>135230</v>
      </c>
      <c r="D614" s="426" t="s">
        <v>1142</v>
      </c>
    </row>
    <row r="615" spans="1:8" x14ac:dyDescent="0.35">
      <c r="A615" s="280">
        <v>638</v>
      </c>
      <c r="B615" s="426" t="s">
        <v>265</v>
      </c>
      <c r="C615" s="426">
        <v>140230</v>
      </c>
      <c r="D615" s="426" t="s">
        <v>1143</v>
      </c>
    </row>
    <row r="616" spans="1:8" x14ac:dyDescent="0.35">
      <c r="A616" s="280">
        <v>638</v>
      </c>
      <c r="B616" s="426" t="s">
        <v>265</v>
      </c>
      <c r="C616" s="426">
        <v>145230</v>
      </c>
      <c r="D616" s="426" t="s">
        <v>1144</v>
      </c>
    </row>
    <row r="617" spans="1:8" x14ac:dyDescent="0.35">
      <c r="A617" s="280">
        <v>638</v>
      </c>
      <c r="B617" s="426" t="s">
        <v>265</v>
      </c>
      <c r="C617" s="426">
        <v>150230</v>
      </c>
      <c r="D617" s="426" t="s">
        <v>1145</v>
      </c>
    </row>
    <row r="618" spans="1:8" x14ac:dyDescent="0.35">
      <c r="A618" s="280">
        <v>638</v>
      </c>
      <c r="B618" s="426" t="s">
        <v>265</v>
      </c>
      <c r="C618" s="426">
        <v>160230</v>
      </c>
      <c r="D618" s="426" t="s">
        <v>1146</v>
      </c>
      <c r="H618" s="241"/>
    </row>
    <row r="619" spans="1:8" x14ac:dyDescent="0.35">
      <c r="A619" s="280">
        <v>639</v>
      </c>
      <c r="B619" s="426" t="s">
        <v>277</v>
      </c>
      <c r="C619" s="426">
        <v>110510</v>
      </c>
      <c r="D619" s="426" t="s">
        <v>1147</v>
      </c>
    </row>
    <row r="620" spans="1:8" x14ac:dyDescent="0.35">
      <c r="A620" s="280">
        <v>639</v>
      </c>
      <c r="B620" s="426" t="s">
        <v>277</v>
      </c>
      <c r="C620" s="426">
        <v>110940</v>
      </c>
      <c r="D620" s="426" t="s">
        <v>1148</v>
      </c>
    </row>
    <row r="621" spans="1:8" x14ac:dyDescent="0.35">
      <c r="A621" s="280">
        <v>639</v>
      </c>
      <c r="B621" s="426" t="s">
        <v>277</v>
      </c>
      <c r="C621" s="426">
        <v>115510</v>
      </c>
      <c r="D621" s="426" t="s">
        <v>1149</v>
      </c>
    </row>
    <row r="622" spans="1:8" x14ac:dyDescent="0.35">
      <c r="A622" s="280">
        <v>639</v>
      </c>
      <c r="B622" s="426" t="s">
        <v>277</v>
      </c>
      <c r="C622" s="426">
        <v>115730</v>
      </c>
      <c r="D622" s="426" t="s">
        <v>1150</v>
      </c>
    </row>
    <row r="623" spans="1:8" x14ac:dyDescent="0.35">
      <c r="A623" s="280">
        <v>639</v>
      </c>
      <c r="B623" s="426" t="s">
        <v>277</v>
      </c>
      <c r="C623" s="426">
        <v>115940</v>
      </c>
      <c r="D623" s="426" t="s">
        <v>1151</v>
      </c>
    </row>
    <row r="624" spans="1:8" x14ac:dyDescent="0.35">
      <c r="A624" s="280">
        <v>639</v>
      </c>
      <c r="B624" s="426" t="s">
        <v>277</v>
      </c>
      <c r="C624" s="426">
        <v>120510</v>
      </c>
      <c r="D624" s="426" t="s">
        <v>1152</v>
      </c>
    </row>
    <row r="625" spans="1:8" x14ac:dyDescent="0.35">
      <c r="A625" s="280">
        <v>639</v>
      </c>
      <c r="B625" s="426" t="s">
        <v>277</v>
      </c>
      <c r="C625" s="426">
        <v>120940</v>
      </c>
      <c r="D625" s="426" t="s">
        <v>1153</v>
      </c>
    </row>
    <row r="626" spans="1:8" x14ac:dyDescent="0.35">
      <c r="A626" s="280">
        <v>639</v>
      </c>
      <c r="B626" s="426" t="s">
        <v>277</v>
      </c>
      <c r="C626" s="426">
        <v>125510</v>
      </c>
      <c r="D626" s="426" t="s">
        <v>1154</v>
      </c>
    </row>
    <row r="627" spans="1:8" x14ac:dyDescent="0.35">
      <c r="A627" s="280">
        <v>639</v>
      </c>
      <c r="B627" s="426" t="s">
        <v>277</v>
      </c>
      <c r="C627" s="426">
        <v>125730</v>
      </c>
      <c r="D627" s="426" t="s">
        <v>1155</v>
      </c>
    </row>
    <row r="628" spans="1:8" x14ac:dyDescent="0.35">
      <c r="A628" s="280">
        <v>639</v>
      </c>
      <c r="B628" s="426" t="s">
        <v>277</v>
      </c>
      <c r="C628" s="426">
        <v>125940</v>
      </c>
      <c r="D628" s="426" t="s">
        <v>1156</v>
      </c>
    </row>
    <row r="629" spans="1:8" x14ac:dyDescent="0.35">
      <c r="A629" s="280">
        <v>639</v>
      </c>
      <c r="B629" s="426" t="s">
        <v>277</v>
      </c>
      <c r="C629" s="426">
        <v>130510</v>
      </c>
      <c r="D629" s="426" t="s">
        <v>1157</v>
      </c>
      <c r="H629" s="241"/>
    </row>
    <row r="630" spans="1:8" x14ac:dyDescent="0.35">
      <c r="A630" s="280">
        <v>639</v>
      </c>
      <c r="B630" s="426" t="s">
        <v>277</v>
      </c>
      <c r="C630" s="426">
        <v>130730</v>
      </c>
      <c r="D630" s="426" t="s">
        <v>1158</v>
      </c>
    </row>
    <row r="631" spans="1:8" x14ac:dyDescent="0.35">
      <c r="A631" s="280">
        <v>639</v>
      </c>
      <c r="B631" s="426" t="s">
        <v>277</v>
      </c>
      <c r="C631" s="426">
        <v>130940</v>
      </c>
      <c r="D631" s="426" t="s">
        <v>1159</v>
      </c>
    </row>
    <row r="632" spans="1:8" x14ac:dyDescent="0.35">
      <c r="A632" s="280">
        <v>639</v>
      </c>
      <c r="B632" s="426" t="s">
        <v>277</v>
      </c>
      <c r="C632" s="426">
        <v>135510</v>
      </c>
      <c r="D632" s="426" t="s">
        <v>1160</v>
      </c>
    </row>
    <row r="633" spans="1:8" x14ac:dyDescent="0.35">
      <c r="A633" s="280">
        <v>639</v>
      </c>
      <c r="B633" s="426" t="s">
        <v>277</v>
      </c>
      <c r="C633" s="426">
        <v>135730</v>
      </c>
      <c r="D633" s="426" t="s">
        <v>1161</v>
      </c>
    </row>
    <row r="634" spans="1:8" x14ac:dyDescent="0.35">
      <c r="A634" s="280">
        <v>639</v>
      </c>
      <c r="B634" s="426" t="s">
        <v>277</v>
      </c>
      <c r="C634" s="426">
        <v>135940</v>
      </c>
      <c r="D634" s="426" t="s">
        <v>1162</v>
      </c>
    </row>
    <row r="635" spans="1:8" x14ac:dyDescent="0.35">
      <c r="A635" s="280">
        <v>639</v>
      </c>
      <c r="B635" s="426" t="s">
        <v>277</v>
      </c>
      <c r="C635" s="426">
        <v>140510</v>
      </c>
      <c r="D635" s="426" t="s">
        <v>1163</v>
      </c>
    </row>
    <row r="636" spans="1:8" x14ac:dyDescent="0.35">
      <c r="A636" s="280">
        <v>639</v>
      </c>
      <c r="B636" s="426" t="s">
        <v>277</v>
      </c>
      <c r="C636" s="426">
        <v>140730</v>
      </c>
      <c r="D636" s="426" t="s">
        <v>1164</v>
      </c>
      <c r="H636" s="241"/>
    </row>
    <row r="637" spans="1:8" x14ac:dyDescent="0.35">
      <c r="A637" s="280">
        <v>639</v>
      </c>
      <c r="B637" s="426" t="s">
        <v>277</v>
      </c>
      <c r="C637" s="426">
        <v>140940</v>
      </c>
      <c r="D637" s="426" t="s">
        <v>1165</v>
      </c>
    </row>
    <row r="638" spans="1:8" x14ac:dyDescent="0.35">
      <c r="A638" s="280">
        <v>639</v>
      </c>
      <c r="B638" s="426" t="s">
        <v>277</v>
      </c>
      <c r="C638" s="426">
        <v>145510</v>
      </c>
      <c r="D638" s="426" t="s">
        <v>1166</v>
      </c>
    </row>
    <row r="639" spans="1:8" x14ac:dyDescent="0.35">
      <c r="A639" s="280">
        <v>639</v>
      </c>
      <c r="B639" s="426" t="s">
        <v>277</v>
      </c>
      <c r="C639" s="426">
        <v>145730</v>
      </c>
      <c r="D639" s="426" t="s">
        <v>1167</v>
      </c>
    </row>
    <row r="640" spans="1:8" x14ac:dyDescent="0.35">
      <c r="A640" s="280">
        <v>639</v>
      </c>
      <c r="B640" s="426" t="s">
        <v>277</v>
      </c>
      <c r="C640" s="426">
        <v>145940</v>
      </c>
      <c r="D640" s="426" t="s">
        <v>1168</v>
      </c>
    </row>
    <row r="641" spans="1:8" x14ac:dyDescent="0.35">
      <c r="A641" s="280">
        <v>639</v>
      </c>
      <c r="B641" s="426" t="s">
        <v>277</v>
      </c>
      <c r="C641" s="426">
        <v>150510</v>
      </c>
      <c r="D641" s="426" t="s">
        <v>1169</v>
      </c>
    </row>
    <row r="642" spans="1:8" x14ac:dyDescent="0.35">
      <c r="A642" s="280">
        <v>639</v>
      </c>
      <c r="B642" s="426" t="s">
        <v>277</v>
      </c>
      <c r="C642" s="426">
        <v>150730</v>
      </c>
      <c r="D642" s="426" t="s">
        <v>1170</v>
      </c>
    </row>
    <row r="643" spans="1:8" x14ac:dyDescent="0.35">
      <c r="A643" s="280">
        <v>639</v>
      </c>
      <c r="B643" s="426" t="s">
        <v>277</v>
      </c>
      <c r="C643" s="426">
        <v>150940</v>
      </c>
      <c r="D643" s="426" t="s">
        <v>1171</v>
      </c>
      <c r="H643" s="241"/>
    </row>
    <row r="644" spans="1:8" x14ac:dyDescent="0.35">
      <c r="A644" s="280">
        <v>639</v>
      </c>
      <c r="B644" s="426" t="s">
        <v>277</v>
      </c>
      <c r="C644" s="426">
        <v>160510</v>
      </c>
      <c r="D644" s="426" t="s">
        <v>1172</v>
      </c>
    </row>
    <row r="645" spans="1:8" x14ac:dyDescent="0.35">
      <c r="A645" s="280">
        <v>639</v>
      </c>
      <c r="B645" s="426" t="s">
        <v>277</v>
      </c>
      <c r="C645" s="426">
        <v>160940</v>
      </c>
      <c r="D645" s="426" t="s">
        <v>1173</v>
      </c>
    </row>
    <row r="646" spans="1:8" x14ac:dyDescent="0.35">
      <c r="A646" s="280">
        <v>639</v>
      </c>
      <c r="B646" s="426" t="s">
        <v>277</v>
      </c>
      <c r="C646" s="426">
        <v>170510</v>
      </c>
      <c r="D646" s="426" t="s">
        <v>1174</v>
      </c>
    </row>
    <row r="647" spans="1:8" x14ac:dyDescent="0.35">
      <c r="A647" s="280">
        <v>639</v>
      </c>
      <c r="B647" s="426" t="s">
        <v>277</v>
      </c>
      <c r="C647" s="426">
        <v>170830</v>
      </c>
      <c r="D647" s="426" t="s">
        <v>1175</v>
      </c>
    </row>
    <row r="648" spans="1:8" x14ac:dyDescent="0.35">
      <c r="A648" s="280">
        <v>639</v>
      </c>
      <c r="B648" s="426" t="s">
        <v>277</v>
      </c>
      <c r="C648" s="426">
        <v>170940</v>
      </c>
      <c r="D648" s="426" t="s">
        <v>1176</v>
      </c>
    </row>
    <row r="649" spans="1:8" x14ac:dyDescent="0.35">
      <c r="A649" s="280">
        <v>639</v>
      </c>
      <c r="B649" s="426" t="s">
        <v>277</v>
      </c>
      <c r="C649" s="426">
        <v>175510</v>
      </c>
      <c r="D649" s="426" t="s">
        <v>1177</v>
      </c>
    </row>
    <row r="650" spans="1:8" x14ac:dyDescent="0.35">
      <c r="A650" s="280">
        <v>639</v>
      </c>
      <c r="B650" s="426" t="s">
        <v>277</v>
      </c>
      <c r="C650" s="426">
        <v>175830</v>
      </c>
      <c r="D650" s="426" t="s">
        <v>1178</v>
      </c>
    </row>
    <row r="651" spans="1:8" x14ac:dyDescent="0.35">
      <c r="A651" s="280">
        <v>639</v>
      </c>
      <c r="B651" s="426" t="s">
        <v>277</v>
      </c>
      <c r="C651" s="426">
        <v>175940</v>
      </c>
      <c r="D651" s="426" t="s">
        <v>1179</v>
      </c>
    </row>
    <row r="652" spans="1:8" x14ac:dyDescent="0.35">
      <c r="A652" s="280">
        <v>700</v>
      </c>
      <c r="B652" s="426" t="s">
        <v>280</v>
      </c>
      <c r="C652" s="426">
        <v>260100</v>
      </c>
      <c r="D652" s="426" t="s">
        <v>1181</v>
      </c>
    </row>
    <row r="653" spans="1:8" x14ac:dyDescent="0.35">
      <c r="A653" s="280">
        <v>700</v>
      </c>
      <c r="B653" s="426" t="s">
        <v>280</v>
      </c>
      <c r="C653" s="426">
        <v>270100</v>
      </c>
      <c r="D653" s="426" t="s">
        <v>1182</v>
      </c>
    </row>
    <row r="654" spans="1:8" x14ac:dyDescent="0.35">
      <c r="A654" s="280">
        <v>700</v>
      </c>
      <c r="B654" s="426" t="s">
        <v>280</v>
      </c>
      <c r="C654" s="426">
        <v>280100</v>
      </c>
      <c r="D654" s="426" t="s">
        <v>1183</v>
      </c>
      <c r="H654" s="241"/>
    </row>
    <row r="655" spans="1:8" x14ac:dyDescent="0.35">
      <c r="A655" s="280">
        <v>701</v>
      </c>
      <c r="B655" s="426" t="s">
        <v>283</v>
      </c>
      <c r="C655" s="426">
        <v>310150</v>
      </c>
      <c r="D655" s="426" t="s">
        <v>1184</v>
      </c>
    </row>
    <row r="656" spans="1:8" x14ac:dyDescent="0.35">
      <c r="A656" s="280">
        <v>710</v>
      </c>
      <c r="B656" s="426" t="s">
        <v>287</v>
      </c>
      <c r="C656" s="426">
        <v>892500</v>
      </c>
      <c r="D656" s="426" t="s">
        <v>1185</v>
      </c>
    </row>
    <row r="657" spans="1:8" x14ac:dyDescent="0.35">
      <c r="A657" s="280">
        <v>710</v>
      </c>
      <c r="B657" s="426" t="s">
        <v>287</v>
      </c>
      <c r="C657" s="426">
        <v>892600</v>
      </c>
      <c r="D657" s="426" t="s">
        <v>1186</v>
      </c>
    </row>
    <row r="658" spans="1:8" x14ac:dyDescent="0.35">
      <c r="A658" s="280">
        <v>710</v>
      </c>
      <c r="B658" s="426" t="s">
        <v>287</v>
      </c>
      <c r="C658" s="426">
        <v>892700</v>
      </c>
      <c r="D658" s="426" t="s">
        <v>1187</v>
      </c>
    </row>
    <row r="659" spans="1:8" x14ac:dyDescent="0.35">
      <c r="A659" s="280">
        <v>710</v>
      </c>
      <c r="B659" s="426" t="s">
        <v>287</v>
      </c>
      <c r="C659" s="426">
        <v>895600</v>
      </c>
      <c r="D659" s="426" t="s">
        <v>1188</v>
      </c>
    </row>
    <row r="660" spans="1:8" x14ac:dyDescent="0.35">
      <c r="A660" s="280">
        <v>710</v>
      </c>
      <c r="B660" s="426" t="s">
        <v>287</v>
      </c>
      <c r="C660" s="426">
        <v>895650</v>
      </c>
      <c r="D660" s="426" t="s">
        <v>1189</v>
      </c>
    </row>
    <row r="661" spans="1:8" x14ac:dyDescent="0.35">
      <c r="A661" s="280">
        <v>710</v>
      </c>
      <c r="B661" s="426" t="s">
        <v>287</v>
      </c>
      <c r="C661" s="426">
        <v>895700</v>
      </c>
      <c r="D661" s="426" t="s">
        <v>1190</v>
      </c>
    </row>
    <row r="662" spans="1:8" x14ac:dyDescent="0.35">
      <c r="A662" s="280">
        <v>712</v>
      </c>
      <c r="B662" s="426" t="s">
        <v>289</v>
      </c>
      <c r="C662" s="426">
        <v>870260</v>
      </c>
      <c r="D662" s="426" t="s">
        <v>1191</v>
      </c>
    </row>
    <row r="663" spans="1:8" x14ac:dyDescent="0.35">
      <c r="A663" s="280">
        <v>712</v>
      </c>
      <c r="B663" s="426" t="s">
        <v>289</v>
      </c>
      <c r="C663" s="426">
        <v>892300</v>
      </c>
      <c r="D663" s="426" t="s">
        <v>1192</v>
      </c>
    </row>
    <row r="664" spans="1:8" x14ac:dyDescent="0.35">
      <c r="A664" s="280">
        <v>712</v>
      </c>
      <c r="B664" s="426" t="s">
        <v>289</v>
      </c>
      <c r="C664" s="426">
        <v>892350</v>
      </c>
      <c r="D664" s="426" t="s">
        <v>1193</v>
      </c>
    </row>
    <row r="665" spans="1:8" x14ac:dyDescent="0.35">
      <c r="A665" s="280">
        <v>712</v>
      </c>
      <c r="B665" s="426" t="s">
        <v>289</v>
      </c>
      <c r="C665" s="426">
        <v>895850</v>
      </c>
      <c r="D665" s="426" t="s">
        <v>1194</v>
      </c>
    </row>
    <row r="666" spans="1:8" x14ac:dyDescent="0.35">
      <c r="A666" s="280">
        <v>715</v>
      </c>
      <c r="B666" s="426" t="s">
        <v>1195</v>
      </c>
      <c r="C666" s="426">
        <v>892100</v>
      </c>
      <c r="D666" s="426" t="s">
        <v>1196</v>
      </c>
    </row>
    <row r="667" spans="1:8" x14ac:dyDescent="0.35">
      <c r="A667" s="280">
        <v>715</v>
      </c>
      <c r="B667" s="426" t="s">
        <v>1195</v>
      </c>
      <c r="C667" s="426">
        <v>892150</v>
      </c>
      <c r="D667" s="426" t="s">
        <v>1197</v>
      </c>
    </row>
    <row r="668" spans="1:8" x14ac:dyDescent="0.35">
      <c r="A668" s="280">
        <v>715</v>
      </c>
      <c r="B668" s="426" t="s">
        <v>1195</v>
      </c>
      <c r="C668" s="426">
        <v>895750</v>
      </c>
      <c r="D668" s="426" t="s">
        <v>1198</v>
      </c>
      <c r="H668" s="241"/>
    </row>
    <row r="669" spans="1:8" x14ac:dyDescent="0.35">
      <c r="A669" s="280">
        <v>717</v>
      </c>
      <c r="B669" s="426" t="s">
        <v>315</v>
      </c>
      <c r="C669" s="426">
        <v>870220</v>
      </c>
      <c r="D669" s="426" t="s">
        <v>1199</v>
      </c>
    </row>
    <row r="670" spans="1:8" x14ac:dyDescent="0.35">
      <c r="A670" s="280">
        <v>717</v>
      </c>
      <c r="B670" s="426" t="s">
        <v>315</v>
      </c>
      <c r="C670" s="426">
        <v>870240</v>
      </c>
      <c r="D670" s="426" t="s">
        <v>1200</v>
      </c>
    </row>
    <row r="671" spans="1:8" x14ac:dyDescent="0.35">
      <c r="A671" s="280">
        <v>717</v>
      </c>
      <c r="B671" s="426" t="s">
        <v>315</v>
      </c>
      <c r="C671" s="426">
        <v>892110</v>
      </c>
      <c r="D671" s="426" t="s">
        <v>1201</v>
      </c>
    </row>
    <row r="672" spans="1:8" x14ac:dyDescent="0.35">
      <c r="A672" s="280">
        <v>717</v>
      </c>
      <c r="B672" s="426" t="s">
        <v>315</v>
      </c>
      <c r="C672" s="426">
        <v>892160</v>
      </c>
      <c r="D672" s="426" t="s">
        <v>1202</v>
      </c>
    </row>
    <row r="673" spans="1:4" x14ac:dyDescent="0.35">
      <c r="A673" s="280">
        <v>717</v>
      </c>
      <c r="B673" s="426" t="s">
        <v>315</v>
      </c>
      <c r="C673" s="426">
        <v>892200</v>
      </c>
      <c r="D673" s="426" t="s">
        <v>1203</v>
      </c>
    </row>
    <row r="674" spans="1:4" x14ac:dyDescent="0.35">
      <c r="A674" s="280">
        <v>717</v>
      </c>
      <c r="B674" s="426" t="s">
        <v>315</v>
      </c>
      <c r="C674" s="426">
        <v>892250</v>
      </c>
      <c r="D674" s="426" t="s">
        <v>1204</v>
      </c>
    </row>
    <row r="675" spans="1:4" x14ac:dyDescent="0.35">
      <c r="A675" s="280">
        <v>717</v>
      </c>
      <c r="B675" s="426" t="s">
        <v>315</v>
      </c>
      <c r="C675" s="426">
        <v>895760</v>
      </c>
      <c r="D675" s="426" t="s">
        <v>1205</v>
      </c>
    </row>
    <row r="676" spans="1:4" x14ac:dyDescent="0.35">
      <c r="A676" s="280">
        <v>717</v>
      </c>
      <c r="B676" s="426" t="s">
        <v>315</v>
      </c>
      <c r="C676" s="426">
        <v>895800</v>
      </c>
      <c r="D676" s="426" t="s">
        <v>1206</v>
      </c>
    </row>
    <row r="677" spans="1:4" x14ac:dyDescent="0.35">
      <c r="A677" s="280">
        <v>717</v>
      </c>
      <c r="B677" s="426" t="s">
        <v>315</v>
      </c>
      <c r="C677" s="426">
        <v>872550</v>
      </c>
      <c r="D677" s="426" t="s">
        <v>1718</v>
      </c>
    </row>
    <row r="678" spans="1:4" x14ac:dyDescent="0.35">
      <c r="A678" s="280">
        <v>725</v>
      </c>
      <c r="B678" s="426" t="s">
        <v>292</v>
      </c>
      <c r="C678" s="426">
        <v>180100</v>
      </c>
      <c r="D678" s="426" t="s">
        <v>1207</v>
      </c>
    </row>
    <row r="679" spans="1:4" x14ac:dyDescent="0.35">
      <c r="A679" s="280">
        <v>725</v>
      </c>
      <c r="B679" s="426" t="s">
        <v>292</v>
      </c>
      <c r="C679" s="426">
        <v>180200</v>
      </c>
      <c r="D679" s="426" t="s">
        <v>1208</v>
      </c>
    </row>
    <row r="680" spans="1:4" x14ac:dyDescent="0.35">
      <c r="A680" s="280">
        <v>725</v>
      </c>
      <c r="B680" s="426" t="s">
        <v>292</v>
      </c>
      <c r="C680" s="426">
        <v>180300</v>
      </c>
      <c r="D680" s="426" t="s">
        <v>1209</v>
      </c>
    </row>
    <row r="681" spans="1:4" x14ac:dyDescent="0.35">
      <c r="A681" s="280">
        <v>725</v>
      </c>
      <c r="B681" s="426" t="s">
        <v>292</v>
      </c>
      <c r="C681" s="426">
        <v>180310</v>
      </c>
      <c r="D681" s="426" t="s">
        <v>1210</v>
      </c>
    </row>
    <row r="682" spans="1:4" x14ac:dyDescent="0.35">
      <c r="A682" s="280">
        <v>725</v>
      </c>
      <c r="B682" s="426" t="s">
        <v>292</v>
      </c>
      <c r="C682" s="426">
        <v>180320</v>
      </c>
      <c r="D682" s="426" t="s">
        <v>1211</v>
      </c>
    </row>
    <row r="683" spans="1:4" x14ac:dyDescent="0.35">
      <c r="A683" s="280">
        <v>725</v>
      </c>
      <c r="B683" s="426" t="s">
        <v>292</v>
      </c>
      <c r="C683" s="426">
        <v>180510</v>
      </c>
      <c r="D683" s="426" t="s">
        <v>1212</v>
      </c>
    </row>
    <row r="684" spans="1:4" x14ac:dyDescent="0.35">
      <c r="A684" s="280">
        <v>725</v>
      </c>
      <c r="B684" s="426" t="s">
        <v>292</v>
      </c>
      <c r="C684" s="426">
        <v>180620</v>
      </c>
      <c r="D684" s="426" t="s">
        <v>1213</v>
      </c>
    </row>
    <row r="685" spans="1:4" x14ac:dyDescent="0.35">
      <c r="A685" s="280">
        <v>725</v>
      </c>
      <c r="B685" s="426" t="s">
        <v>292</v>
      </c>
      <c r="C685" s="426">
        <v>180630</v>
      </c>
      <c r="D685" s="426" t="s">
        <v>1214</v>
      </c>
    </row>
    <row r="686" spans="1:4" x14ac:dyDescent="0.35">
      <c r="A686" s="280">
        <v>725</v>
      </c>
      <c r="B686" s="426" t="s">
        <v>292</v>
      </c>
      <c r="C686" s="426">
        <v>180640</v>
      </c>
      <c r="D686" s="426" t="s">
        <v>1215</v>
      </c>
    </row>
    <row r="687" spans="1:4" x14ac:dyDescent="0.35">
      <c r="A687" s="280">
        <v>725</v>
      </c>
      <c r="B687" s="426" t="s">
        <v>292</v>
      </c>
      <c r="C687" s="426">
        <v>180910</v>
      </c>
      <c r="D687" s="426" t="s">
        <v>1216</v>
      </c>
    </row>
    <row r="688" spans="1:4" x14ac:dyDescent="0.35">
      <c r="A688" s="280">
        <v>725</v>
      </c>
      <c r="B688" s="426" t="s">
        <v>292</v>
      </c>
      <c r="C688" s="426">
        <v>181100</v>
      </c>
      <c r="D688" s="426" t="s">
        <v>1217</v>
      </c>
    </row>
    <row r="689" spans="1:4" x14ac:dyDescent="0.35">
      <c r="A689" s="280">
        <v>725</v>
      </c>
      <c r="B689" s="426" t="s">
        <v>292</v>
      </c>
      <c r="C689" s="426">
        <v>181200</v>
      </c>
      <c r="D689" s="426" t="s">
        <v>1218</v>
      </c>
    </row>
    <row r="690" spans="1:4" x14ac:dyDescent="0.35">
      <c r="A690" s="280">
        <v>725</v>
      </c>
      <c r="B690" s="426" t="s">
        <v>292</v>
      </c>
      <c r="C690" s="426">
        <v>181300</v>
      </c>
      <c r="D690" s="426" t="s">
        <v>1219</v>
      </c>
    </row>
    <row r="691" spans="1:4" x14ac:dyDescent="0.35">
      <c r="A691" s="280">
        <v>725</v>
      </c>
      <c r="B691" s="426" t="s">
        <v>292</v>
      </c>
      <c r="C691" s="426">
        <v>181310</v>
      </c>
      <c r="D691" s="426" t="s">
        <v>1220</v>
      </c>
    </row>
    <row r="692" spans="1:4" x14ac:dyDescent="0.35">
      <c r="A692" s="280">
        <v>725</v>
      </c>
      <c r="B692" s="426" t="s">
        <v>292</v>
      </c>
      <c r="C692" s="426">
        <v>181320</v>
      </c>
      <c r="D692" s="426" t="s">
        <v>1221</v>
      </c>
    </row>
    <row r="693" spans="1:4" x14ac:dyDescent="0.35">
      <c r="A693" s="280">
        <v>725</v>
      </c>
      <c r="B693" s="426" t="s">
        <v>292</v>
      </c>
      <c r="C693" s="426">
        <v>181510</v>
      </c>
      <c r="D693" s="426" t="s">
        <v>1222</v>
      </c>
    </row>
    <row r="694" spans="1:4" x14ac:dyDescent="0.35">
      <c r="A694" s="280">
        <v>725</v>
      </c>
      <c r="B694" s="426" t="s">
        <v>292</v>
      </c>
      <c r="C694" s="426">
        <v>181620</v>
      </c>
      <c r="D694" s="426" t="s">
        <v>1223</v>
      </c>
    </row>
    <row r="695" spans="1:4" x14ac:dyDescent="0.35">
      <c r="A695" s="280">
        <v>725</v>
      </c>
      <c r="B695" s="426" t="s">
        <v>292</v>
      </c>
      <c r="C695" s="426">
        <v>181630</v>
      </c>
      <c r="D695" s="426" t="s">
        <v>1224</v>
      </c>
    </row>
    <row r="696" spans="1:4" x14ac:dyDescent="0.35">
      <c r="A696" s="280">
        <v>725</v>
      </c>
      <c r="B696" s="426" t="s">
        <v>292</v>
      </c>
      <c r="C696" s="426">
        <v>181640</v>
      </c>
      <c r="D696" s="426" t="s">
        <v>1225</v>
      </c>
    </row>
    <row r="697" spans="1:4" x14ac:dyDescent="0.35">
      <c r="A697" s="280">
        <v>725</v>
      </c>
      <c r="B697" s="426" t="s">
        <v>292</v>
      </c>
      <c r="C697" s="426">
        <v>181910</v>
      </c>
      <c r="D697" s="426" t="s">
        <v>1226</v>
      </c>
    </row>
    <row r="698" spans="1:4" x14ac:dyDescent="0.35">
      <c r="A698" s="280">
        <v>725</v>
      </c>
      <c r="B698" s="426" t="s">
        <v>292</v>
      </c>
      <c r="C698" s="426">
        <v>182100</v>
      </c>
      <c r="D698" s="426" t="s">
        <v>1227</v>
      </c>
    </row>
    <row r="699" spans="1:4" x14ac:dyDescent="0.35">
      <c r="A699" s="280">
        <v>725</v>
      </c>
      <c r="B699" s="426" t="s">
        <v>292</v>
      </c>
      <c r="C699" s="426">
        <v>182200</v>
      </c>
      <c r="D699" s="426" t="s">
        <v>1228</v>
      </c>
    </row>
    <row r="700" spans="1:4" x14ac:dyDescent="0.35">
      <c r="A700" s="280">
        <v>725</v>
      </c>
      <c r="B700" s="426" t="s">
        <v>292</v>
      </c>
      <c r="C700" s="426">
        <v>182300</v>
      </c>
      <c r="D700" s="426" t="s">
        <v>1229</v>
      </c>
    </row>
    <row r="701" spans="1:4" x14ac:dyDescent="0.35">
      <c r="A701" s="280">
        <v>725</v>
      </c>
      <c r="B701" s="426" t="s">
        <v>292</v>
      </c>
      <c r="C701" s="426">
        <v>182310</v>
      </c>
      <c r="D701" s="426" t="s">
        <v>1230</v>
      </c>
    </row>
    <row r="702" spans="1:4" x14ac:dyDescent="0.35">
      <c r="A702" s="280">
        <v>725</v>
      </c>
      <c r="B702" s="426" t="s">
        <v>292</v>
      </c>
      <c r="C702" s="426">
        <v>182320</v>
      </c>
      <c r="D702" s="426" t="s">
        <v>1231</v>
      </c>
    </row>
    <row r="703" spans="1:4" x14ac:dyDescent="0.35">
      <c r="A703" s="280">
        <v>725</v>
      </c>
      <c r="B703" s="426" t="s">
        <v>292</v>
      </c>
      <c r="C703" s="426">
        <v>182510</v>
      </c>
      <c r="D703" s="426" t="s">
        <v>1232</v>
      </c>
    </row>
    <row r="704" spans="1:4" x14ac:dyDescent="0.35">
      <c r="A704" s="280">
        <v>725</v>
      </c>
      <c r="B704" s="426" t="s">
        <v>292</v>
      </c>
      <c r="C704" s="426">
        <v>182620</v>
      </c>
      <c r="D704" s="426" t="s">
        <v>1233</v>
      </c>
    </row>
    <row r="705" spans="1:8" x14ac:dyDescent="0.35">
      <c r="A705" s="280">
        <v>725</v>
      </c>
      <c r="B705" s="426" t="s">
        <v>292</v>
      </c>
      <c r="C705" s="426">
        <v>182630</v>
      </c>
      <c r="D705" s="426" t="s">
        <v>1234</v>
      </c>
    </row>
    <row r="706" spans="1:8" x14ac:dyDescent="0.35">
      <c r="A706" s="280">
        <v>725</v>
      </c>
      <c r="B706" s="426" t="s">
        <v>292</v>
      </c>
      <c r="C706" s="426">
        <v>182640</v>
      </c>
      <c r="D706" s="426" t="s">
        <v>1235</v>
      </c>
    </row>
    <row r="707" spans="1:8" x14ac:dyDescent="0.35">
      <c r="A707" s="280">
        <v>725</v>
      </c>
      <c r="B707" s="426" t="s">
        <v>292</v>
      </c>
      <c r="C707" s="426">
        <v>182910</v>
      </c>
      <c r="D707" s="426" t="s">
        <v>1236</v>
      </c>
    </row>
    <row r="708" spans="1:8" x14ac:dyDescent="0.35">
      <c r="A708" s="280">
        <v>725</v>
      </c>
      <c r="B708" s="426" t="s">
        <v>292</v>
      </c>
      <c r="C708" s="426">
        <v>183100</v>
      </c>
      <c r="D708" s="426" t="s">
        <v>1237</v>
      </c>
    </row>
    <row r="709" spans="1:8" x14ac:dyDescent="0.35">
      <c r="A709" s="280">
        <v>725</v>
      </c>
      <c r="B709" s="426" t="s">
        <v>292</v>
      </c>
      <c r="C709" s="426">
        <v>183200</v>
      </c>
      <c r="D709" s="426" t="s">
        <v>1238</v>
      </c>
    </row>
    <row r="710" spans="1:8" x14ac:dyDescent="0.35">
      <c r="A710" s="280">
        <v>725</v>
      </c>
      <c r="B710" s="426" t="s">
        <v>292</v>
      </c>
      <c r="C710" s="426">
        <v>183300</v>
      </c>
      <c r="D710" s="426" t="s">
        <v>1239</v>
      </c>
    </row>
    <row r="711" spans="1:8" x14ac:dyDescent="0.35">
      <c r="A711" s="280">
        <v>725</v>
      </c>
      <c r="B711" s="426" t="s">
        <v>292</v>
      </c>
      <c r="C711" s="426">
        <v>183310</v>
      </c>
      <c r="D711" s="426" t="s">
        <v>1240</v>
      </c>
    </row>
    <row r="712" spans="1:8" x14ac:dyDescent="0.35">
      <c r="A712" s="280">
        <v>725</v>
      </c>
      <c r="B712" s="426" t="s">
        <v>292</v>
      </c>
      <c r="C712" s="426">
        <v>183320</v>
      </c>
      <c r="D712" s="426" t="s">
        <v>1241</v>
      </c>
    </row>
    <row r="713" spans="1:8" x14ac:dyDescent="0.35">
      <c r="A713" s="280">
        <v>725</v>
      </c>
      <c r="B713" s="426" t="s">
        <v>292</v>
      </c>
      <c r="C713" s="426">
        <v>183510</v>
      </c>
      <c r="D713" s="426" t="s">
        <v>1242</v>
      </c>
    </row>
    <row r="714" spans="1:8" x14ac:dyDescent="0.35">
      <c r="A714" s="280">
        <v>725</v>
      </c>
      <c r="B714" s="426" t="s">
        <v>292</v>
      </c>
      <c r="C714" s="426">
        <v>183620</v>
      </c>
      <c r="D714" s="426" t="s">
        <v>1243</v>
      </c>
    </row>
    <row r="715" spans="1:8" x14ac:dyDescent="0.35">
      <c r="A715" s="280">
        <v>725</v>
      </c>
      <c r="B715" s="426" t="s">
        <v>292</v>
      </c>
      <c r="C715" s="426">
        <v>183630</v>
      </c>
      <c r="D715" s="426" t="s">
        <v>1244</v>
      </c>
    </row>
    <row r="716" spans="1:8" x14ac:dyDescent="0.35">
      <c r="A716" s="280">
        <v>725</v>
      </c>
      <c r="B716" s="426" t="s">
        <v>292</v>
      </c>
      <c r="C716" s="426">
        <v>183640</v>
      </c>
      <c r="D716" s="426" t="s">
        <v>1245</v>
      </c>
      <c r="H716" s="241"/>
    </row>
    <row r="717" spans="1:8" x14ac:dyDescent="0.35">
      <c r="A717" s="280">
        <v>725</v>
      </c>
      <c r="B717" s="426" t="s">
        <v>292</v>
      </c>
      <c r="C717" s="426">
        <v>183910</v>
      </c>
      <c r="D717" s="426" t="s">
        <v>1246</v>
      </c>
    </row>
    <row r="718" spans="1:8" x14ac:dyDescent="0.35">
      <c r="A718" s="280">
        <v>725</v>
      </c>
      <c r="B718" s="426" t="s">
        <v>292</v>
      </c>
      <c r="C718" s="426">
        <v>184100</v>
      </c>
      <c r="D718" s="426" t="s">
        <v>1247</v>
      </c>
    </row>
    <row r="719" spans="1:8" x14ac:dyDescent="0.35">
      <c r="A719" s="280">
        <v>725</v>
      </c>
      <c r="B719" s="426" t="s">
        <v>292</v>
      </c>
      <c r="C719" s="426">
        <v>184200</v>
      </c>
      <c r="D719" s="426" t="s">
        <v>1248</v>
      </c>
    </row>
    <row r="720" spans="1:8" x14ac:dyDescent="0.35">
      <c r="A720" s="280">
        <v>725</v>
      </c>
      <c r="B720" s="426" t="s">
        <v>292</v>
      </c>
      <c r="C720" s="426">
        <v>184300</v>
      </c>
      <c r="D720" s="426" t="s">
        <v>1249</v>
      </c>
    </row>
    <row r="721" spans="1:4" x14ac:dyDescent="0.35">
      <c r="A721" s="280">
        <v>725</v>
      </c>
      <c r="B721" s="426" t="s">
        <v>292</v>
      </c>
      <c r="C721" s="426">
        <v>184310</v>
      </c>
      <c r="D721" s="426" t="s">
        <v>1250</v>
      </c>
    </row>
    <row r="722" spans="1:4" x14ac:dyDescent="0.35">
      <c r="A722" s="280">
        <v>725</v>
      </c>
      <c r="B722" s="426" t="s">
        <v>292</v>
      </c>
      <c r="C722" s="426">
        <v>184320</v>
      </c>
      <c r="D722" s="426" t="s">
        <v>1251</v>
      </c>
    </row>
    <row r="723" spans="1:4" x14ac:dyDescent="0.35">
      <c r="A723" s="280">
        <v>725</v>
      </c>
      <c r="B723" s="426" t="s">
        <v>292</v>
      </c>
      <c r="C723" s="426">
        <v>184510</v>
      </c>
      <c r="D723" s="426" t="s">
        <v>1252</v>
      </c>
    </row>
    <row r="724" spans="1:4" x14ac:dyDescent="0.35">
      <c r="A724" s="280">
        <v>725</v>
      </c>
      <c r="B724" s="426" t="s">
        <v>292</v>
      </c>
      <c r="C724" s="426">
        <v>184620</v>
      </c>
      <c r="D724" s="426" t="s">
        <v>1253</v>
      </c>
    </row>
    <row r="725" spans="1:4" x14ac:dyDescent="0.35">
      <c r="A725" s="280">
        <v>725</v>
      </c>
      <c r="B725" s="426" t="s">
        <v>292</v>
      </c>
      <c r="C725" s="426">
        <v>184630</v>
      </c>
      <c r="D725" s="426" t="s">
        <v>1254</v>
      </c>
    </row>
    <row r="726" spans="1:4" x14ac:dyDescent="0.35">
      <c r="A726" s="280">
        <v>725</v>
      </c>
      <c r="B726" s="426" t="s">
        <v>292</v>
      </c>
      <c r="C726" s="426">
        <v>184640</v>
      </c>
      <c r="D726" s="426" t="s">
        <v>1255</v>
      </c>
    </row>
    <row r="727" spans="1:4" x14ac:dyDescent="0.35">
      <c r="A727" s="280">
        <v>725</v>
      </c>
      <c r="B727" s="426" t="s">
        <v>292</v>
      </c>
      <c r="C727" s="426">
        <v>184680</v>
      </c>
      <c r="D727" s="426" t="s">
        <v>1256</v>
      </c>
    </row>
    <row r="728" spans="1:4" x14ac:dyDescent="0.35">
      <c r="A728" s="280">
        <v>725</v>
      </c>
      <c r="B728" s="426" t="s">
        <v>292</v>
      </c>
      <c r="C728" s="426">
        <v>184910</v>
      </c>
      <c r="D728" s="426" t="s">
        <v>1257</v>
      </c>
    </row>
    <row r="729" spans="1:4" x14ac:dyDescent="0.35">
      <c r="A729" s="280">
        <v>725</v>
      </c>
      <c r="B729" s="426" t="s">
        <v>292</v>
      </c>
      <c r="C729" s="426">
        <v>185100</v>
      </c>
      <c r="D729" s="426" t="s">
        <v>1258</v>
      </c>
    </row>
    <row r="730" spans="1:4" x14ac:dyDescent="0.35">
      <c r="A730" s="280">
        <v>725</v>
      </c>
      <c r="B730" s="426" t="s">
        <v>292</v>
      </c>
      <c r="C730" s="426">
        <v>185200</v>
      </c>
      <c r="D730" s="426" t="s">
        <v>1259</v>
      </c>
    </row>
    <row r="731" spans="1:4" x14ac:dyDescent="0.35">
      <c r="A731" s="280">
        <v>725</v>
      </c>
      <c r="B731" s="426" t="s">
        <v>292</v>
      </c>
      <c r="C731" s="426">
        <v>185300</v>
      </c>
      <c r="D731" s="426" t="s">
        <v>1260</v>
      </c>
    </row>
    <row r="732" spans="1:4" x14ac:dyDescent="0.35">
      <c r="A732" s="280">
        <v>725</v>
      </c>
      <c r="B732" s="426" t="s">
        <v>292</v>
      </c>
      <c r="C732" s="426">
        <v>185310</v>
      </c>
      <c r="D732" s="426" t="s">
        <v>1261</v>
      </c>
    </row>
    <row r="733" spans="1:4" x14ac:dyDescent="0.35">
      <c r="A733" s="280">
        <v>725</v>
      </c>
      <c r="B733" s="426" t="s">
        <v>292</v>
      </c>
      <c r="C733" s="426">
        <v>185320</v>
      </c>
      <c r="D733" s="426" t="s">
        <v>1262</v>
      </c>
    </row>
    <row r="734" spans="1:4" x14ac:dyDescent="0.35">
      <c r="A734" s="280">
        <v>725</v>
      </c>
      <c r="B734" s="426" t="s">
        <v>292</v>
      </c>
      <c r="C734" s="426">
        <v>185510</v>
      </c>
      <c r="D734" s="426" t="s">
        <v>1263</v>
      </c>
    </row>
    <row r="735" spans="1:4" x14ac:dyDescent="0.35">
      <c r="A735" s="280">
        <v>725</v>
      </c>
      <c r="B735" s="426" t="s">
        <v>292</v>
      </c>
      <c r="C735" s="426">
        <v>185620</v>
      </c>
      <c r="D735" s="426" t="s">
        <v>1264</v>
      </c>
    </row>
    <row r="736" spans="1:4" x14ac:dyDescent="0.35">
      <c r="A736" s="280">
        <v>725</v>
      </c>
      <c r="B736" s="426" t="s">
        <v>292</v>
      </c>
      <c r="C736" s="426">
        <v>185630</v>
      </c>
      <c r="D736" s="426" t="s">
        <v>1265</v>
      </c>
    </row>
    <row r="737" spans="1:8" x14ac:dyDescent="0.35">
      <c r="A737" s="280">
        <v>725</v>
      </c>
      <c r="B737" s="426" t="s">
        <v>292</v>
      </c>
      <c r="C737" s="426">
        <v>185640</v>
      </c>
      <c r="D737" s="426" t="s">
        <v>1266</v>
      </c>
    </row>
    <row r="738" spans="1:8" x14ac:dyDescent="0.35">
      <c r="A738" s="280">
        <v>725</v>
      </c>
      <c r="B738" s="426" t="s">
        <v>292</v>
      </c>
      <c r="C738" s="426">
        <v>185680</v>
      </c>
      <c r="D738" s="426" t="s">
        <v>1267</v>
      </c>
    </row>
    <row r="739" spans="1:8" x14ac:dyDescent="0.35">
      <c r="A739" s="280">
        <v>725</v>
      </c>
      <c r="B739" s="426" t="s">
        <v>292</v>
      </c>
      <c r="C739" s="426">
        <v>185910</v>
      </c>
      <c r="D739" s="426" t="s">
        <v>1268</v>
      </c>
    </row>
    <row r="740" spans="1:8" x14ac:dyDescent="0.35">
      <c r="A740" s="280">
        <v>725</v>
      </c>
      <c r="B740" s="426" t="s">
        <v>292</v>
      </c>
      <c r="C740" s="426">
        <v>186100</v>
      </c>
      <c r="D740" s="426" t="s">
        <v>1269</v>
      </c>
    </row>
    <row r="741" spans="1:8" x14ac:dyDescent="0.35">
      <c r="A741" s="280">
        <v>725</v>
      </c>
      <c r="B741" s="426" t="s">
        <v>292</v>
      </c>
      <c r="C741" s="426">
        <v>186200</v>
      </c>
      <c r="D741" s="426" t="s">
        <v>1270</v>
      </c>
    </row>
    <row r="742" spans="1:8" x14ac:dyDescent="0.35">
      <c r="A742" s="280">
        <v>725</v>
      </c>
      <c r="B742" s="426" t="s">
        <v>292</v>
      </c>
      <c r="C742" s="426">
        <v>186300</v>
      </c>
      <c r="D742" s="426" t="s">
        <v>1271</v>
      </c>
    </row>
    <row r="743" spans="1:8" x14ac:dyDescent="0.35">
      <c r="A743" s="280">
        <v>725</v>
      </c>
      <c r="B743" s="426" t="s">
        <v>292</v>
      </c>
      <c r="C743" s="426">
        <v>186310</v>
      </c>
      <c r="D743" s="426" t="s">
        <v>1272</v>
      </c>
    </row>
    <row r="744" spans="1:8" x14ac:dyDescent="0.35">
      <c r="A744" s="280">
        <v>725</v>
      </c>
      <c r="B744" s="426" t="s">
        <v>292</v>
      </c>
      <c r="C744" s="426">
        <v>186320</v>
      </c>
      <c r="D744" s="426" t="s">
        <v>1273</v>
      </c>
    </row>
    <row r="745" spans="1:8" x14ac:dyDescent="0.35">
      <c r="A745" s="280">
        <v>725</v>
      </c>
      <c r="B745" s="426" t="s">
        <v>292</v>
      </c>
      <c r="C745" s="426">
        <v>186510</v>
      </c>
      <c r="D745" s="426" t="s">
        <v>1274</v>
      </c>
    </row>
    <row r="746" spans="1:8" x14ac:dyDescent="0.35">
      <c r="A746" s="280">
        <v>725</v>
      </c>
      <c r="B746" s="426" t="s">
        <v>292</v>
      </c>
      <c r="C746" s="426">
        <v>186620</v>
      </c>
      <c r="D746" s="426" t="s">
        <v>1275</v>
      </c>
    </row>
    <row r="747" spans="1:8" x14ac:dyDescent="0.35">
      <c r="A747" s="280">
        <v>725</v>
      </c>
      <c r="B747" s="426" t="s">
        <v>292</v>
      </c>
      <c r="C747" s="426">
        <v>186630</v>
      </c>
      <c r="D747" s="426" t="s">
        <v>1276</v>
      </c>
    </row>
    <row r="748" spans="1:8" x14ac:dyDescent="0.35">
      <c r="A748" s="280">
        <v>725</v>
      </c>
      <c r="B748" s="426" t="s">
        <v>292</v>
      </c>
      <c r="C748" s="426">
        <v>186640</v>
      </c>
      <c r="D748" s="426" t="s">
        <v>1277</v>
      </c>
    </row>
    <row r="749" spans="1:8" x14ac:dyDescent="0.35">
      <c r="A749" s="280">
        <v>725</v>
      </c>
      <c r="B749" s="426" t="s">
        <v>292</v>
      </c>
      <c r="C749" s="426">
        <v>186680</v>
      </c>
      <c r="D749" s="426" t="s">
        <v>1278</v>
      </c>
    </row>
    <row r="750" spans="1:8" x14ac:dyDescent="0.35">
      <c r="A750" s="280">
        <v>725</v>
      </c>
      <c r="B750" s="426" t="s">
        <v>292</v>
      </c>
      <c r="C750" s="426">
        <v>186910</v>
      </c>
      <c r="D750" s="426" t="s">
        <v>1279</v>
      </c>
    </row>
    <row r="751" spans="1:8" x14ac:dyDescent="0.35">
      <c r="A751" s="280">
        <v>725</v>
      </c>
      <c r="B751" s="426" t="s">
        <v>292</v>
      </c>
      <c r="C751" s="426">
        <v>187100</v>
      </c>
      <c r="D751" s="426" t="s">
        <v>1280</v>
      </c>
    </row>
    <row r="752" spans="1:8" x14ac:dyDescent="0.35">
      <c r="A752" s="280">
        <v>725</v>
      </c>
      <c r="B752" s="426" t="s">
        <v>292</v>
      </c>
      <c r="C752" s="426">
        <v>187200</v>
      </c>
      <c r="D752" s="426" t="s">
        <v>1281</v>
      </c>
      <c r="H752" s="241"/>
    </row>
    <row r="753" spans="1:8" x14ac:dyDescent="0.35">
      <c r="A753" s="280">
        <v>725</v>
      </c>
      <c r="B753" s="426" t="s">
        <v>292</v>
      </c>
      <c r="C753" s="426">
        <v>187300</v>
      </c>
      <c r="D753" s="426" t="s">
        <v>1282</v>
      </c>
    </row>
    <row r="754" spans="1:8" x14ac:dyDescent="0.35">
      <c r="A754" s="280">
        <v>725</v>
      </c>
      <c r="B754" s="426" t="s">
        <v>292</v>
      </c>
      <c r="C754" s="426">
        <v>187310</v>
      </c>
      <c r="D754" s="426" t="s">
        <v>1283</v>
      </c>
    </row>
    <row r="755" spans="1:8" x14ac:dyDescent="0.35">
      <c r="A755" s="280">
        <v>725</v>
      </c>
      <c r="B755" s="426" t="s">
        <v>292</v>
      </c>
      <c r="C755" s="426">
        <v>187320</v>
      </c>
      <c r="D755" s="426" t="s">
        <v>1284</v>
      </c>
    </row>
    <row r="756" spans="1:8" x14ac:dyDescent="0.35">
      <c r="A756" s="280">
        <v>725</v>
      </c>
      <c r="B756" s="426" t="s">
        <v>292</v>
      </c>
      <c r="C756" s="426">
        <v>187510</v>
      </c>
      <c r="D756" s="426" t="s">
        <v>1285</v>
      </c>
    </row>
    <row r="757" spans="1:8" x14ac:dyDescent="0.35">
      <c r="A757" s="280">
        <v>725</v>
      </c>
      <c r="B757" s="426" t="s">
        <v>292</v>
      </c>
      <c r="C757" s="426">
        <v>187620</v>
      </c>
      <c r="D757" s="426" t="s">
        <v>1286</v>
      </c>
      <c r="H757" s="241"/>
    </row>
    <row r="758" spans="1:8" x14ac:dyDescent="0.35">
      <c r="A758" s="280">
        <v>725</v>
      </c>
      <c r="B758" s="426" t="s">
        <v>292</v>
      </c>
      <c r="C758" s="426">
        <v>187630</v>
      </c>
      <c r="D758" s="426" t="s">
        <v>1287</v>
      </c>
    </row>
    <row r="759" spans="1:8" x14ac:dyDescent="0.35">
      <c r="A759" s="280">
        <v>725</v>
      </c>
      <c r="B759" s="426" t="s">
        <v>292</v>
      </c>
      <c r="C759" s="426">
        <v>187640</v>
      </c>
      <c r="D759" s="426" t="s">
        <v>1288</v>
      </c>
    </row>
    <row r="760" spans="1:8" x14ac:dyDescent="0.35">
      <c r="A760" s="280">
        <v>725</v>
      </c>
      <c r="B760" s="426" t="s">
        <v>292</v>
      </c>
      <c r="C760" s="426">
        <v>187680</v>
      </c>
      <c r="D760" s="426" t="s">
        <v>1289</v>
      </c>
    </row>
    <row r="761" spans="1:8" x14ac:dyDescent="0.35">
      <c r="A761" s="280">
        <v>725</v>
      </c>
      <c r="B761" s="426" t="s">
        <v>292</v>
      </c>
      <c r="C761" s="426">
        <v>187910</v>
      </c>
      <c r="D761" s="426" t="s">
        <v>1290</v>
      </c>
    </row>
    <row r="762" spans="1:8" x14ac:dyDescent="0.35">
      <c r="A762" s="280">
        <v>725</v>
      </c>
      <c r="B762" s="426" t="s">
        <v>292</v>
      </c>
      <c r="C762" s="426">
        <v>188100</v>
      </c>
      <c r="D762" s="426" t="s">
        <v>1291</v>
      </c>
    </row>
    <row r="763" spans="1:8" x14ac:dyDescent="0.35">
      <c r="A763" s="280">
        <v>725</v>
      </c>
      <c r="B763" s="426" t="s">
        <v>292</v>
      </c>
      <c r="C763" s="426">
        <v>188200</v>
      </c>
      <c r="D763" s="426" t="s">
        <v>1292</v>
      </c>
    </row>
    <row r="764" spans="1:8" x14ac:dyDescent="0.35">
      <c r="A764" s="280">
        <v>725</v>
      </c>
      <c r="B764" s="426" t="s">
        <v>292</v>
      </c>
      <c r="C764" s="426">
        <v>188300</v>
      </c>
      <c r="D764" s="426" t="s">
        <v>1293</v>
      </c>
    </row>
    <row r="765" spans="1:8" x14ac:dyDescent="0.35">
      <c r="A765" s="280">
        <v>725</v>
      </c>
      <c r="B765" s="426" t="s">
        <v>292</v>
      </c>
      <c r="C765" s="426">
        <v>188310</v>
      </c>
      <c r="D765" s="426" t="s">
        <v>1294</v>
      </c>
      <c r="H765" s="241"/>
    </row>
    <row r="766" spans="1:8" x14ac:dyDescent="0.35">
      <c r="A766" s="280">
        <v>725</v>
      </c>
      <c r="B766" s="426" t="s">
        <v>292</v>
      </c>
      <c r="C766" s="426">
        <v>188320</v>
      </c>
      <c r="D766" s="426" t="s">
        <v>1295</v>
      </c>
    </row>
    <row r="767" spans="1:8" x14ac:dyDescent="0.35">
      <c r="A767" s="280">
        <v>725</v>
      </c>
      <c r="B767" s="426" t="s">
        <v>292</v>
      </c>
      <c r="C767" s="426">
        <v>188510</v>
      </c>
      <c r="D767" s="426" t="s">
        <v>1296</v>
      </c>
    </row>
    <row r="768" spans="1:8" x14ac:dyDescent="0.35">
      <c r="A768" s="280">
        <v>725</v>
      </c>
      <c r="B768" s="426" t="s">
        <v>292</v>
      </c>
      <c r="C768" s="426">
        <v>188620</v>
      </c>
      <c r="D768" s="426" t="s">
        <v>1297</v>
      </c>
    </row>
    <row r="769" spans="1:8" x14ac:dyDescent="0.35">
      <c r="A769" s="280">
        <v>725</v>
      </c>
      <c r="B769" s="426" t="s">
        <v>292</v>
      </c>
      <c r="C769" s="426">
        <v>188630</v>
      </c>
      <c r="D769" s="426" t="s">
        <v>1298</v>
      </c>
    </row>
    <row r="770" spans="1:8" x14ac:dyDescent="0.35">
      <c r="A770" s="280">
        <v>725</v>
      </c>
      <c r="B770" s="426" t="s">
        <v>292</v>
      </c>
      <c r="C770" s="426">
        <v>188640</v>
      </c>
      <c r="D770" s="426" t="s">
        <v>1299</v>
      </c>
    </row>
    <row r="771" spans="1:8" x14ac:dyDescent="0.35">
      <c r="A771" s="280">
        <v>725</v>
      </c>
      <c r="B771" s="426" t="s">
        <v>292</v>
      </c>
      <c r="C771" s="426">
        <v>188680</v>
      </c>
      <c r="D771" s="426" t="s">
        <v>1300</v>
      </c>
      <c r="H771" s="241"/>
    </row>
    <row r="772" spans="1:8" x14ac:dyDescent="0.35">
      <c r="A772" s="280">
        <v>725</v>
      </c>
      <c r="B772" s="426" t="s">
        <v>292</v>
      </c>
      <c r="C772" s="426">
        <v>188910</v>
      </c>
      <c r="D772" s="426" t="s">
        <v>1301</v>
      </c>
    </row>
    <row r="773" spans="1:8" x14ac:dyDescent="0.35">
      <c r="A773" s="280">
        <v>725</v>
      </c>
      <c r="B773" s="426" t="s">
        <v>292</v>
      </c>
      <c r="C773" s="426">
        <v>210100</v>
      </c>
      <c r="D773" s="426" t="s">
        <v>1302</v>
      </c>
    </row>
    <row r="774" spans="1:8" x14ac:dyDescent="0.35">
      <c r="A774" s="280">
        <v>725</v>
      </c>
      <c r="B774" s="426" t="s">
        <v>292</v>
      </c>
      <c r="C774" s="426">
        <v>210200</v>
      </c>
      <c r="D774" s="426" t="s">
        <v>1303</v>
      </c>
    </row>
    <row r="775" spans="1:8" x14ac:dyDescent="0.35">
      <c r="A775" s="280">
        <v>725</v>
      </c>
      <c r="B775" s="426" t="s">
        <v>292</v>
      </c>
      <c r="C775" s="426">
        <v>210300</v>
      </c>
      <c r="D775" s="426" t="s">
        <v>1304</v>
      </c>
    </row>
    <row r="776" spans="1:8" x14ac:dyDescent="0.35">
      <c r="A776" s="280">
        <v>725</v>
      </c>
      <c r="B776" s="426" t="s">
        <v>292</v>
      </c>
      <c r="C776" s="426">
        <v>210310</v>
      </c>
      <c r="D776" s="426" t="s">
        <v>1305</v>
      </c>
    </row>
    <row r="777" spans="1:8" x14ac:dyDescent="0.35">
      <c r="A777" s="280">
        <v>725</v>
      </c>
      <c r="B777" s="426" t="s">
        <v>292</v>
      </c>
      <c r="C777" s="426">
        <v>210320</v>
      </c>
      <c r="D777" s="426" t="s">
        <v>1306</v>
      </c>
    </row>
    <row r="778" spans="1:8" x14ac:dyDescent="0.35">
      <c r="A778" s="280">
        <v>725</v>
      </c>
      <c r="B778" s="426" t="s">
        <v>292</v>
      </c>
      <c r="C778" s="426">
        <v>210510</v>
      </c>
      <c r="D778" s="426" t="s">
        <v>1307</v>
      </c>
    </row>
    <row r="779" spans="1:8" x14ac:dyDescent="0.35">
      <c r="A779" s="280">
        <v>725</v>
      </c>
      <c r="B779" s="426" t="s">
        <v>292</v>
      </c>
      <c r="C779" s="426">
        <v>210650</v>
      </c>
      <c r="D779" s="426" t="s">
        <v>1308</v>
      </c>
    </row>
    <row r="780" spans="1:8" x14ac:dyDescent="0.35">
      <c r="A780" s="280">
        <v>725</v>
      </c>
      <c r="B780" s="426" t="s">
        <v>292</v>
      </c>
      <c r="C780" s="426">
        <v>210660</v>
      </c>
      <c r="D780" s="426" t="s">
        <v>1309</v>
      </c>
    </row>
    <row r="781" spans="1:8" x14ac:dyDescent="0.35">
      <c r="A781" s="280">
        <v>725</v>
      </c>
      <c r="B781" s="426" t="s">
        <v>292</v>
      </c>
      <c r="C781" s="426">
        <v>210670</v>
      </c>
      <c r="D781" s="426" t="s">
        <v>1310</v>
      </c>
    </row>
    <row r="782" spans="1:8" x14ac:dyDescent="0.35">
      <c r="A782" s="280">
        <v>725</v>
      </c>
      <c r="B782" s="426" t="s">
        <v>292</v>
      </c>
      <c r="C782" s="426">
        <v>210910</v>
      </c>
      <c r="D782" s="426" t="s">
        <v>1311</v>
      </c>
    </row>
    <row r="783" spans="1:8" x14ac:dyDescent="0.35">
      <c r="A783" s="280">
        <v>725</v>
      </c>
      <c r="B783" s="426" t="s">
        <v>292</v>
      </c>
      <c r="C783" s="426">
        <v>211100</v>
      </c>
      <c r="D783" s="426" t="s">
        <v>1312</v>
      </c>
    </row>
    <row r="784" spans="1:8" x14ac:dyDescent="0.35">
      <c r="A784" s="280">
        <v>725</v>
      </c>
      <c r="B784" s="426" t="s">
        <v>292</v>
      </c>
      <c r="C784" s="426">
        <v>211200</v>
      </c>
      <c r="D784" s="426" t="s">
        <v>1313</v>
      </c>
    </row>
    <row r="785" spans="1:4" x14ac:dyDescent="0.35">
      <c r="A785" s="280">
        <v>725</v>
      </c>
      <c r="B785" s="426" t="s">
        <v>292</v>
      </c>
      <c r="C785" s="426">
        <v>211300</v>
      </c>
      <c r="D785" s="426" t="s">
        <v>1314</v>
      </c>
    </row>
    <row r="786" spans="1:4" x14ac:dyDescent="0.35">
      <c r="A786" s="280">
        <v>725</v>
      </c>
      <c r="B786" s="426" t="s">
        <v>292</v>
      </c>
      <c r="C786" s="426">
        <v>211310</v>
      </c>
      <c r="D786" s="426" t="s">
        <v>1315</v>
      </c>
    </row>
    <row r="787" spans="1:4" x14ac:dyDescent="0.35">
      <c r="A787" s="280">
        <v>725</v>
      </c>
      <c r="B787" s="426" t="s">
        <v>292</v>
      </c>
      <c r="C787" s="426">
        <v>211320</v>
      </c>
      <c r="D787" s="426" t="s">
        <v>1316</v>
      </c>
    </row>
    <row r="788" spans="1:4" x14ac:dyDescent="0.35">
      <c r="A788" s="280">
        <v>725</v>
      </c>
      <c r="B788" s="426" t="s">
        <v>292</v>
      </c>
      <c r="C788" s="426">
        <v>211510</v>
      </c>
      <c r="D788" s="426" t="s">
        <v>1317</v>
      </c>
    </row>
    <row r="789" spans="1:4" x14ac:dyDescent="0.35">
      <c r="A789" s="280">
        <v>725</v>
      </c>
      <c r="B789" s="426" t="s">
        <v>292</v>
      </c>
      <c r="C789" s="426">
        <v>211650</v>
      </c>
      <c r="D789" s="426" t="s">
        <v>1318</v>
      </c>
    </row>
    <row r="790" spans="1:4" x14ac:dyDescent="0.35">
      <c r="A790" s="280">
        <v>725</v>
      </c>
      <c r="B790" s="426" t="s">
        <v>292</v>
      </c>
      <c r="C790" s="426">
        <v>211660</v>
      </c>
      <c r="D790" s="426" t="s">
        <v>1319</v>
      </c>
    </row>
    <row r="791" spans="1:4" x14ac:dyDescent="0.35">
      <c r="A791" s="280">
        <v>725</v>
      </c>
      <c r="B791" s="426" t="s">
        <v>292</v>
      </c>
      <c r="C791" s="426">
        <v>211670</v>
      </c>
      <c r="D791" s="426" t="s">
        <v>1320</v>
      </c>
    </row>
    <row r="792" spans="1:4" x14ac:dyDescent="0.35">
      <c r="A792" s="280">
        <v>725</v>
      </c>
      <c r="B792" s="426" t="s">
        <v>292</v>
      </c>
      <c r="C792" s="426">
        <v>211910</v>
      </c>
      <c r="D792" s="426" t="s">
        <v>1321</v>
      </c>
    </row>
    <row r="793" spans="1:4" x14ac:dyDescent="0.35">
      <c r="A793" s="280">
        <v>725</v>
      </c>
      <c r="B793" s="426" t="s">
        <v>292</v>
      </c>
      <c r="C793" s="426">
        <v>212100</v>
      </c>
      <c r="D793" s="426" t="s">
        <v>1322</v>
      </c>
    </row>
    <row r="794" spans="1:4" x14ac:dyDescent="0.35">
      <c r="A794" s="280">
        <v>725</v>
      </c>
      <c r="B794" s="426" t="s">
        <v>292</v>
      </c>
      <c r="C794" s="426">
        <v>212200</v>
      </c>
      <c r="D794" s="426" t="s">
        <v>1323</v>
      </c>
    </row>
    <row r="795" spans="1:4" x14ac:dyDescent="0.35">
      <c r="A795" s="280">
        <v>725</v>
      </c>
      <c r="B795" s="426" t="s">
        <v>292</v>
      </c>
      <c r="C795" s="426">
        <v>212300</v>
      </c>
      <c r="D795" s="426" t="s">
        <v>1324</v>
      </c>
    </row>
    <row r="796" spans="1:4" x14ac:dyDescent="0.35">
      <c r="A796" s="280">
        <v>725</v>
      </c>
      <c r="B796" s="426" t="s">
        <v>292</v>
      </c>
      <c r="C796" s="426">
        <v>212310</v>
      </c>
      <c r="D796" s="426" t="s">
        <v>1325</v>
      </c>
    </row>
    <row r="797" spans="1:4" x14ac:dyDescent="0.35">
      <c r="A797" s="280">
        <v>725</v>
      </c>
      <c r="B797" s="426" t="s">
        <v>292</v>
      </c>
      <c r="C797" s="426">
        <v>212320</v>
      </c>
      <c r="D797" s="426" t="s">
        <v>1326</v>
      </c>
    </row>
    <row r="798" spans="1:4" x14ac:dyDescent="0.35">
      <c r="A798" s="280">
        <v>725</v>
      </c>
      <c r="B798" s="426" t="s">
        <v>292</v>
      </c>
      <c r="C798" s="426">
        <v>212510</v>
      </c>
      <c r="D798" s="426" t="s">
        <v>1327</v>
      </c>
    </row>
    <row r="799" spans="1:4" x14ac:dyDescent="0.35">
      <c r="A799" s="280">
        <v>725</v>
      </c>
      <c r="B799" s="426" t="s">
        <v>292</v>
      </c>
      <c r="C799" s="426">
        <v>212650</v>
      </c>
      <c r="D799" s="426" t="s">
        <v>1328</v>
      </c>
    </row>
    <row r="800" spans="1:4" x14ac:dyDescent="0.35">
      <c r="A800" s="280">
        <v>725</v>
      </c>
      <c r="B800" s="426" t="s">
        <v>292</v>
      </c>
      <c r="C800" s="426">
        <v>212660</v>
      </c>
      <c r="D800" s="426" t="s">
        <v>1329</v>
      </c>
    </row>
    <row r="801" spans="1:4" x14ac:dyDescent="0.35">
      <c r="A801" s="280">
        <v>725</v>
      </c>
      <c r="B801" s="426" t="s">
        <v>292</v>
      </c>
      <c r="C801" s="426">
        <v>212670</v>
      </c>
      <c r="D801" s="426" t="s">
        <v>1330</v>
      </c>
    </row>
    <row r="802" spans="1:4" x14ac:dyDescent="0.35">
      <c r="A802" s="280">
        <v>725</v>
      </c>
      <c r="B802" s="426" t="s">
        <v>292</v>
      </c>
      <c r="C802" s="426">
        <v>212910</v>
      </c>
      <c r="D802" s="426" t="s">
        <v>1331</v>
      </c>
    </row>
    <row r="803" spans="1:4" x14ac:dyDescent="0.35">
      <c r="A803" s="280">
        <v>725</v>
      </c>
      <c r="B803" s="426" t="s">
        <v>292</v>
      </c>
      <c r="C803" s="426">
        <v>213100</v>
      </c>
      <c r="D803" s="426" t="s">
        <v>1332</v>
      </c>
    </row>
    <row r="804" spans="1:4" x14ac:dyDescent="0.35">
      <c r="A804" s="280">
        <v>725</v>
      </c>
      <c r="B804" s="426" t="s">
        <v>292</v>
      </c>
      <c r="C804" s="426">
        <v>213200</v>
      </c>
      <c r="D804" s="426" t="s">
        <v>1333</v>
      </c>
    </row>
    <row r="805" spans="1:4" x14ac:dyDescent="0.35">
      <c r="A805" s="280">
        <v>725</v>
      </c>
      <c r="B805" s="426" t="s">
        <v>292</v>
      </c>
      <c r="C805" s="426">
        <v>213300</v>
      </c>
      <c r="D805" s="426" t="s">
        <v>1334</v>
      </c>
    </row>
    <row r="806" spans="1:4" x14ac:dyDescent="0.35">
      <c r="A806" s="280">
        <v>725</v>
      </c>
      <c r="B806" s="426" t="s">
        <v>292</v>
      </c>
      <c r="C806" s="426">
        <v>213310</v>
      </c>
      <c r="D806" s="426" t="s">
        <v>1335</v>
      </c>
    </row>
    <row r="807" spans="1:4" x14ac:dyDescent="0.35">
      <c r="A807" s="280">
        <v>725</v>
      </c>
      <c r="B807" s="426" t="s">
        <v>292</v>
      </c>
      <c r="C807" s="426">
        <v>213320</v>
      </c>
      <c r="D807" s="426" t="s">
        <v>1336</v>
      </c>
    </row>
    <row r="808" spans="1:4" x14ac:dyDescent="0.35">
      <c r="A808" s="280">
        <v>725</v>
      </c>
      <c r="B808" s="426" t="s">
        <v>292</v>
      </c>
      <c r="C808" s="426">
        <v>213510</v>
      </c>
      <c r="D808" s="426" t="s">
        <v>1337</v>
      </c>
    </row>
    <row r="809" spans="1:4" x14ac:dyDescent="0.35">
      <c r="A809" s="280">
        <v>725</v>
      </c>
      <c r="B809" s="426" t="s">
        <v>292</v>
      </c>
      <c r="C809" s="426">
        <v>213650</v>
      </c>
      <c r="D809" s="426" t="s">
        <v>1338</v>
      </c>
    </row>
    <row r="810" spans="1:4" x14ac:dyDescent="0.35">
      <c r="A810" s="280">
        <v>725</v>
      </c>
      <c r="B810" s="426" t="s">
        <v>292</v>
      </c>
      <c r="C810" s="426">
        <v>213660</v>
      </c>
      <c r="D810" s="426" t="s">
        <v>1339</v>
      </c>
    </row>
    <row r="811" spans="1:4" x14ac:dyDescent="0.35">
      <c r="A811" s="280">
        <v>725</v>
      </c>
      <c r="B811" s="426" t="s">
        <v>292</v>
      </c>
      <c r="C811" s="426">
        <v>213670</v>
      </c>
      <c r="D811" s="426" t="s">
        <v>1340</v>
      </c>
    </row>
    <row r="812" spans="1:4" x14ac:dyDescent="0.35">
      <c r="A812" s="280">
        <v>725</v>
      </c>
      <c r="B812" s="426" t="s">
        <v>292</v>
      </c>
      <c r="C812" s="426">
        <v>213910</v>
      </c>
      <c r="D812" s="426" t="s">
        <v>1341</v>
      </c>
    </row>
    <row r="813" spans="1:4" x14ac:dyDescent="0.35">
      <c r="A813" s="280">
        <v>725</v>
      </c>
      <c r="B813" s="426" t="s">
        <v>292</v>
      </c>
      <c r="C813" s="426">
        <v>214100</v>
      </c>
      <c r="D813" s="426" t="s">
        <v>1342</v>
      </c>
    </row>
    <row r="814" spans="1:4" x14ac:dyDescent="0.35">
      <c r="A814" s="280">
        <v>725</v>
      </c>
      <c r="B814" s="426" t="s">
        <v>292</v>
      </c>
      <c r="C814" s="426">
        <v>214200</v>
      </c>
      <c r="D814" s="426" t="s">
        <v>1343</v>
      </c>
    </row>
    <row r="815" spans="1:4" x14ac:dyDescent="0.35">
      <c r="A815" s="280">
        <v>725</v>
      </c>
      <c r="B815" s="426" t="s">
        <v>292</v>
      </c>
      <c r="C815" s="426">
        <v>214300</v>
      </c>
      <c r="D815" s="426" t="s">
        <v>1344</v>
      </c>
    </row>
    <row r="816" spans="1:4" x14ac:dyDescent="0.35">
      <c r="A816" s="280">
        <v>725</v>
      </c>
      <c r="B816" s="426" t="s">
        <v>292</v>
      </c>
      <c r="C816" s="426">
        <v>214310</v>
      </c>
      <c r="D816" s="426" t="s">
        <v>1345</v>
      </c>
    </row>
    <row r="817" spans="1:4" x14ac:dyDescent="0.35">
      <c r="A817" s="280">
        <v>725</v>
      </c>
      <c r="B817" s="426" t="s">
        <v>292</v>
      </c>
      <c r="C817" s="426">
        <v>214320</v>
      </c>
      <c r="D817" s="426" t="s">
        <v>1346</v>
      </c>
    </row>
    <row r="818" spans="1:4" x14ac:dyDescent="0.35">
      <c r="A818" s="280">
        <v>725</v>
      </c>
      <c r="B818" s="426" t="s">
        <v>292</v>
      </c>
      <c r="C818" s="426">
        <v>214510</v>
      </c>
      <c r="D818" s="426" t="s">
        <v>1347</v>
      </c>
    </row>
    <row r="819" spans="1:4" x14ac:dyDescent="0.35">
      <c r="A819" s="280">
        <v>725</v>
      </c>
      <c r="B819" s="426" t="s">
        <v>292</v>
      </c>
      <c r="C819" s="426">
        <v>214650</v>
      </c>
      <c r="D819" s="426" t="s">
        <v>1348</v>
      </c>
    </row>
    <row r="820" spans="1:4" x14ac:dyDescent="0.35">
      <c r="A820" s="280">
        <v>725</v>
      </c>
      <c r="B820" s="426" t="s">
        <v>292</v>
      </c>
      <c r="C820" s="426">
        <v>214660</v>
      </c>
      <c r="D820" s="426" t="s">
        <v>1349</v>
      </c>
    </row>
    <row r="821" spans="1:4" x14ac:dyDescent="0.35">
      <c r="A821" s="280">
        <v>725</v>
      </c>
      <c r="B821" s="426" t="s">
        <v>292</v>
      </c>
      <c r="C821" s="426">
        <v>214670</v>
      </c>
      <c r="D821" s="426" t="s">
        <v>1350</v>
      </c>
    </row>
    <row r="822" spans="1:4" x14ac:dyDescent="0.35">
      <c r="A822" s="280">
        <v>725</v>
      </c>
      <c r="B822" s="426" t="s">
        <v>292</v>
      </c>
      <c r="C822" s="426">
        <v>214680</v>
      </c>
      <c r="D822" s="426" t="s">
        <v>1351</v>
      </c>
    </row>
    <row r="823" spans="1:4" x14ac:dyDescent="0.35">
      <c r="A823" s="280">
        <v>725</v>
      </c>
      <c r="B823" s="426" t="s">
        <v>292</v>
      </c>
      <c r="C823" s="426">
        <v>214910</v>
      </c>
      <c r="D823" s="426" t="s">
        <v>1352</v>
      </c>
    </row>
    <row r="824" spans="1:4" x14ac:dyDescent="0.35">
      <c r="A824" s="280">
        <v>725</v>
      </c>
      <c r="B824" s="426" t="s">
        <v>292</v>
      </c>
      <c r="C824" s="426">
        <v>215100</v>
      </c>
      <c r="D824" s="426" t="s">
        <v>1353</v>
      </c>
    </row>
    <row r="825" spans="1:4" x14ac:dyDescent="0.35">
      <c r="A825" s="280">
        <v>725</v>
      </c>
      <c r="B825" s="426" t="s">
        <v>292</v>
      </c>
      <c r="C825" s="426">
        <v>215200</v>
      </c>
      <c r="D825" s="426" t="s">
        <v>1354</v>
      </c>
    </row>
    <row r="826" spans="1:4" x14ac:dyDescent="0.35">
      <c r="A826" s="280">
        <v>725</v>
      </c>
      <c r="B826" s="426" t="s">
        <v>292</v>
      </c>
      <c r="C826" s="426">
        <v>215300</v>
      </c>
      <c r="D826" s="426" t="s">
        <v>1355</v>
      </c>
    </row>
    <row r="827" spans="1:4" x14ac:dyDescent="0.35">
      <c r="A827" s="280">
        <v>725</v>
      </c>
      <c r="B827" s="426" t="s">
        <v>292</v>
      </c>
      <c r="C827" s="426">
        <v>215310</v>
      </c>
      <c r="D827" s="426" t="s">
        <v>1356</v>
      </c>
    </row>
    <row r="828" spans="1:4" x14ac:dyDescent="0.35">
      <c r="A828" s="280">
        <v>725</v>
      </c>
      <c r="B828" s="426" t="s">
        <v>292</v>
      </c>
      <c r="C828" s="426">
        <v>215320</v>
      </c>
      <c r="D828" s="426" t="s">
        <v>1357</v>
      </c>
    </row>
    <row r="829" spans="1:4" x14ac:dyDescent="0.35">
      <c r="A829" s="280">
        <v>725</v>
      </c>
      <c r="B829" s="426" t="s">
        <v>292</v>
      </c>
      <c r="C829" s="426">
        <v>215510</v>
      </c>
      <c r="D829" s="426" t="s">
        <v>1358</v>
      </c>
    </row>
    <row r="830" spans="1:4" x14ac:dyDescent="0.35">
      <c r="A830" s="280">
        <v>725</v>
      </c>
      <c r="B830" s="426" t="s">
        <v>292</v>
      </c>
      <c r="C830" s="426">
        <v>215650</v>
      </c>
      <c r="D830" s="426" t="s">
        <v>1359</v>
      </c>
    </row>
    <row r="831" spans="1:4" x14ac:dyDescent="0.35">
      <c r="A831" s="280">
        <v>725</v>
      </c>
      <c r="B831" s="426" t="s">
        <v>292</v>
      </c>
      <c r="C831" s="426">
        <v>215660</v>
      </c>
      <c r="D831" s="426" t="s">
        <v>1360</v>
      </c>
    </row>
    <row r="832" spans="1:4" x14ac:dyDescent="0.35">
      <c r="A832" s="280">
        <v>725</v>
      </c>
      <c r="B832" s="426" t="s">
        <v>292</v>
      </c>
      <c r="C832" s="426">
        <v>215670</v>
      </c>
      <c r="D832" s="426" t="s">
        <v>1361</v>
      </c>
    </row>
    <row r="833" spans="1:4" x14ac:dyDescent="0.35">
      <c r="A833" s="280">
        <v>725</v>
      </c>
      <c r="B833" s="426" t="s">
        <v>292</v>
      </c>
      <c r="C833" s="426">
        <v>215680</v>
      </c>
      <c r="D833" s="426" t="s">
        <v>1362</v>
      </c>
    </row>
    <row r="834" spans="1:4" x14ac:dyDescent="0.35">
      <c r="A834" s="280">
        <v>725</v>
      </c>
      <c r="B834" s="426" t="s">
        <v>292</v>
      </c>
      <c r="C834" s="426">
        <v>215910</v>
      </c>
      <c r="D834" s="426" t="s">
        <v>1363</v>
      </c>
    </row>
    <row r="835" spans="1:4" x14ac:dyDescent="0.35">
      <c r="A835" s="280">
        <v>725</v>
      </c>
      <c r="B835" s="426" t="s">
        <v>292</v>
      </c>
      <c r="C835" s="426">
        <v>216100</v>
      </c>
      <c r="D835" s="426" t="s">
        <v>1364</v>
      </c>
    </row>
    <row r="836" spans="1:4" x14ac:dyDescent="0.35">
      <c r="A836" s="280">
        <v>725</v>
      </c>
      <c r="B836" s="426" t="s">
        <v>292</v>
      </c>
      <c r="C836" s="426">
        <v>216200</v>
      </c>
      <c r="D836" s="426" t="s">
        <v>1365</v>
      </c>
    </row>
    <row r="837" spans="1:4" x14ac:dyDescent="0.35">
      <c r="A837" s="280">
        <v>725</v>
      </c>
      <c r="B837" s="426" t="s">
        <v>292</v>
      </c>
      <c r="C837" s="426">
        <v>216300</v>
      </c>
      <c r="D837" s="426" t="s">
        <v>1366</v>
      </c>
    </row>
    <row r="838" spans="1:4" x14ac:dyDescent="0.35">
      <c r="A838" s="280">
        <v>725</v>
      </c>
      <c r="B838" s="426" t="s">
        <v>292</v>
      </c>
      <c r="C838" s="426">
        <v>216310</v>
      </c>
      <c r="D838" s="426" t="s">
        <v>1367</v>
      </c>
    </row>
    <row r="839" spans="1:4" x14ac:dyDescent="0.35">
      <c r="A839" s="280">
        <v>725</v>
      </c>
      <c r="B839" s="426" t="s">
        <v>292</v>
      </c>
      <c r="C839" s="426">
        <v>216320</v>
      </c>
      <c r="D839" s="426" t="s">
        <v>1368</v>
      </c>
    </row>
    <row r="840" spans="1:4" x14ac:dyDescent="0.35">
      <c r="A840" s="280">
        <v>725</v>
      </c>
      <c r="B840" s="426" t="s">
        <v>292</v>
      </c>
      <c r="C840" s="426">
        <v>216510</v>
      </c>
      <c r="D840" s="426" t="s">
        <v>1369</v>
      </c>
    </row>
    <row r="841" spans="1:4" x14ac:dyDescent="0.35">
      <c r="A841" s="280">
        <v>725</v>
      </c>
      <c r="B841" s="426" t="s">
        <v>292</v>
      </c>
      <c r="C841" s="426">
        <v>216650</v>
      </c>
      <c r="D841" s="426" t="s">
        <v>1370</v>
      </c>
    </row>
    <row r="842" spans="1:4" x14ac:dyDescent="0.35">
      <c r="A842" s="280">
        <v>725</v>
      </c>
      <c r="B842" s="426" t="s">
        <v>292</v>
      </c>
      <c r="C842" s="426">
        <v>216660</v>
      </c>
      <c r="D842" s="426" t="s">
        <v>1371</v>
      </c>
    </row>
    <row r="843" spans="1:4" x14ac:dyDescent="0.35">
      <c r="A843" s="280">
        <v>725</v>
      </c>
      <c r="B843" s="426" t="s">
        <v>292</v>
      </c>
      <c r="C843" s="426">
        <v>216670</v>
      </c>
      <c r="D843" s="426" t="s">
        <v>1372</v>
      </c>
    </row>
    <row r="844" spans="1:4" x14ac:dyDescent="0.35">
      <c r="A844" s="280">
        <v>725</v>
      </c>
      <c r="B844" s="426" t="s">
        <v>292</v>
      </c>
      <c r="C844" s="426">
        <v>216680</v>
      </c>
      <c r="D844" s="426" t="s">
        <v>1373</v>
      </c>
    </row>
    <row r="845" spans="1:4" x14ac:dyDescent="0.35">
      <c r="A845" s="280">
        <v>725</v>
      </c>
      <c r="B845" s="426" t="s">
        <v>292</v>
      </c>
      <c r="C845" s="426">
        <v>216910</v>
      </c>
      <c r="D845" s="426" t="s">
        <v>1374</v>
      </c>
    </row>
    <row r="846" spans="1:4" x14ac:dyDescent="0.35">
      <c r="A846" s="280">
        <v>725</v>
      </c>
      <c r="B846" s="426" t="s">
        <v>292</v>
      </c>
      <c r="C846" s="426">
        <v>217100</v>
      </c>
      <c r="D846" s="426" t="s">
        <v>1375</v>
      </c>
    </row>
    <row r="847" spans="1:4" x14ac:dyDescent="0.35">
      <c r="A847" s="280">
        <v>725</v>
      </c>
      <c r="B847" s="426" t="s">
        <v>292</v>
      </c>
      <c r="C847" s="426">
        <v>217200</v>
      </c>
      <c r="D847" s="426" t="s">
        <v>1376</v>
      </c>
    </row>
    <row r="848" spans="1:4" x14ac:dyDescent="0.35">
      <c r="A848" s="280">
        <v>725</v>
      </c>
      <c r="B848" s="426" t="s">
        <v>292</v>
      </c>
      <c r="C848" s="426">
        <v>217300</v>
      </c>
      <c r="D848" s="426" t="s">
        <v>1377</v>
      </c>
    </row>
    <row r="849" spans="1:4" x14ac:dyDescent="0.35">
      <c r="A849" s="280">
        <v>725</v>
      </c>
      <c r="B849" s="426" t="s">
        <v>292</v>
      </c>
      <c r="C849" s="426">
        <v>217310</v>
      </c>
      <c r="D849" s="426" t="s">
        <v>1378</v>
      </c>
    </row>
    <row r="850" spans="1:4" x14ac:dyDescent="0.35">
      <c r="A850" s="280">
        <v>725</v>
      </c>
      <c r="B850" s="426" t="s">
        <v>292</v>
      </c>
      <c r="C850" s="426">
        <v>217320</v>
      </c>
      <c r="D850" s="426" t="s">
        <v>1379</v>
      </c>
    </row>
    <row r="851" spans="1:4" x14ac:dyDescent="0.35">
      <c r="A851" s="280">
        <v>725</v>
      </c>
      <c r="B851" s="426" t="s">
        <v>292</v>
      </c>
      <c r="C851" s="426">
        <v>217510</v>
      </c>
      <c r="D851" s="426" t="s">
        <v>1380</v>
      </c>
    </row>
    <row r="852" spans="1:4" x14ac:dyDescent="0.35">
      <c r="A852" s="280">
        <v>725</v>
      </c>
      <c r="B852" s="426" t="s">
        <v>292</v>
      </c>
      <c r="C852" s="426">
        <v>217650</v>
      </c>
      <c r="D852" s="426" t="s">
        <v>1381</v>
      </c>
    </row>
    <row r="853" spans="1:4" x14ac:dyDescent="0.35">
      <c r="A853" s="280">
        <v>725</v>
      </c>
      <c r="B853" s="426" t="s">
        <v>292</v>
      </c>
      <c r="C853" s="426">
        <v>217660</v>
      </c>
      <c r="D853" s="426" t="s">
        <v>1382</v>
      </c>
    </row>
    <row r="854" spans="1:4" x14ac:dyDescent="0.35">
      <c r="A854" s="280">
        <v>725</v>
      </c>
      <c r="B854" s="426" t="s">
        <v>292</v>
      </c>
      <c r="C854" s="426">
        <v>217670</v>
      </c>
      <c r="D854" s="426" t="s">
        <v>1383</v>
      </c>
    </row>
    <row r="855" spans="1:4" x14ac:dyDescent="0.35">
      <c r="A855" s="280">
        <v>725</v>
      </c>
      <c r="B855" s="426" t="s">
        <v>292</v>
      </c>
      <c r="C855" s="426">
        <v>217680</v>
      </c>
      <c r="D855" s="426" t="s">
        <v>1384</v>
      </c>
    </row>
    <row r="856" spans="1:4" x14ac:dyDescent="0.35">
      <c r="A856" s="280">
        <v>725</v>
      </c>
      <c r="B856" s="426" t="s">
        <v>292</v>
      </c>
      <c r="C856" s="426">
        <v>217910</v>
      </c>
      <c r="D856" s="426" t="s">
        <v>1385</v>
      </c>
    </row>
    <row r="857" spans="1:4" x14ac:dyDescent="0.35">
      <c r="A857" s="280">
        <v>725</v>
      </c>
      <c r="B857" s="426" t="s">
        <v>292</v>
      </c>
      <c r="C857" s="426">
        <v>218100</v>
      </c>
      <c r="D857" s="426" t="s">
        <v>1386</v>
      </c>
    </row>
    <row r="858" spans="1:4" x14ac:dyDescent="0.35">
      <c r="A858" s="280">
        <v>725</v>
      </c>
      <c r="B858" s="426" t="s">
        <v>292</v>
      </c>
      <c r="C858" s="426">
        <v>218200</v>
      </c>
      <c r="D858" s="426" t="s">
        <v>1387</v>
      </c>
    </row>
    <row r="859" spans="1:4" x14ac:dyDescent="0.35">
      <c r="A859" s="280">
        <v>725</v>
      </c>
      <c r="B859" s="426" t="s">
        <v>292</v>
      </c>
      <c r="C859" s="426">
        <v>218300</v>
      </c>
      <c r="D859" s="426" t="s">
        <v>1388</v>
      </c>
    </row>
    <row r="860" spans="1:4" x14ac:dyDescent="0.35">
      <c r="A860" s="280">
        <v>725</v>
      </c>
      <c r="B860" s="426" t="s">
        <v>292</v>
      </c>
      <c r="C860" s="426">
        <v>218310</v>
      </c>
      <c r="D860" s="426" t="s">
        <v>1389</v>
      </c>
    </row>
    <row r="861" spans="1:4" x14ac:dyDescent="0.35">
      <c r="A861" s="280">
        <v>725</v>
      </c>
      <c r="B861" s="426" t="s">
        <v>292</v>
      </c>
      <c r="C861" s="426">
        <v>218320</v>
      </c>
      <c r="D861" s="426" t="s">
        <v>1390</v>
      </c>
    </row>
    <row r="862" spans="1:4" x14ac:dyDescent="0.35">
      <c r="A862" s="280">
        <v>725</v>
      </c>
      <c r="B862" s="426" t="s">
        <v>292</v>
      </c>
      <c r="C862" s="426">
        <v>218510</v>
      </c>
      <c r="D862" s="426" t="s">
        <v>1391</v>
      </c>
    </row>
    <row r="863" spans="1:4" x14ac:dyDescent="0.35">
      <c r="A863" s="280">
        <v>725</v>
      </c>
      <c r="B863" s="426" t="s">
        <v>292</v>
      </c>
      <c r="C863" s="426">
        <v>218650</v>
      </c>
      <c r="D863" s="426" t="s">
        <v>1392</v>
      </c>
    </row>
    <row r="864" spans="1:4" x14ac:dyDescent="0.35">
      <c r="A864" s="280">
        <v>725</v>
      </c>
      <c r="B864" s="426" t="s">
        <v>292</v>
      </c>
      <c r="C864" s="426">
        <v>218660</v>
      </c>
      <c r="D864" s="426" t="s">
        <v>1393</v>
      </c>
    </row>
    <row r="865" spans="1:4" x14ac:dyDescent="0.35">
      <c r="A865" s="280">
        <v>725</v>
      </c>
      <c r="B865" s="426" t="s">
        <v>292</v>
      </c>
      <c r="C865" s="426">
        <v>218670</v>
      </c>
      <c r="D865" s="426" t="s">
        <v>1394</v>
      </c>
    </row>
    <row r="866" spans="1:4" x14ac:dyDescent="0.35">
      <c r="A866" s="280">
        <v>725</v>
      </c>
      <c r="B866" s="426" t="s">
        <v>292</v>
      </c>
      <c r="C866" s="426">
        <v>218680</v>
      </c>
      <c r="D866" s="426" t="s">
        <v>1395</v>
      </c>
    </row>
    <row r="867" spans="1:4" x14ac:dyDescent="0.35">
      <c r="A867" s="280">
        <v>725</v>
      </c>
      <c r="B867" s="426" t="s">
        <v>292</v>
      </c>
      <c r="C867" s="426">
        <v>218910</v>
      </c>
      <c r="D867" s="426" t="s">
        <v>1396</v>
      </c>
    </row>
    <row r="868" spans="1:4" x14ac:dyDescent="0.35">
      <c r="A868" s="280">
        <v>730</v>
      </c>
      <c r="B868" s="426" t="s">
        <v>1397</v>
      </c>
      <c r="C868" s="426">
        <v>180500</v>
      </c>
      <c r="D868" s="426" t="s">
        <v>1398</v>
      </c>
    </row>
    <row r="869" spans="1:4" x14ac:dyDescent="0.35">
      <c r="A869" s="280">
        <v>730</v>
      </c>
      <c r="B869" s="426" t="s">
        <v>1397</v>
      </c>
      <c r="C869" s="426">
        <v>181500</v>
      </c>
      <c r="D869" s="426" t="s">
        <v>1399</v>
      </c>
    </row>
    <row r="870" spans="1:4" x14ac:dyDescent="0.35">
      <c r="A870" s="280">
        <v>730</v>
      </c>
      <c r="B870" s="426" t="s">
        <v>1397</v>
      </c>
      <c r="C870" s="426">
        <v>182500</v>
      </c>
      <c r="D870" s="426" t="s">
        <v>1400</v>
      </c>
    </row>
    <row r="871" spans="1:4" x14ac:dyDescent="0.35">
      <c r="A871" s="280">
        <v>730</v>
      </c>
      <c r="B871" s="426" t="s">
        <v>1397</v>
      </c>
      <c r="C871" s="426">
        <v>183500</v>
      </c>
      <c r="D871" s="426" t="s">
        <v>1401</v>
      </c>
    </row>
    <row r="872" spans="1:4" x14ac:dyDescent="0.35">
      <c r="A872" s="280">
        <v>730</v>
      </c>
      <c r="B872" s="426" t="s">
        <v>1397</v>
      </c>
      <c r="C872" s="426">
        <v>184500</v>
      </c>
      <c r="D872" s="426" t="s">
        <v>1402</v>
      </c>
    </row>
    <row r="873" spans="1:4" x14ac:dyDescent="0.35">
      <c r="A873" s="280">
        <v>730</v>
      </c>
      <c r="B873" s="426" t="s">
        <v>1397</v>
      </c>
      <c r="C873" s="426">
        <v>185500</v>
      </c>
      <c r="D873" s="426" t="s">
        <v>1403</v>
      </c>
    </row>
    <row r="874" spans="1:4" x14ac:dyDescent="0.35">
      <c r="A874" s="280">
        <v>730</v>
      </c>
      <c r="B874" s="426" t="s">
        <v>1397</v>
      </c>
      <c r="C874" s="426">
        <v>186500</v>
      </c>
      <c r="D874" s="426" t="s">
        <v>1404</v>
      </c>
    </row>
    <row r="875" spans="1:4" x14ac:dyDescent="0.35">
      <c r="A875" s="280">
        <v>730</v>
      </c>
      <c r="B875" s="426" t="s">
        <v>1397</v>
      </c>
      <c r="C875" s="426">
        <v>187500</v>
      </c>
      <c r="D875" s="426" t="s">
        <v>1405</v>
      </c>
    </row>
    <row r="876" spans="1:4" x14ac:dyDescent="0.35">
      <c r="A876" s="280">
        <v>730</v>
      </c>
      <c r="B876" s="426" t="s">
        <v>1397</v>
      </c>
      <c r="C876" s="426">
        <v>188500</v>
      </c>
      <c r="D876" s="426" t="s">
        <v>1406</v>
      </c>
    </row>
    <row r="877" spans="1:4" x14ac:dyDescent="0.35">
      <c r="A877" s="280">
        <v>730</v>
      </c>
      <c r="B877" s="426" t="s">
        <v>1397</v>
      </c>
      <c r="C877" s="426">
        <v>210500</v>
      </c>
      <c r="D877" s="426" t="s">
        <v>1407</v>
      </c>
    </row>
    <row r="878" spans="1:4" x14ac:dyDescent="0.35">
      <c r="A878" s="280">
        <v>730</v>
      </c>
      <c r="B878" s="426" t="s">
        <v>1397</v>
      </c>
      <c r="C878" s="426">
        <v>211500</v>
      </c>
      <c r="D878" s="426" t="s">
        <v>1408</v>
      </c>
    </row>
    <row r="879" spans="1:4" x14ac:dyDescent="0.35">
      <c r="A879" s="280">
        <v>730</v>
      </c>
      <c r="B879" s="426" t="s">
        <v>1397</v>
      </c>
      <c r="C879" s="426">
        <v>212500</v>
      </c>
      <c r="D879" s="426" t="s">
        <v>1409</v>
      </c>
    </row>
    <row r="880" spans="1:4" x14ac:dyDescent="0.35">
      <c r="A880" s="280">
        <v>730</v>
      </c>
      <c r="B880" s="426" t="s">
        <v>1397</v>
      </c>
      <c r="C880" s="426">
        <v>213500</v>
      </c>
      <c r="D880" s="426" t="s">
        <v>1410</v>
      </c>
    </row>
    <row r="881" spans="1:4" x14ac:dyDescent="0.35">
      <c r="A881" s="280">
        <v>730</v>
      </c>
      <c r="B881" s="426" t="s">
        <v>1397</v>
      </c>
      <c r="C881" s="426">
        <v>214500</v>
      </c>
      <c r="D881" s="426" t="s">
        <v>1411</v>
      </c>
    </row>
    <row r="882" spans="1:4" x14ac:dyDescent="0.35">
      <c r="A882" s="280">
        <v>730</v>
      </c>
      <c r="B882" s="426" t="s">
        <v>1397</v>
      </c>
      <c r="C882" s="426">
        <v>215500</v>
      </c>
      <c r="D882" s="426" t="s">
        <v>1412</v>
      </c>
    </row>
    <row r="883" spans="1:4" x14ac:dyDescent="0.35">
      <c r="A883" s="280">
        <v>730</v>
      </c>
      <c r="B883" s="426" t="s">
        <v>1397</v>
      </c>
      <c r="C883" s="426">
        <v>216500</v>
      </c>
      <c r="D883" s="426" t="s">
        <v>1413</v>
      </c>
    </row>
    <row r="884" spans="1:4" x14ac:dyDescent="0.35">
      <c r="A884" s="280">
        <v>730</v>
      </c>
      <c r="B884" s="426" t="s">
        <v>1397</v>
      </c>
      <c r="C884" s="426">
        <v>217500</v>
      </c>
      <c r="D884" s="426" t="s">
        <v>1414</v>
      </c>
    </row>
    <row r="885" spans="1:4" x14ac:dyDescent="0.35">
      <c r="A885" s="280">
        <v>730</v>
      </c>
      <c r="B885" s="426" t="s">
        <v>1397</v>
      </c>
      <c r="C885" s="426">
        <v>218500</v>
      </c>
      <c r="D885" s="426" t="s">
        <v>1415</v>
      </c>
    </row>
    <row r="886" spans="1:4" x14ac:dyDescent="0.35">
      <c r="A886" s="280">
        <v>736</v>
      </c>
      <c r="B886" s="426" t="s">
        <v>1416</v>
      </c>
      <c r="C886" s="426">
        <v>350150</v>
      </c>
      <c r="D886" s="426" t="s">
        <v>1417</v>
      </c>
    </row>
    <row r="887" spans="1:4" x14ac:dyDescent="0.35">
      <c r="A887" s="280">
        <v>736</v>
      </c>
      <c r="B887" s="426" t="s">
        <v>1416</v>
      </c>
      <c r="C887" s="426">
        <v>350200</v>
      </c>
      <c r="D887" s="426" t="s">
        <v>1418</v>
      </c>
    </row>
    <row r="888" spans="1:4" x14ac:dyDescent="0.35">
      <c r="A888" s="280">
        <v>736</v>
      </c>
      <c r="B888" s="426" t="s">
        <v>1416</v>
      </c>
      <c r="C888" s="426">
        <v>350250</v>
      </c>
      <c r="D888" s="426" t="s">
        <v>1419</v>
      </c>
    </row>
    <row r="889" spans="1:4" x14ac:dyDescent="0.35">
      <c r="A889" s="280">
        <v>736</v>
      </c>
      <c r="B889" s="426" t="s">
        <v>1416</v>
      </c>
      <c r="C889" s="426">
        <v>351150</v>
      </c>
      <c r="D889" s="426" t="s">
        <v>1420</v>
      </c>
    </row>
    <row r="890" spans="1:4" x14ac:dyDescent="0.35">
      <c r="A890" s="280">
        <v>736</v>
      </c>
      <c r="B890" s="426" t="s">
        <v>1416</v>
      </c>
      <c r="C890" s="426">
        <v>351200</v>
      </c>
      <c r="D890" s="426" t="s">
        <v>1421</v>
      </c>
    </row>
    <row r="891" spans="1:4" x14ac:dyDescent="0.35">
      <c r="A891" s="280">
        <v>736</v>
      </c>
      <c r="B891" s="426" t="s">
        <v>1416</v>
      </c>
      <c r="C891" s="426">
        <v>351250</v>
      </c>
      <c r="D891" s="426" t="s">
        <v>1422</v>
      </c>
    </row>
    <row r="892" spans="1:4" x14ac:dyDescent="0.35">
      <c r="A892" s="280">
        <v>737</v>
      </c>
      <c r="B892" s="426" t="s">
        <v>308</v>
      </c>
      <c r="C892" s="426">
        <v>350300</v>
      </c>
      <c r="D892" s="426" t="s">
        <v>1423</v>
      </c>
    </row>
    <row r="893" spans="1:4" x14ac:dyDescent="0.35">
      <c r="A893" s="280">
        <v>737</v>
      </c>
      <c r="B893" s="426" t="s">
        <v>308</v>
      </c>
      <c r="C893" s="426">
        <v>350400</v>
      </c>
      <c r="D893" s="426" t="s">
        <v>1424</v>
      </c>
    </row>
    <row r="894" spans="1:4" x14ac:dyDescent="0.35">
      <c r="A894" s="280">
        <v>737</v>
      </c>
      <c r="B894" s="426" t="s">
        <v>308</v>
      </c>
      <c r="C894" s="426">
        <v>351300</v>
      </c>
      <c r="D894" s="426" t="s">
        <v>1425</v>
      </c>
    </row>
    <row r="895" spans="1:4" x14ac:dyDescent="0.35">
      <c r="A895" s="280">
        <v>737</v>
      </c>
      <c r="B895" s="426" t="s">
        <v>308</v>
      </c>
      <c r="C895" s="426">
        <v>351400</v>
      </c>
      <c r="D895" s="426" t="s">
        <v>1426</v>
      </c>
    </row>
    <row r="896" spans="1:4" x14ac:dyDescent="0.35">
      <c r="A896" s="280">
        <v>738</v>
      </c>
      <c r="B896" s="426" t="s">
        <v>1427</v>
      </c>
      <c r="C896" s="426">
        <v>350350</v>
      </c>
      <c r="D896" s="426" t="s">
        <v>1428</v>
      </c>
    </row>
    <row r="897" spans="1:4" x14ac:dyDescent="0.35">
      <c r="A897" s="280">
        <v>738</v>
      </c>
      <c r="B897" s="426" t="s">
        <v>1427</v>
      </c>
      <c r="C897" s="426">
        <v>351350</v>
      </c>
      <c r="D897" s="426" t="s">
        <v>1429</v>
      </c>
    </row>
    <row r="898" spans="1:4" x14ac:dyDescent="0.35">
      <c r="A898" s="280">
        <v>780</v>
      </c>
      <c r="B898" s="426" t="s">
        <v>298</v>
      </c>
      <c r="C898" s="426">
        <v>330100</v>
      </c>
      <c r="D898" s="426" t="s">
        <v>1430</v>
      </c>
    </row>
    <row r="899" spans="1:4" x14ac:dyDescent="0.35">
      <c r="A899" s="280">
        <v>780</v>
      </c>
      <c r="B899" s="426" t="s">
        <v>298</v>
      </c>
      <c r="C899" s="426">
        <v>331100</v>
      </c>
      <c r="D899" s="426" t="s">
        <v>1431</v>
      </c>
    </row>
    <row r="900" spans="1:4" x14ac:dyDescent="0.35">
      <c r="A900" s="280">
        <v>780</v>
      </c>
      <c r="B900" s="426" t="s">
        <v>298</v>
      </c>
      <c r="C900" s="426">
        <v>335100</v>
      </c>
      <c r="D900" s="426" t="s">
        <v>1432</v>
      </c>
    </row>
    <row r="901" spans="1:4" x14ac:dyDescent="0.35">
      <c r="A901" s="280">
        <v>780</v>
      </c>
      <c r="B901" s="426" t="s">
        <v>298</v>
      </c>
      <c r="C901" s="426">
        <v>336100</v>
      </c>
      <c r="D901" s="426" t="s">
        <v>1433</v>
      </c>
    </row>
    <row r="902" spans="1:4" x14ac:dyDescent="0.35">
      <c r="A902" s="280">
        <v>780</v>
      </c>
      <c r="B902" s="426" t="s">
        <v>298</v>
      </c>
      <c r="C902" s="426">
        <v>340100</v>
      </c>
      <c r="D902" s="426" t="s">
        <v>1434</v>
      </c>
    </row>
    <row r="903" spans="1:4" x14ac:dyDescent="0.35">
      <c r="A903" s="280">
        <v>780</v>
      </c>
      <c r="B903" s="426" t="s">
        <v>298</v>
      </c>
      <c r="C903" s="426">
        <v>341100</v>
      </c>
      <c r="D903" s="426" t="s">
        <v>1435</v>
      </c>
    </row>
    <row r="904" spans="1:4" x14ac:dyDescent="0.35">
      <c r="A904" s="280">
        <v>785</v>
      </c>
      <c r="B904" s="426" t="s">
        <v>300</v>
      </c>
      <c r="C904" s="426">
        <v>330150</v>
      </c>
      <c r="D904" s="426" t="s">
        <v>1436</v>
      </c>
    </row>
    <row r="905" spans="1:4" x14ac:dyDescent="0.35">
      <c r="A905" s="280">
        <v>785</v>
      </c>
      <c r="B905" s="426" t="s">
        <v>300</v>
      </c>
      <c r="C905" s="426">
        <v>330200</v>
      </c>
      <c r="D905" s="426" t="s">
        <v>1437</v>
      </c>
    </row>
    <row r="906" spans="1:4" x14ac:dyDescent="0.35">
      <c r="A906" s="280">
        <v>785</v>
      </c>
      <c r="B906" s="426" t="s">
        <v>300</v>
      </c>
      <c r="C906" s="426">
        <v>330250</v>
      </c>
      <c r="D906" s="426" t="s">
        <v>1438</v>
      </c>
    </row>
    <row r="907" spans="1:4" x14ac:dyDescent="0.35">
      <c r="A907" s="280">
        <v>785</v>
      </c>
      <c r="B907" s="426" t="s">
        <v>300</v>
      </c>
      <c r="C907" s="426">
        <v>330300</v>
      </c>
      <c r="D907" s="426" t="s">
        <v>1439</v>
      </c>
    </row>
    <row r="908" spans="1:4" x14ac:dyDescent="0.35">
      <c r="A908" s="280">
        <v>785</v>
      </c>
      <c r="B908" s="426" t="s">
        <v>300</v>
      </c>
      <c r="C908" s="426">
        <v>330350</v>
      </c>
      <c r="D908" s="426" t="s">
        <v>1440</v>
      </c>
    </row>
    <row r="909" spans="1:4" x14ac:dyDescent="0.35">
      <c r="A909" s="280">
        <v>785</v>
      </c>
      <c r="B909" s="426" t="s">
        <v>300</v>
      </c>
      <c r="C909" s="426">
        <v>330400</v>
      </c>
      <c r="D909" s="426" t="s">
        <v>1441</v>
      </c>
    </row>
    <row r="910" spans="1:4" x14ac:dyDescent="0.35">
      <c r="A910" s="280">
        <v>785</v>
      </c>
      <c r="B910" s="426" t="s">
        <v>300</v>
      </c>
      <c r="C910" s="426">
        <v>331150</v>
      </c>
      <c r="D910" s="426" t="s">
        <v>1442</v>
      </c>
    </row>
    <row r="911" spans="1:4" x14ac:dyDescent="0.35">
      <c r="A911" s="280">
        <v>785</v>
      </c>
      <c r="B911" s="426" t="s">
        <v>300</v>
      </c>
      <c r="C911" s="426">
        <v>331200</v>
      </c>
      <c r="D911" s="426" t="s">
        <v>1443</v>
      </c>
    </row>
    <row r="912" spans="1:4" x14ac:dyDescent="0.35">
      <c r="A912" s="280">
        <v>785</v>
      </c>
      <c r="B912" s="426" t="s">
        <v>300</v>
      </c>
      <c r="C912" s="426">
        <v>331250</v>
      </c>
      <c r="D912" s="426" t="s">
        <v>1444</v>
      </c>
    </row>
    <row r="913" spans="1:4" x14ac:dyDescent="0.35">
      <c r="A913" s="280">
        <v>785</v>
      </c>
      <c r="B913" s="426" t="s">
        <v>300</v>
      </c>
      <c r="C913" s="426">
        <v>331300</v>
      </c>
      <c r="D913" s="426" t="s">
        <v>1445</v>
      </c>
    </row>
    <row r="914" spans="1:4" x14ac:dyDescent="0.35">
      <c r="A914" s="280">
        <v>785</v>
      </c>
      <c r="B914" s="426" t="s">
        <v>300</v>
      </c>
      <c r="C914" s="426">
        <v>331350</v>
      </c>
      <c r="D914" s="426" t="s">
        <v>1446</v>
      </c>
    </row>
    <row r="915" spans="1:4" x14ac:dyDescent="0.35">
      <c r="A915" s="280">
        <v>785</v>
      </c>
      <c r="B915" s="426" t="s">
        <v>300</v>
      </c>
      <c r="C915" s="426">
        <v>331400</v>
      </c>
      <c r="D915" s="426" t="s">
        <v>1447</v>
      </c>
    </row>
    <row r="916" spans="1:4" x14ac:dyDescent="0.35">
      <c r="A916" s="280">
        <v>785</v>
      </c>
      <c r="B916" s="426" t="s">
        <v>300</v>
      </c>
      <c r="C916" s="426">
        <v>335150</v>
      </c>
      <c r="D916" s="426" t="s">
        <v>1448</v>
      </c>
    </row>
    <row r="917" spans="1:4" x14ac:dyDescent="0.35">
      <c r="A917" s="280">
        <v>785</v>
      </c>
      <c r="B917" s="426" t="s">
        <v>300</v>
      </c>
      <c r="C917" s="426">
        <v>335200</v>
      </c>
      <c r="D917" s="426" t="s">
        <v>1449</v>
      </c>
    </row>
    <row r="918" spans="1:4" x14ac:dyDescent="0.35">
      <c r="A918" s="280">
        <v>785</v>
      </c>
      <c r="B918" s="426" t="s">
        <v>300</v>
      </c>
      <c r="C918" s="426">
        <v>335250</v>
      </c>
      <c r="D918" s="426" t="s">
        <v>1450</v>
      </c>
    </row>
    <row r="919" spans="1:4" x14ac:dyDescent="0.35">
      <c r="A919" s="280">
        <v>785</v>
      </c>
      <c r="B919" s="426" t="s">
        <v>300</v>
      </c>
      <c r="C919" s="426">
        <v>335300</v>
      </c>
      <c r="D919" s="426" t="s">
        <v>1451</v>
      </c>
    </row>
    <row r="920" spans="1:4" x14ac:dyDescent="0.35">
      <c r="A920" s="280">
        <v>785</v>
      </c>
      <c r="B920" s="426" t="s">
        <v>300</v>
      </c>
      <c r="C920" s="426">
        <v>335350</v>
      </c>
      <c r="D920" s="426" t="s">
        <v>1452</v>
      </c>
    </row>
    <row r="921" spans="1:4" x14ac:dyDescent="0.35">
      <c r="A921" s="280">
        <v>785</v>
      </c>
      <c r="B921" s="426" t="s">
        <v>300</v>
      </c>
      <c r="C921" s="426">
        <v>335400</v>
      </c>
      <c r="D921" s="426" t="s">
        <v>1453</v>
      </c>
    </row>
    <row r="922" spans="1:4" x14ac:dyDescent="0.35">
      <c r="A922" s="280">
        <v>785</v>
      </c>
      <c r="B922" s="426" t="s">
        <v>300</v>
      </c>
      <c r="C922" s="426">
        <v>336150</v>
      </c>
      <c r="D922" s="426" t="s">
        <v>1454</v>
      </c>
    </row>
    <row r="923" spans="1:4" x14ac:dyDescent="0.35">
      <c r="A923" s="280">
        <v>785</v>
      </c>
      <c r="B923" s="426" t="s">
        <v>300</v>
      </c>
      <c r="C923" s="426">
        <v>336200</v>
      </c>
      <c r="D923" s="426" t="s">
        <v>1455</v>
      </c>
    </row>
    <row r="924" spans="1:4" x14ac:dyDescent="0.35">
      <c r="A924" s="280">
        <v>785</v>
      </c>
      <c r="B924" s="426" t="s">
        <v>300</v>
      </c>
      <c r="C924" s="426">
        <v>336250</v>
      </c>
      <c r="D924" s="426" t="s">
        <v>1456</v>
      </c>
    </row>
    <row r="925" spans="1:4" x14ac:dyDescent="0.35">
      <c r="A925" s="280">
        <v>785</v>
      </c>
      <c r="B925" s="426" t="s">
        <v>300</v>
      </c>
      <c r="C925" s="426">
        <v>336300</v>
      </c>
      <c r="D925" s="426" t="s">
        <v>1457</v>
      </c>
    </row>
    <row r="926" spans="1:4" x14ac:dyDescent="0.35">
      <c r="A926" s="280">
        <v>785</v>
      </c>
      <c r="B926" s="426" t="s">
        <v>300</v>
      </c>
      <c r="C926" s="426">
        <v>336350</v>
      </c>
      <c r="D926" s="426" t="s">
        <v>1458</v>
      </c>
    </row>
    <row r="927" spans="1:4" x14ac:dyDescent="0.35">
      <c r="A927" s="280">
        <v>785</v>
      </c>
      <c r="B927" s="426" t="s">
        <v>300</v>
      </c>
      <c r="C927" s="426">
        <v>336400</v>
      </c>
      <c r="D927" s="426" t="s">
        <v>1459</v>
      </c>
    </row>
    <row r="928" spans="1:4" x14ac:dyDescent="0.35">
      <c r="A928" s="280">
        <v>785</v>
      </c>
      <c r="B928" s="426" t="s">
        <v>300</v>
      </c>
      <c r="C928" s="426">
        <v>340150</v>
      </c>
      <c r="D928" s="426" t="s">
        <v>1460</v>
      </c>
    </row>
    <row r="929" spans="1:4" x14ac:dyDescent="0.35">
      <c r="A929" s="280">
        <v>785</v>
      </c>
      <c r="B929" s="426" t="s">
        <v>300</v>
      </c>
      <c r="C929" s="426">
        <v>340200</v>
      </c>
      <c r="D929" s="426" t="s">
        <v>1461</v>
      </c>
    </row>
    <row r="930" spans="1:4" x14ac:dyDescent="0.35">
      <c r="A930" s="280">
        <v>785</v>
      </c>
      <c r="B930" s="426" t="s">
        <v>300</v>
      </c>
      <c r="C930" s="426">
        <v>340250</v>
      </c>
      <c r="D930" s="426" t="s">
        <v>1462</v>
      </c>
    </row>
    <row r="931" spans="1:4" x14ac:dyDescent="0.35">
      <c r="A931" s="280">
        <v>785</v>
      </c>
      <c r="B931" s="426" t="s">
        <v>300</v>
      </c>
      <c r="C931" s="426">
        <v>340300</v>
      </c>
      <c r="D931" s="426" t="s">
        <v>1463</v>
      </c>
    </row>
    <row r="932" spans="1:4" x14ac:dyDescent="0.35">
      <c r="A932" s="280">
        <v>785</v>
      </c>
      <c r="B932" s="426" t="s">
        <v>300</v>
      </c>
      <c r="C932" s="426">
        <v>340350</v>
      </c>
      <c r="D932" s="426" t="s">
        <v>1464</v>
      </c>
    </row>
    <row r="933" spans="1:4" x14ac:dyDescent="0.35">
      <c r="A933" s="280">
        <v>785</v>
      </c>
      <c r="B933" s="426" t="s">
        <v>300</v>
      </c>
      <c r="C933" s="426">
        <v>340400</v>
      </c>
      <c r="D933" s="426" t="s">
        <v>1465</v>
      </c>
    </row>
    <row r="934" spans="1:4" x14ac:dyDescent="0.35">
      <c r="A934" s="280">
        <v>785</v>
      </c>
      <c r="B934" s="426" t="s">
        <v>300</v>
      </c>
      <c r="C934" s="426">
        <v>341150</v>
      </c>
      <c r="D934" s="426" t="s">
        <v>1466</v>
      </c>
    </row>
    <row r="935" spans="1:4" s="245" customFormat="1" x14ac:dyDescent="0.35">
      <c r="A935" s="280">
        <v>785</v>
      </c>
      <c r="B935" s="427" t="s">
        <v>300</v>
      </c>
      <c r="C935" s="427">
        <v>341200</v>
      </c>
      <c r="D935" s="427" t="s">
        <v>1467</v>
      </c>
    </row>
    <row r="936" spans="1:4" s="245" customFormat="1" x14ac:dyDescent="0.35">
      <c r="A936" s="280">
        <v>785</v>
      </c>
      <c r="B936" s="427" t="s">
        <v>300</v>
      </c>
      <c r="C936" s="427">
        <v>341250</v>
      </c>
      <c r="D936" s="427" t="s">
        <v>1468</v>
      </c>
    </row>
    <row r="937" spans="1:4" s="245" customFormat="1" x14ac:dyDescent="0.35">
      <c r="A937" s="280">
        <v>785</v>
      </c>
      <c r="B937" s="427" t="s">
        <v>300</v>
      </c>
      <c r="C937" s="427">
        <v>341300</v>
      </c>
      <c r="D937" s="427" t="s">
        <v>1469</v>
      </c>
    </row>
    <row r="938" spans="1:4" s="245" customFormat="1" x14ac:dyDescent="0.35">
      <c r="A938" s="280">
        <v>785</v>
      </c>
      <c r="B938" s="427" t="s">
        <v>300</v>
      </c>
      <c r="C938" s="427">
        <v>341350</v>
      </c>
      <c r="D938" s="427" t="s">
        <v>1470</v>
      </c>
    </row>
    <row r="939" spans="1:4" s="245" customFormat="1" x14ac:dyDescent="0.35">
      <c r="A939" s="280">
        <v>785</v>
      </c>
      <c r="B939" s="427" t="s">
        <v>300</v>
      </c>
      <c r="C939" s="427">
        <v>341400</v>
      </c>
      <c r="D939" s="427" t="s">
        <v>1471</v>
      </c>
    </row>
    <row r="940" spans="1:4" s="245" customFormat="1" ht="45" customHeight="1" x14ac:dyDescent="0.35">
      <c r="A940" s="299" t="s">
        <v>0</v>
      </c>
      <c r="B940" s="423"/>
      <c r="C940" s="320"/>
      <c r="D940" s="423"/>
    </row>
  </sheetData>
  <sheetProtection algorithmName="SHA-512" hashValue="TvJlnezAbLDUTl/a0fP8fOPUp8tZraTPfWtptFyLqOT1Y8uAGqn7VKPeQATpyi7dmEKQjJRsCS1Y4WQJgEPwvg==" saltValue="o35kzjgIgFYpJSrEXb3xdg==" spinCount="100000" sheet="1" objects="1" scenarios="1"/>
  <autoFilter ref="A4:H940" xr:uid="{9CCA07AF-5615-4E18-A159-350B05313133}"/>
  <hyperlinks>
    <hyperlink ref="B1" location="Index!A1" display="Index page" xr:uid="{D15D429F-37F2-4E37-9324-1DB3FE3CE021}"/>
    <hyperlink ref="A940" location="Index!A1" display="Index page" xr:uid="{071F7F4A-B5F5-4CC2-8419-C59C74DEFA36}"/>
    <hyperlink ref="A904:A939" location="'BFR 2026'!C176" display="'BFR 2026'!C176" xr:uid="{90988071-B92F-4F5B-A602-F2A5C5185E63}"/>
    <hyperlink ref="A898:A903" location="'BFR 2026'!C174" display="'BFR 2026'!C174" xr:uid="{644E8F9D-0535-40C9-A9DA-4E4FCCFB61D4}"/>
    <hyperlink ref="A896:A897" location="'BFR 2026'!C184" display="'BFR 2026'!C184" xr:uid="{D3CEDF55-63C3-43FC-8AF7-09930914B908}"/>
    <hyperlink ref="A892:A895" location="'BFR 2026'!C183" display="'BFR 2026'!C183" xr:uid="{1BAEDE3B-1B18-4079-BF90-0CAEE36A80F0}"/>
    <hyperlink ref="A886:A891" location="'BFR 2026'!C182" display="'BFR 2026'!C182" xr:uid="{D9192973-BC15-4475-9768-4E992D33AD4C}"/>
    <hyperlink ref="A868:A885" location="'BFR 2026'!C169" display="'BFR 2026'!C169" xr:uid="{52C4DAA8-1540-47FF-B9EA-AA7360383D48}"/>
    <hyperlink ref="A867" location="'BFR 2026'!C167" display="'BFR 2026'!C167" xr:uid="{F4CECE87-17AD-4437-AB41-62BAEC3B9731}"/>
    <hyperlink ref="A669:A676" location="'BFR 2026'!C190" display="'BFR 2026'!C190" xr:uid="{69102C66-5EEB-4B55-86A4-D472D3217248}"/>
    <hyperlink ref="A666:A668" location="'BFR 2026'!C188" display="'BFR 2026'!C188" xr:uid="{C3285598-9D4D-4131-8821-F17DA5473280}"/>
    <hyperlink ref="A662:A665" location="'BFR 2026'!C162" display="'BFR 2026'!C162" xr:uid="{5B6831EC-2CA1-4379-B2F3-FB7D7029FDD5}"/>
    <hyperlink ref="A656:A661" location="'BFR 2026'!C161" display="'BFR 2026'!C161" xr:uid="{84B6C37C-5FDD-4A2F-A8E8-FC6991DA2C93}"/>
    <hyperlink ref="A655" location="'BFR 2026'!C157" display="'BFR 2026'!C157" xr:uid="{9E275AF5-7F06-4F94-B8D5-2E2F089EC2F9}"/>
    <hyperlink ref="A652:A654" location="'BFR 2026'!C156" display="'BFR 2026'!C156" xr:uid="{1DAF48EE-9158-4DFB-8105-F83FC8361BD6}"/>
    <hyperlink ref="A619:A651" location="'BFR 2026'!C151" display="'BFR 2026'!C151" xr:uid="{03FAF344-7C48-4F63-8CA0-F246706A42A3}"/>
    <hyperlink ref="A609:A613" location="'BFR 2026'!C132" display="'BFR 2026'!C132" xr:uid="{088B807B-569E-4A09-931B-DDF3666BF7C7}"/>
    <hyperlink ref="A600:A608" location="'BFR 2026'!C131" display="'BFR 2026'!C131" xr:uid="{78DA392F-A417-4893-A362-8945E8AB405D}"/>
    <hyperlink ref="A595:A599" location="'BFR 2026'!C125" display="'BFR 2026'!C125" xr:uid="{CF0E7402-A3CB-489E-8801-8BD3917D146A}"/>
    <hyperlink ref="A590:A594" location="'BFR 2026'!C124" display="'BFR 2026'!C124" xr:uid="{7EAF17D2-27F8-4464-BEAD-1B48A36A2A6A}"/>
    <hyperlink ref="A580:A589" location="'BFR 2026'!C134" display="'BFR 2026'!C134" xr:uid="{E58F5BC6-CEA7-41D1-B261-945F460156B0}"/>
    <hyperlink ref="A574:A579" location="'BFR 2026'!C123" display="'BFR 2026'!C123" xr:uid="{B684A968-3CCD-4CE8-910C-E4DA91F1245C}"/>
    <hyperlink ref="A569:A573" location="'BFR 2026'!C122" display="'BFR 2026'!C122" xr:uid="{5102ABFE-8B6C-40AD-AD55-D1D42571EDB1}"/>
    <hyperlink ref="A546:A568" location="'BFR 2026'!C112" display="'BFR 2026'!C112" xr:uid="{56D76221-3053-4AC6-BD37-B27F066975C9}"/>
    <hyperlink ref="A536:A545" location="'BFR 2026'!C111" display="'BFR 2026'!C111" xr:uid="{9499964D-5611-44AD-B743-9E64649FF191}"/>
    <hyperlink ref="A535" location="'BFR 2026'!C107" display="'BFR 2026'!C107" xr:uid="{2F3E0CAF-D556-4B6A-A731-ADC4ED682CC8}"/>
    <hyperlink ref="A490:A534" location="'BFR 2026'!C150" display="'BFR 2026'!C150" xr:uid="{C2FC593C-C3A9-4F97-81E8-B258BC2F1A72}"/>
    <hyperlink ref="A478:A489" location="'BFR 2026'!C149" display="'BFR 2026'!C149" xr:uid="{F3AEF3C4-B57C-467C-B61E-86D156534D0E}"/>
    <hyperlink ref="A476:A477" location="'BFR 2026'!C105" display="'BFR 2026'!C105" xr:uid="{17FD9139-5588-4BCB-82BA-DFD0B6E2361F}"/>
    <hyperlink ref="A469:A475" location="'BFR 2026'!C104" display="'BFR 2026'!C104" xr:uid="{A4A47EB0-D3D3-4463-819F-1B533839C64F}"/>
    <hyperlink ref="A467:A468" location="'BFR 2026'!C103" display="'BFR 2026'!C103" xr:uid="{EA006D57-DDC7-4832-8B1D-5BD12731ADC2}"/>
    <hyperlink ref="A461:A466" location="'BFR 2026'!C99" display="'BFR 2026'!C99" xr:uid="{973686D2-5E38-4040-BA84-C18E49C35C38}"/>
    <hyperlink ref="A452:A458" location="'BFR 2026'!C98" display="'BFR 2026'!C98" xr:uid="{4696680E-35AF-4650-ABB2-DCBD148FCB3B}"/>
    <hyperlink ref="A449:A451" location="'BFR 2026'!C97" display="'BFR 2026'!C97" xr:uid="{85EC9179-34AF-4519-8AFE-C7F6B8A729CB}"/>
    <hyperlink ref="A262:A439" location="'BFR 2026'!C64" display="'BFR 2026'!C64" xr:uid="{A7924969-0780-4E6E-9BAF-1F57A75AC31D}"/>
    <hyperlink ref="A261" location="'BFR 2026'!C72" display="'BFR 2026'!C72" xr:uid="{B857B644-89C5-465D-9F1E-F10F4B7431B7}"/>
    <hyperlink ref="A254:A260" location="'BFR 2026'!C62" display="'BFR 2026'!C62" xr:uid="{A7CF9C70-9124-4BF4-BA95-279E96D13389}"/>
    <hyperlink ref="A249:A253" location="'BFR 2026'!C61" display="'BFR 2026'!C61" xr:uid="{338AF027-DEFC-41CF-90E2-396378F928E8}"/>
    <hyperlink ref="A246:A248" location="'BFR 2026'!C60" display="'BFR 2026'!C60" xr:uid="{19913160-9B59-4292-B44F-67698F822462}"/>
    <hyperlink ref="A243:A245" location="'BFR 2026'!C59" display="'BFR 2026'!C59" xr:uid="{9C24213D-7A14-4BB1-9B8C-917CE44575F7}"/>
    <hyperlink ref="A242" location="'BFR 2026'!C58" display="'BFR 2026'!C58" xr:uid="{938041FD-C0D4-4920-8522-2D83ED0197EF}"/>
    <hyperlink ref="A239:A241" location="'BFR 2026'!C57" display="'BFR 2026'!C57" xr:uid="{64FD0EB8-96F2-4672-BB8C-04B13903BCA3}"/>
    <hyperlink ref="A236:A238" location="'BFR 2026'!C56" display="'BFR 2026'!C56" xr:uid="{803E1F83-02A3-45CB-9B4B-F3DCEB212915}"/>
    <hyperlink ref="A194:A234" location="'BFR 2026'!C63" display="'BFR 2026'!C63" xr:uid="{6196B622-DB59-4D66-A394-99E0D90F2398}"/>
    <hyperlink ref="A192:A193" location="'BFR 2026'!C52" display="'BFR 2026'!C52" xr:uid="{725E35ED-CF3D-4BC3-BC1F-F875E12233FF}"/>
    <hyperlink ref="A172:A191" location="'BFR 2026'!C52" display="'BFR 2026'!C52" xr:uid="{8FEA87FC-CD65-4727-AA26-C64B26164E0A}"/>
    <hyperlink ref="A168:A171" location="'BFR 2026'!C51" display="'BFR 2026'!C51" xr:uid="{B22CCCE2-263B-47F6-B121-3191D24234CA}"/>
    <hyperlink ref="A140:A167" location="'BFR 2026'!C50" display="'BFR 2026'!C50" xr:uid="{C6E4DDCC-8BBA-4720-95ED-78A2B35E1730}"/>
    <hyperlink ref="A80:A137" location="'BFR 2026'!C49" display="'BFR 2026'!C49" xr:uid="{6CF07293-DAC0-4644-9770-6D65E30A5BDA}"/>
    <hyperlink ref="A78:A79" location="'BFR 2026'!C44" display="'BFR 2026'!C44" xr:uid="{C4A0EB85-F061-4AF5-8C3B-AF3305D9FD2F}"/>
    <hyperlink ref="A62:A77" location="'BFR 2026'!C37" display="'BFR 2026'!C37" xr:uid="{077FD0FD-8C56-40B3-9309-C9D1A81329AD}"/>
    <hyperlink ref="A61" location="'BFR 2026'!C41" display="'BFR 2026'!C41" xr:uid="{358F9BC3-6D0B-402B-AAC1-44DD57680CE3}"/>
    <hyperlink ref="A60" location="'BFR 2026'!C41" display="'BFR 2026'!C41" xr:uid="{ECD2FF1D-952F-48FD-9AA2-5A919F4EFC15}"/>
    <hyperlink ref="A59" location="'BFR 2026'!C36" display="'BFR 2026'!C36" xr:uid="{0EE272DA-484C-4924-9CE9-D2D14A8E714E}"/>
    <hyperlink ref="A58" location="'BFR 2026'!C40" display="'BFR 2026'!C40" xr:uid="{ED65BE56-8CE8-4AAC-9B5F-5654A768A125}"/>
    <hyperlink ref="A57" location="'BFR 2026'!C40" display="'BFR 2026'!C40" xr:uid="{A5CB8501-6743-47E3-8B27-4BDDFF94D838}"/>
    <hyperlink ref="A56" location="'BFR 2026'!C35" display="'BFR 2026'!C35" xr:uid="{942AD8A9-5AF0-4A12-B600-C718E6E572E4}"/>
    <hyperlink ref="A55" location="'BFR 2026'!C35" display="'BFR 2026'!C35" xr:uid="{FB2716D9-1E07-420D-BE53-649AA8617D70}"/>
    <hyperlink ref="A54" location="'BFR 2026'!C35" display="'BFR 2026'!C35" xr:uid="{A046CC9D-C726-41CB-AFA5-D5C9B24C1002}"/>
    <hyperlink ref="A53" location="'BFR 2026'!C35" display="'BFR 2026'!C35" xr:uid="{9E18CE5C-A652-4836-8354-B3780AC3B2F2}"/>
    <hyperlink ref="A52" location="'BFR 2026'!C35" display="'BFR 2026'!C35" xr:uid="{43F1CEF5-E9E7-4F74-9663-5F56C26FAC70}"/>
    <hyperlink ref="A51" location="'BFR 2026'!C35" display="'BFR 2026'!C35" xr:uid="{14403F69-97E9-4F26-9AD3-96E84B9C1A58}"/>
    <hyperlink ref="A50" location="'BFR 2026'!C35" display="'BFR 2026'!C35" xr:uid="{ABA95C50-08EF-4030-BFC5-334C2D47962B}"/>
    <hyperlink ref="A49" location="'BFR 2026'!C35" display="'BFR 2026'!C35" xr:uid="{4E2C7B4B-52FF-4EAE-92B8-001F25E45812}"/>
    <hyperlink ref="A48" location="'BFR 2026'!C35" display="'BFR 2026'!C35" xr:uid="{2512497D-7C9A-40E8-9B4A-FABFA79F948B}"/>
    <hyperlink ref="A47" location="'BFR 2026'!C35" display="'BFR 2026'!C35" xr:uid="{E2B6D2C2-131E-41AF-BF1D-A6E1E0C71E82}"/>
    <hyperlink ref="A46" location="'BFR 2026'!C35" display="'BFR 2026'!C35" xr:uid="{2D6DF037-8E84-44D4-94F4-37CDC5440227}"/>
    <hyperlink ref="A45" location="'BFR 2026'!C35" display="'BFR 2026'!C35" xr:uid="{BEF85AB9-974E-4855-AAA3-585BA4B9E769}"/>
    <hyperlink ref="A44" location="'BFR 2026'!C35" display="'BFR 2026'!C35" xr:uid="{296BD9D0-EB7E-4E66-B398-7FD02AEB7679}"/>
    <hyperlink ref="A43" location="'BFR 2026'!C35" display="'BFR 2026'!C35" xr:uid="{44787E62-CCF4-4496-987A-4E7DB8C7DB5E}"/>
    <hyperlink ref="A42" location="'BFR 2026'!C35" display="'BFR 2026'!C35" xr:uid="{0BAD7F5E-DF1E-4973-B4FF-71954E78D58D}"/>
    <hyperlink ref="A41" location="'BFR 2026'!C34" display="'BFR 2026'!C34" xr:uid="{D97046A2-6CB9-48A7-98F6-4FEFF0ABD665}"/>
    <hyperlink ref="A40" location="'BFR 2026'!C33" display="'BFR 2026'!C33" xr:uid="{2FBC96BC-4000-462E-A42F-E86B9062B906}"/>
    <hyperlink ref="A39" location="'BFR 2026'!C33" display="'BFR 2026'!C33" xr:uid="{1C42F7A0-EAF3-4AC4-9C8A-C21C44EB38F7}"/>
    <hyperlink ref="A38" location="'BFR 2026'!C33" display="'BFR 2026'!C33" xr:uid="{A4B1512E-C082-4520-9A51-7C39B7D776A6}"/>
    <hyperlink ref="A37" location="'BFR 2026'!C32" display="'BFR 2026'!C32" xr:uid="{186AF420-1480-4170-87AE-DF73107CDF48}"/>
    <hyperlink ref="A36" location="'BFR 2026'!C32" display="'BFR 2026'!C32" xr:uid="{A9E04F0A-593A-4728-9018-EEC144CE050B}"/>
    <hyperlink ref="A35" location="'BFR 2026'!C32" display="'BFR 2026'!C32" xr:uid="{3710F28A-C127-4FBC-AE55-AF3E4F9D778A}"/>
    <hyperlink ref="A28:A34" location="'BFR 2026'!C28" display="'BFR 2026'!C28" xr:uid="{DEF1BEA6-8D14-4290-8A74-47895A64E667}"/>
    <hyperlink ref="A27" location="'BFR 2026'!C28" display="'BFR 2026'!C28" xr:uid="{4FDF4084-2C73-4DF4-8024-EBD1343A3186}"/>
    <hyperlink ref="A26" location="'BFR 2026'!C27" display="'BFR 2026'!C27" xr:uid="{27522CAD-0C82-4B5D-8839-68D1A0B66386}"/>
    <hyperlink ref="A25" location="'BFR 2026'!C26" display="'BFR 2026'!C26" xr:uid="{175C9C98-3E42-4012-8C66-158FFFC85AA3}"/>
    <hyperlink ref="A24" location="'BFR 2026'!C25" display="'BFR 2026'!C25" xr:uid="{FD81D1EF-6D59-4EA6-A20E-F9D9219D3BF0}"/>
    <hyperlink ref="A16:A23" location="'BFR 2026'!C24" display="'BFR 2026'!C24" xr:uid="{6DDAF184-8B29-45C9-8C66-EABF5F9F3F98}"/>
    <hyperlink ref="A15" location="'BFR 2026'!C24" display="'BFR 2026'!C24" xr:uid="{08833E25-2C65-4736-9848-E203E052FC52}"/>
    <hyperlink ref="A14" location="'BFR 2026'!C23" display="'BFR 2026'!C23" xr:uid="{972F2072-63B1-4A18-9DF9-CF9E5C114AEF}"/>
    <hyperlink ref="A13" location="'BFR 2026'!C22" display="'BFR 2026'!C22" xr:uid="{B099081A-9053-4116-9BE0-B9355B7036DB}"/>
    <hyperlink ref="A12" location="'BFR 2026'!C21" display="'BFR 2026'!C21" xr:uid="{02F7410B-9FCC-42F3-918A-9D79F418E17E}"/>
    <hyperlink ref="A11" location="'BFR 2026'!C20" display="'BFR 2026'!C20" xr:uid="{92E320F2-8747-4345-96E5-5367FB7109A6}"/>
    <hyperlink ref="A8:A10" location="'BFR 2026'!C19" display="'BFR 2026'!C19" xr:uid="{7E7F315E-05E7-41FA-ADB1-F8AF835263B8}"/>
    <hyperlink ref="A7" location="'BFR 2026'!C19" display="'BFR 2026'!C19" xr:uid="{97FA91CC-35FB-4BAA-BA36-EC99E9AD5B41}"/>
    <hyperlink ref="A6" location="'BFR 2026'!C19" display="'BFR 2026'!C19" xr:uid="{966710BE-1579-4657-AB17-A6F9ECD4F774}"/>
    <hyperlink ref="A5" location="'BFR 2026'!C18" display="'BFR 2026'!C18" xr:uid="{7150D3A1-9F50-49F5-A6A2-6DB560A3C3AF}"/>
    <hyperlink ref="A459" location="'BFR 2026'!C98" display="'BFR 2026'!C98" xr:uid="{5B7A1965-7671-4C41-8028-E6DA91438D3E}"/>
    <hyperlink ref="A460" location="'BFR 2026'!C98" display="'BFR 2026'!C98" xr:uid="{40CDCCDE-5416-4750-B77A-153E26AEC73B}"/>
    <hyperlink ref="A614" location="'BFR 2026'!C133" display="'BFR 2026'!C133" xr:uid="{F96247A3-C862-4734-B052-3BECEC5A03CC}"/>
    <hyperlink ref="A615" location="'BFR 2026'!C133" display="'BFR 2026'!C133" xr:uid="{F33AE165-C12D-4ABA-80B1-2D3566F5C02D}"/>
    <hyperlink ref="A616" location="'BFR 2026'!C133" display="'BFR 2026'!C133" xr:uid="{6C4A7A73-2765-44A3-95DA-8411AA0B763A}"/>
    <hyperlink ref="A617" location="'BFR 2026'!C133" display="'BFR 2026'!C133" xr:uid="{C76DD8CB-949F-4657-8D9C-69A44EA2E214}"/>
    <hyperlink ref="A618" location="'BFR 2026'!C133" display="'BFR 2026'!C133" xr:uid="{0267D4F5-0184-4652-A8FB-C9E2714677B3}"/>
    <hyperlink ref="A678" location="'BFR 2026'!C167" display="'BFR 2026'!C167" xr:uid="{1BE59F7B-7938-4CCA-B3AB-2E23DC9EF2C2}"/>
    <hyperlink ref="A679:A866" location="'BFR 2026'!C167" display="'BFR 2026'!C167" xr:uid="{3772F3FA-BA24-4A18-B048-7EF28A7D3681}"/>
    <hyperlink ref="A138" location="'BFR 2026'!C49" display="'BFR 2026'!C49" xr:uid="{419C3AE1-0636-4FF8-8032-9F7366A9A16F}"/>
    <hyperlink ref="A139" location="'BFR 2026'!C49" display="'BFR 2026'!C49" xr:uid="{92DEA185-54C1-4AFF-9D82-AC19C97C9195}"/>
    <hyperlink ref="A235" location="'BFR 2026'!C63" display="'BFR 2026'!C63" xr:uid="{D25A2DFD-4926-431F-B5B2-2E214BCC8683}"/>
    <hyperlink ref="A440" location="'BFR 2026'!C64" display="'BFR 2026'!C64" xr:uid="{768C5E87-B024-4015-8853-5FB6FB10AF7D}"/>
    <hyperlink ref="A441" location="'BFR 2026'!C64" display="'BFR 2026'!C64" xr:uid="{9C232657-8A91-4231-8951-0E7E8CBD0E50}"/>
    <hyperlink ref="A442" location="'BFR 2026'!C64" display="'BFR 2026'!C64" xr:uid="{8F527D33-F313-4A9B-8AFF-ECD97A4DB8ED}"/>
    <hyperlink ref="A443" location="'BFR 2026'!C64" display="'BFR 2026'!C64" xr:uid="{4EC5724F-B16B-4F90-8B31-77B1DCA13F7D}"/>
    <hyperlink ref="A444" location="'BFR 2026'!C64" display="'BFR 2026'!C64" xr:uid="{66674374-C032-4C8E-8485-00C5E29B8F8A}"/>
    <hyperlink ref="A445" location="'BFR 2026'!C64" display="'BFR 2026'!C64" xr:uid="{495A6BE3-5711-4C9F-8289-3E1D99A2C746}"/>
    <hyperlink ref="A448" location="'BFR 2026'!C96" display="'BFR 2026'!C96" xr:uid="{15681453-727C-4517-A475-3F845A34438A}"/>
    <hyperlink ref="A446" location="'BFR 2026'!C64" display="'BFR 2026'!C64" xr:uid="{945D246A-A63F-4905-8D33-F417DC26FFCD}"/>
    <hyperlink ref="A447" location="'BFR 2026'!C64" display="'BFR 2026'!C64" xr:uid="{D34CEC4F-141C-4852-80E8-AD2293329B74}"/>
    <hyperlink ref="A677" location="'BFR 2026'!C190" display="'BFR 2026'!C190" xr:uid="{284B969D-5F36-4111-80BD-57EE43A33149}"/>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8607-69B4-4F32-BB57-CD8824339BB6}">
  <sheetPr codeName="Sheet15">
    <pageSetUpPr fitToPage="1"/>
  </sheetPr>
  <dimension ref="A1:L69"/>
  <sheetViews>
    <sheetView showGridLines="0" zoomScaleNormal="100" workbookViewId="0"/>
  </sheetViews>
  <sheetFormatPr defaultColWidth="0" defaultRowHeight="17.5" zeroHeight="1" x14ac:dyDescent="0.35"/>
  <cols>
    <col min="1" max="1" width="114.54296875" style="13" customWidth="1"/>
    <col min="2" max="2" width="43.453125" style="8" customWidth="1"/>
    <col min="3" max="3" width="23.54296875" style="8" hidden="1" customWidth="1"/>
    <col min="4" max="4" width="9" style="8" hidden="1" customWidth="1"/>
    <col min="5" max="5" width="11" style="8" hidden="1" customWidth="1"/>
    <col min="6" max="8" width="9" style="8" hidden="1" customWidth="1"/>
    <col min="9" max="9" width="10.54296875" style="8" hidden="1" customWidth="1"/>
    <col min="10" max="10" width="11" style="8" hidden="1" customWidth="1"/>
    <col min="11" max="11" width="10.54296875" style="8" hidden="1" customWidth="1"/>
    <col min="12" max="12" width="11" style="8" hidden="1" customWidth="1"/>
    <col min="13" max="16384" width="9.453125" style="8" hidden="1"/>
  </cols>
  <sheetData>
    <row r="1" spans="1:2" ht="60" customHeight="1" x14ac:dyDescent="0.35">
      <c r="A1" s="24" t="s">
        <v>7</v>
      </c>
      <c r="B1" s="277" t="s">
        <v>0</v>
      </c>
    </row>
    <row r="2" spans="1:2" ht="31" x14ac:dyDescent="0.35">
      <c r="A2" s="335" t="s">
        <v>1720</v>
      </c>
    </row>
    <row r="3" spans="1:2" ht="20.9" customHeight="1" x14ac:dyDescent="0.35">
      <c r="A3" s="497" t="s">
        <v>1533</v>
      </c>
      <c r="B3"/>
    </row>
    <row r="4" spans="1:2" ht="40.15" customHeight="1" x14ac:dyDescent="0.35">
      <c r="A4" s="497" t="s">
        <v>1700</v>
      </c>
      <c r="B4"/>
    </row>
    <row r="5" spans="1:2" ht="30" customHeight="1" x14ac:dyDescent="0.35">
      <c r="A5" s="201" t="s">
        <v>1512</v>
      </c>
      <c r="B5"/>
    </row>
    <row r="6" spans="1:2" s="15" customFormat="1" ht="20.149999999999999" customHeight="1" x14ac:dyDescent="0.35">
      <c r="A6" s="455" t="s">
        <v>1513</v>
      </c>
      <c r="B6" s="242"/>
    </row>
    <row r="7" spans="1:2" ht="20.149999999999999" customHeight="1" x14ac:dyDescent="0.35">
      <c r="A7" s="499" t="s">
        <v>1514</v>
      </c>
      <c r="B7"/>
    </row>
    <row r="8" spans="1:2" ht="20.149999999999999" customHeight="1" x14ac:dyDescent="0.35">
      <c r="A8" s="499" t="s">
        <v>1515</v>
      </c>
      <c r="B8"/>
    </row>
    <row r="9" spans="1:2" ht="20.149999999999999" customHeight="1" x14ac:dyDescent="0.35">
      <c r="A9" s="499" t="s">
        <v>1781</v>
      </c>
      <c r="B9"/>
    </row>
    <row r="10" spans="1:2" ht="20.149999999999999" customHeight="1" x14ac:dyDescent="0.35">
      <c r="A10" s="499" t="s">
        <v>1516</v>
      </c>
      <c r="B10"/>
    </row>
    <row r="11" spans="1:2" ht="20.149999999999999" customHeight="1" x14ac:dyDescent="0.35">
      <c r="A11" s="499" t="s">
        <v>1472</v>
      </c>
      <c r="B11"/>
    </row>
    <row r="12" spans="1:2" ht="20.149999999999999" customHeight="1" x14ac:dyDescent="0.35">
      <c r="A12" s="499" t="s">
        <v>8</v>
      </c>
      <c r="B12"/>
    </row>
    <row r="13" spans="1:2" ht="20.149999999999999" customHeight="1" x14ac:dyDescent="0.35">
      <c r="A13" s="499" t="s">
        <v>1517</v>
      </c>
      <c r="B13"/>
    </row>
    <row r="14" spans="1:2" s="15" customFormat="1" ht="40.15" customHeight="1" x14ac:dyDescent="0.35">
      <c r="A14" s="201" t="s">
        <v>1724</v>
      </c>
      <c r="B14" s="242"/>
    </row>
    <row r="15" spans="1:2" ht="20.149999999999999" customHeight="1" x14ac:dyDescent="0.35">
      <c r="A15" s="655" t="s">
        <v>1726</v>
      </c>
      <c r="B15"/>
    </row>
    <row r="16" spans="1:2" s="15" customFormat="1" ht="40.15" customHeight="1" x14ac:dyDescent="0.35">
      <c r="A16" s="201" t="s">
        <v>1719</v>
      </c>
      <c r="B16" s="242"/>
    </row>
    <row r="17" spans="1:2" ht="20.149999999999999" customHeight="1" x14ac:dyDescent="0.35">
      <c r="A17" s="655" t="s">
        <v>1727</v>
      </c>
      <c r="B17"/>
    </row>
    <row r="18" spans="1:2" ht="20.149999999999999" customHeight="1" x14ac:dyDescent="0.35">
      <c r="A18" s="655" t="s">
        <v>1728</v>
      </c>
      <c r="B18"/>
    </row>
    <row r="19" spans="1:2" s="15" customFormat="1" ht="70.150000000000006" customHeight="1" x14ac:dyDescent="0.35">
      <c r="A19" s="512" t="s">
        <v>1768</v>
      </c>
      <c r="B19" s="242"/>
    </row>
    <row r="20" spans="1:2" ht="30" customHeight="1" x14ac:dyDescent="0.35">
      <c r="A20" s="312" t="s">
        <v>1525</v>
      </c>
      <c r="B20"/>
    </row>
    <row r="21" spans="1:2" ht="31.4" customHeight="1" x14ac:dyDescent="0.35">
      <c r="A21" s="503" t="s">
        <v>1520</v>
      </c>
      <c r="B21"/>
    </row>
    <row r="22" spans="1:2" ht="47.15" customHeight="1" x14ac:dyDescent="0.35">
      <c r="A22" s="201" t="s">
        <v>9</v>
      </c>
      <c r="B22"/>
    </row>
    <row r="23" spans="1:2" ht="113.65" customHeight="1" x14ac:dyDescent="0.35">
      <c r="A23" s="455" t="s">
        <v>1552</v>
      </c>
      <c r="B23"/>
    </row>
    <row r="24" spans="1:2" ht="60" customHeight="1" x14ac:dyDescent="0.6">
      <c r="A24" s="23" t="s">
        <v>10</v>
      </c>
      <c r="B24"/>
    </row>
    <row r="25" spans="1:2" ht="46.5" x14ac:dyDescent="0.35">
      <c r="A25" s="498" t="s">
        <v>1540</v>
      </c>
      <c r="B25"/>
    </row>
    <row r="26" spans="1:2" ht="31" x14ac:dyDescent="0.35">
      <c r="A26" s="498" t="s">
        <v>1524</v>
      </c>
      <c r="B26"/>
    </row>
    <row r="27" spans="1:2" ht="42.65" customHeight="1" x14ac:dyDescent="0.35">
      <c r="A27" s="498" t="s">
        <v>1536</v>
      </c>
      <c r="B27"/>
    </row>
    <row r="28" spans="1:2" ht="60" customHeight="1" x14ac:dyDescent="0.35">
      <c r="A28" s="512" t="s">
        <v>1518</v>
      </c>
      <c r="B28"/>
    </row>
    <row r="29" spans="1:2" ht="70.150000000000006" customHeight="1" x14ac:dyDescent="0.6">
      <c r="A29" s="23" t="s">
        <v>1519</v>
      </c>
      <c r="B29"/>
    </row>
    <row r="30" spans="1:2" ht="31" x14ac:dyDescent="0.35">
      <c r="A30" s="501" t="s">
        <v>1556</v>
      </c>
      <c r="B30"/>
    </row>
    <row r="31" spans="1:2" ht="40.15" customHeight="1" x14ac:dyDescent="0.35">
      <c r="A31" s="514" t="s">
        <v>11</v>
      </c>
      <c r="B31"/>
    </row>
    <row r="32" spans="1:2" ht="105" customHeight="1" x14ac:dyDescent="0.35">
      <c r="A32" s="513" t="s">
        <v>1667</v>
      </c>
      <c r="B32"/>
    </row>
    <row r="33" spans="1:2" ht="60" customHeight="1" x14ac:dyDescent="0.35">
      <c r="A33" s="512" t="s">
        <v>1541</v>
      </c>
      <c r="B33"/>
    </row>
    <row r="34" spans="1:2" ht="31.4" customHeight="1" x14ac:dyDescent="0.35">
      <c r="A34" s="498" t="s">
        <v>1547</v>
      </c>
      <c r="B34"/>
    </row>
    <row r="35" spans="1:2" ht="31.4" customHeight="1" x14ac:dyDescent="0.35">
      <c r="A35" s="411" t="s">
        <v>1549</v>
      </c>
      <c r="B35"/>
    </row>
    <row r="36" spans="1:2" ht="70.5" customHeight="1" x14ac:dyDescent="0.35">
      <c r="A36" s="411" t="s">
        <v>1531</v>
      </c>
      <c r="B36"/>
    </row>
    <row r="37" spans="1:2" ht="59.15" customHeight="1" x14ac:dyDescent="0.35">
      <c r="A37" s="498" t="s">
        <v>1543</v>
      </c>
      <c r="B37"/>
    </row>
    <row r="38" spans="1:2" ht="165" customHeight="1" x14ac:dyDescent="0.35">
      <c r="A38" s="503" t="s">
        <v>1777</v>
      </c>
      <c r="B38"/>
    </row>
    <row r="39" spans="1:2" ht="140.15" customHeight="1" x14ac:dyDescent="0.35">
      <c r="A39" s="503" t="s">
        <v>1776</v>
      </c>
      <c r="B39"/>
    </row>
    <row r="40" spans="1:2" ht="40.15" customHeight="1" x14ac:dyDescent="0.35">
      <c r="A40" s="411" t="s">
        <v>1557</v>
      </c>
      <c r="B40"/>
    </row>
    <row r="41" spans="1:2" ht="40.15" customHeight="1" x14ac:dyDescent="0.35">
      <c r="A41" s="411" t="s">
        <v>1559</v>
      </c>
      <c r="B41"/>
    </row>
    <row r="42" spans="1:2" ht="40.15" customHeight="1" x14ac:dyDescent="0.35">
      <c r="A42" s="411" t="s">
        <v>1544</v>
      </c>
      <c r="B42"/>
    </row>
    <row r="43" spans="1:2" ht="23.15" customHeight="1" x14ac:dyDescent="0.35">
      <c r="A43" s="453" t="s">
        <v>1525</v>
      </c>
      <c r="B43"/>
    </row>
    <row r="44" spans="1:2" ht="74.650000000000006" customHeight="1" x14ac:dyDescent="0.6">
      <c r="A44" s="275" t="s">
        <v>1725</v>
      </c>
      <c r="B44"/>
    </row>
    <row r="45" spans="1:2" s="15" customFormat="1" ht="58" customHeight="1" x14ac:dyDescent="0.35">
      <c r="A45" s="503" t="s">
        <v>1762</v>
      </c>
      <c r="B45"/>
    </row>
    <row r="46" spans="1:2" s="19" customFormat="1" ht="30" customHeight="1" x14ac:dyDescent="0.35">
      <c r="A46" s="453" t="s">
        <v>1525</v>
      </c>
      <c r="B46" s="502"/>
    </row>
    <row r="47" spans="1:2" s="15" customFormat="1" ht="25.4" customHeight="1" x14ac:dyDescent="0.35">
      <c r="A47" s="498" t="s">
        <v>1547</v>
      </c>
      <c r="B47" s="502"/>
    </row>
    <row r="48" spans="1:2" ht="25.4" customHeight="1" x14ac:dyDescent="0.35">
      <c r="A48" s="411" t="s">
        <v>1549</v>
      </c>
      <c r="B48" s="502"/>
    </row>
    <row r="49" spans="1:2" s="15" customFormat="1" ht="25.4" customHeight="1" x14ac:dyDescent="0.35">
      <c r="A49" s="411" t="s">
        <v>1548</v>
      </c>
      <c r="B49" s="502"/>
    </row>
    <row r="50" spans="1:2" ht="40.15" customHeight="1" x14ac:dyDescent="0.35">
      <c r="A50" s="498" t="s">
        <v>1534</v>
      </c>
      <c r="B50" s="502"/>
    </row>
    <row r="51" spans="1:2" s="15" customFormat="1" ht="70.150000000000006" customHeight="1" x14ac:dyDescent="0.35">
      <c r="A51" s="498" t="s">
        <v>1783</v>
      </c>
      <c r="B51" s="502"/>
    </row>
    <row r="52" spans="1:2" ht="70.5" customHeight="1" x14ac:dyDescent="0.35">
      <c r="A52" s="498" t="s">
        <v>1532</v>
      </c>
      <c r="B52" s="502"/>
    </row>
    <row r="53" spans="1:2" s="15" customFormat="1" ht="163.5" customHeight="1" x14ac:dyDescent="0.35">
      <c r="A53" s="503" t="s">
        <v>1775</v>
      </c>
      <c r="B53" s="502"/>
    </row>
    <row r="54" spans="1:2" ht="140.15" customHeight="1" x14ac:dyDescent="0.35">
      <c r="A54" s="503" t="s">
        <v>1703</v>
      </c>
      <c r="B54" s="502"/>
    </row>
    <row r="55" spans="1:2" s="15" customFormat="1" ht="40.15" customHeight="1" x14ac:dyDescent="0.35">
      <c r="A55" s="411" t="s">
        <v>1558</v>
      </c>
      <c r="B55" s="502"/>
    </row>
    <row r="56" spans="1:2" ht="40.15" customHeight="1" x14ac:dyDescent="0.35">
      <c r="A56" s="411" t="s">
        <v>1560</v>
      </c>
      <c r="B56" s="502"/>
    </row>
    <row r="57" spans="1:2" ht="40.15" customHeight="1" x14ac:dyDescent="0.35">
      <c r="A57" s="411" t="s">
        <v>1535</v>
      </c>
      <c r="B57" s="502"/>
    </row>
    <row r="58" spans="1:2" x14ac:dyDescent="0.35">
      <c r="A58" s="453" t="s">
        <v>1525</v>
      </c>
      <c r="B58"/>
    </row>
    <row r="59" spans="1:2" ht="28" x14ac:dyDescent="0.35">
      <c r="A59" s="500" t="s">
        <v>13</v>
      </c>
      <c r="B59"/>
    </row>
    <row r="60" spans="1:2" ht="46.5" x14ac:dyDescent="0.35">
      <c r="A60" s="498" t="s">
        <v>1550</v>
      </c>
      <c r="B60"/>
    </row>
    <row r="61" spans="1:2" x14ac:dyDescent="0.35">
      <c r="A61" s="199" t="s">
        <v>14</v>
      </c>
      <c r="B61" s="295" t="s">
        <v>15</v>
      </c>
    </row>
    <row r="62" spans="1:2" ht="44.15" customHeight="1" x14ac:dyDescent="0.35">
      <c r="A62" s="203" t="s">
        <v>1537</v>
      </c>
      <c r="B62" s="250"/>
    </row>
    <row r="63" spans="1:2" ht="43.4" customHeight="1" x14ac:dyDescent="0.35">
      <c r="A63" s="454" t="s">
        <v>1527</v>
      </c>
      <c r="B63" s="408"/>
    </row>
    <row r="64" spans="1:2" ht="45" customHeight="1" x14ac:dyDescent="0.35">
      <c r="A64" s="276" t="s">
        <v>1551</v>
      </c>
      <c r="B64" s="267"/>
    </row>
    <row r="65" spans="1:2" ht="38.15" customHeight="1" x14ac:dyDescent="0.35">
      <c r="A65" s="203" t="s">
        <v>1526</v>
      </c>
      <c r="B65" s="457"/>
    </row>
    <row r="66" spans="1:2" ht="93" x14ac:dyDescent="0.35">
      <c r="A66" s="203" t="s">
        <v>1539</v>
      </c>
      <c r="B66" s="302"/>
    </row>
    <row r="67" spans="1:2" ht="31" x14ac:dyDescent="0.35">
      <c r="A67" s="456" t="s">
        <v>1538</v>
      </c>
      <c r="B67" s="458">
        <v>-99999</v>
      </c>
    </row>
    <row r="68" spans="1:2" x14ac:dyDescent="0.35">
      <c r="A68" s="301" t="s">
        <v>1528</v>
      </c>
      <c r="B68" s="268" t="s">
        <v>16</v>
      </c>
    </row>
    <row r="69" spans="1:2" ht="45" customHeight="1" x14ac:dyDescent="0.35">
      <c r="A69" s="453" t="s">
        <v>0</v>
      </c>
    </row>
  </sheetData>
  <sheetProtection algorithmName="SHA-512" hashValue="IFpjnaJyxAA2Ue+4kMCqB1Q+0MeVjPHOoh1CGzMw7+dWOqsdqTkL582E5sEVv7qVm3v9nE5+w5RsHZljxdw25Q==" saltValue="ww05ZdXO43jE91TGMl3SwA==" spinCount="100000" sheet="1" objects="1" scenarios="1"/>
  <conditionalFormatting sqref="B63">
    <cfRule type="cellIs" priority="21" operator="lessThan">
      <formula>0</formula>
    </cfRule>
  </conditionalFormatting>
  <conditionalFormatting sqref="B63:B64">
    <cfRule type="cellIs" dxfId="4038" priority="17" operator="lessThan">
      <formula>0</formula>
    </cfRule>
  </conditionalFormatting>
  <conditionalFormatting sqref="B64">
    <cfRule type="cellIs" dxfId="4037" priority="7" operator="lessThan">
      <formula>0</formula>
    </cfRule>
    <cfRule type="cellIs" dxfId="4036" priority="8" operator="greaterThan">
      <formula>0</formula>
    </cfRule>
    <cfRule type="cellIs" dxfId="4035" priority="9" operator="greaterThan">
      <formula>0</formula>
    </cfRule>
    <cfRule type="cellIs" dxfId="4034" priority="10" operator="lessThan">
      <formula>0</formula>
    </cfRule>
    <cfRule type="cellIs" dxfId="4033" priority="11" operator="lessThan">
      <formula>0</formula>
    </cfRule>
    <cfRule type="cellIs" dxfId="4032" priority="12" operator="lessThan">
      <formula>0</formula>
    </cfRule>
    <cfRule type="cellIs" dxfId="4031" priority="13" operator="lessThan">
      <formula>0</formula>
    </cfRule>
    <cfRule type="cellIs" dxfId="4030" priority="14" operator="lessThan">
      <formula>0</formula>
    </cfRule>
    <cfRule type="cellIs" dxfId="4029" priority="15" operator="lessThan">
      <formula>0</formula>
    </cfRule>
    <cfRule type="cellIs" dxfId="4028" priority="16" operator="lessThan">
      <formula>0</formula>
    </cfRule>
    <cfRule type="cellIs" dxfId="4027" priority="18" operator="lessThan">
      <formula>0</formula>
    </cfRule>
    <cfRule type="cellIs" dxfId="4026" priority="19" operator="lessThan">
      <formula>0</formula>
    </cfRule>
    <cfRule type="cellIs" dxfId="4025" priority="20" operator="lessThan">
      <formula>0</formula>
    </cfRule>
  </conditionalFormatting>
  <conditionalFormatting sqref="B67">
    <cfRule type="cellIs" dxfId="4024" priority="1" operator="greaterThan">
      <formula>0</formula>
    </cfRule>
    <cfRule type="cellIs" dxfId="4023" priority="2" operator="lessThan">
      <formula>0</formula>
    </cfRule>
    <cfRule type="cellIs" dxfId="4022" priority="3" operator="equal">
      <formula>0</formula>
    </cfRule>
    <cfRule type="cellIs" dxfId="4021" priority="4" operator="greaterThan">
      <formula>0</formula>
    </cfRule>
    <cfRule type="cellIs" dxfId="4020" priority="5" operator="lessThan">
      <formula>0</formula>
    </cfRule>
    <cfRule type="cellIs" priority="6" operator="lessThan">
      <formula>0</formula>
    </cfRule>
  </conditionalFormatting>
  <hyperlinks>
    <hyperlink ref="A69" location="Index!A1" display="Index page" xr:uid="{93E8155C-6E13-4D47-894A-DF558CCE48A5}"/>
    <hyperlink ref="A58" r:id="rId1" xr:uid="{C3FD28C4-C94A-407B-B64C-F27C50D1B269}"/>
    <hyperlink ref="A43" r:id="rId2" xr:uid="{89AA8597-B7B9-4AAC-95C3-315121966E24}"/>
    <hyperlink ref="A31" r:id="rId3" location="updates-to-the-bfr-form" display="https://www.gov.uk/government/publications/academies-budget-forecast-return-guide-to-using-the-online-form/academies-budget-forecast-guidance-for-completing-the-online-form - updates-to-the-bfr-form" xr:uid="{73A5CE6B-9853-4844-B482-0AB16150CCC2}"/>
    <hyperlink ref="A20" r:id="rId4" xr:uid="{C4331454-130D-4CEB-A0DA-EF46C2C23143}"/>
    <hyperlink ref="B1" location="Index!A1" display="Index page" xr:uid="{8090B121-6B19-4F38-A46B-46C6B64BA461}"/>
    <hyperlink ref="A17" location="'Guidance links'!A1" display="    • guidance links tab (takes you to gov.uk guidances and tools and will open on different windows)" xr:uid="{D3C1B743-14B9-4BF4-948C-90C47794089E}"/>
    <hyperlink ref="A18" location="Index!A1" display="    • Index tab (provides a contents lists with links to help you navigate around this workbook)" xr:uid="{6FEFD78A-3F04-4D2F-9125-85E6E95EFE8D}"/>
    <hyperlink ref="A15" location="Instructions!A44" display="    • Instructions for pre-populating the workbook with the prior year BFR report " xr:uid="{90F2536F-0402-4DC3-8F52-019CAB04C9C9}"/>
    <hyperlink ref="A46" r:id="rId5" xr:uid="{4D586E3E-579A-4E36-9F1E-A9D8EBDF8B9D}"/>
  </hyperlinks>
  <pageMargins left="0.7" right="0.7" top="0.75" bottom="0.75" header="0.3" footer="0.3"/>
  <pageSetup scale="57" fitToHeight="0" orientation="portrait" r:id="rId6"/>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2D92-5546-446A-BA58-FB1EEE5FBD16}">
  <sheetPr codeName="Sheet16">
    <pageSetUpPr fitToPage="1"/>
  </sheetPr>
  <dimension ref="A1:XFC14"/>
  <sheetViews>
    <sheetView showGridLines="0" zoomScaleNormal="100" workbookViewId="0"/>
  </sheetViews>
  <sheetFormatPr defaultColWidth="9.453125" defaultRowHeight="17.5" zeroHeight="1" x14ac:dyDescent="0.35"/>
  <cols>
    <col min="1" max="1" width="78.453125" style="13" customWidth="1"/>
    <col min="2" max="2" width="74" style="8" customWidth="1"/>
    <col min="3" max="3" width="9.453125" style="8" hidden="1" customWidth="1"/>
    <col min="4" max="4" width="9" style="8" hidden="1" customWidth="1"/>
    <col min="5" max="5" width="11" style="8" hidden="1" customWidth="1"/>
    <col min="6" max="8" width="9" style="8" hidden="1" customWidth="1"/>
    <col min="9" max="9" width="10.54296875" style="8" hidden="1" customWidth="1"/>
    <col min="10" max="10" width="11" style="8" hidden="1" customWidth="1"/>
    <col min="11" max="11" width="10.54296875" style="8" hidden="1" customWidth="1"/>
    <col min="12" max="12" width="11" style="8" hidden="1" customWidth="1"/>
    <col min="13" max="16383" width="0" style="8" hidden="1" customWidth="1"/>
    <col min="16384" max="16384" width="28.453125" style="8" hidden="1"/>
  </cols>
  <sheetData>
    <row r="1" spans="1:2" s="56" customFormat="1" ht="60" customHeight="1" x14ac:dyDescent="0.35">
      <c r="A1" s="278" t="s">
        <v>18</v>
      </c>
      <c r="B1" s="187" t="s">
        <v>0</v>
      </c>
    </row>
    <row r="2" spans="1:2" s="56" customFormat="1" ht="20.149999999999999" customHeight="1" x14ac:dyDescent="0.35">
      <c r="A2" s="335" t="s">
        <v>1761</v>
      </c>
      <c r="B2" s="187"/>
    </row>
    <row r="3" spans="1:2" ht="33.75" customHeight="1" x14ac:dyDescent="0.35">
      <c r="A3" s="263" t="s">
        <v>1542</v>
      </c>
    </row>
    <row r="4" spans="1:2" ht="50.15" customHeight="1" x14ac:dyDescent="0.35">
      <c r="A4" s="532" t="s">
        <v>19</v>
      </c>
    </row>
    <row r="5" spans="1:2" s="264" customFormat="1" ht="45" customHeight="1" x14ac:dyDescent="0.6">
      <c r="A5" s="261" t="s">
        <v>20</v>
      </c>
      <c r="B5" s="253"/>
    </row>
    <row r="6" spans="1:2" s="33" customFormat="1" ht="45" customHeight="1" x14ac:dyDescent="0.35">
      <c r="A6" s="198" t="s">
        <v>21</v>
      </c>
      <c r="B6" s="198" t="s">
        <v>22</v>
      </c>
    </row>
    <row r="7" spans="1:2" ht="45" customHeight="1" x14ac:dyDescent="0.35">
      <c r="A7" s="205" t="s">
        <v>1475</v>
      </c>
      <c r="B7" s="218" t="s">
        <v>12</v>
      </c>
    </row>
    <row r="8" spans="1:2" ht="45" customHeight="1" x14ac:dyDescent="0.35">
      <c r="A8" s="205" t="s">
        <v>23</v>
      </c>
      <c r="B8" s="218" t="s">
        <v>24</v>
      </c>
    </row>
    <row r="9" spans="1:2" ht="45" customHeight="1" x14ac:dyDescent="0.35">
      <c r="A9" s="205" t="s">
        <v>25</v>
      </c>
      <c r="B9" s="218" t="s">
        <v>26</v>
      </c>
    </row>
    <row r="10" spans="1:2" ht="45" customHeight="1" x14ac:dyDescent="0.35">
      <c r="A10" s="205" t="s">
        <v>27</v>
      </c>
      <c r="B10" s="218" t="s">
        <v>28</v>
      </c>
    </row>
    <row r="11" spans="1:2" s="264" customFormat="1" ht="45" customHeight="1" x14ac:dyDescent="0.6">
      <c r="A11" s="261" t="s">
        <v>29</v>
      </c>
      <c r="B11" s="253"/>
    </row>
    <row r="12" spans="1:2" s="33" customFormat="1" ht="45" customHeight="1" x14ac:dyDescent="0.35">
      <c r="A12" s="198" t="s">
        <v>30</v>
      </c>
      <c r="B12" s="198" t="s">
        <v>22</v>
      </c>
    </row>
    <row r="13" spans="1:2" ht="45" customHeight="1" x14ac:dyDescent="0.35">
      <c r="A13" s="205" t="s">
        <v>31</v>
      </c>
      <c r="B13" s="218" t="s">
        <v>32</v>
      </c>
    </row>
    <row r="14" spans="1:2" ht="45" customHeight="1" x14ac:dyDescent="0.35">
      <c r="A14" s="207" t="s">
        <v>0</v>
      </c>
    </row>
  </sheetData>
  <sheetProtection algorithmName="SHA-512" hashValue="WCrObbur1BWGtV8y8dxPF+Zaqhh0hMFqJIyfDoAEM6iGpBfe0jjIGktrh0Cl+Rw4/QxfXGurblPM89w069t5fw==" saltValue="18drNQmA1Ko9yg2ryLmT/Q==" spinCount="100000" sheet="1" objects="1" scenarios="1"/>
  <hyperlinks>
    <hyperlink ref="A14" location="Index!A1" display="Index page" xr:uid="{CF4721F8-7759-4C61-A13D-83ED86DF7CA8}"/>
    <hyperlink ref="B13" r:id="rId1" xr:uid="{088E22B0-E705-467E-950D-E49CFAEE152B}"/>
    <hyperlink ref="B10" r:id="rId2" xr:uid="{0E1F6440-328B-4013-94BC-B45C22A14F68}"/>
    <hyperlink ref="B9" r:id="rId3" xr:uid="{B52F5A27-A0FB-41CC-A321-4D39A202F46D}"/>
    <hyperlink ref="B8" r:id="rId4" display="https://www.gov.uk/government/publications/academies-budget-forecast-return-guide-to-using-the-online-form/academies-budget-forecast-guidance-for-completing-the-online-form" xr:uid="{50C23906-625D-4064-AAA8-73367BB262AB}"/>
    <hyperlink ref="B7" r:id="rId5" display="https://www.gov.uk/guidance/academies-budget-forecast-return" xr:uid="{307412AD-F4F3-4643-825D-32EA9704BA6C}"/>
    <hyperlink ref="A4" r:id="rId6" display="If you have a query about completing your BFR return please contact the ESFA using the Customer Help Portal." xr:uid="{25EB052A-56B6-4CB0-8A3F-8654B9C59A93}"/>
    <hyperlink ref="B1" location="Index!A1" display="Index page" xr:uid="{A902DEB2-C83D-40F9-8163-4141D8120495}"/>
  </hyperlinks>
  <pageMargins left="0.7" right="0.7" top="0.75" bottom="0.75" header="0.3" footer="0.3"/>
  <pageSetup scale="47" orientation="portrait" r:id="rId7"/>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D37-5B69-487A-850C-0AD5D52168B9}">
  <sheetPr codeName="Sheet13"/>
  <dimension ref="A1:A20"/>
  <sheetViews>
    <sheetView workbookViewId="0"/>
  </sheetViews>
  <sheetFormatPr defaultColWidth="0" defaultRowHeight="14" zeroHeight="1" x14ac:dyDescent="0.3"/>
  <cols>
    <col min="1" max="1" width="104" style="95" customWidth="1"/>
    <col min="2" max="16384" width="8.54296875" style="95" hidden="1"/>
  </cols>
  <sheetData>
    <row r="1" spans="1:1" ht="60" customHeight="1" x14ac:dyDescent="0.3">
      <c r="A1" s="24" t="s">
        <v>33</v>
      </c>
    </row>
    <row r="2" spans="1:1" s="211" customFormat="1" ht="45" customHeight="1" x14ac:dyDescent="0.6">
      <c r="A2" s="22" t="s">
        <v>34</v>
      </c>
    </row>
    <row r="3" spans="1:1" ht="25.4" customHeight="1" x14ac:dyDescent="0.3">
      <c r="A3" s="265" t="s">
        <v>35</v>
      </c>
    </row>
    <row r="4" spans="1:1" ht="25.4" customHeight="1" x14ac:dyDescent="0.3">
      <c r="A4" s="266" t="s">
        <v>1503</v>
      </c>
    </row>
    <row r="5" spans="1:1" ht="25.4" customHeight="1" x14ac:dyDescent="0.3">
      <c r="A5" s="304" t="s">
        <v>36</v>
      </c>
    </row>
    <row r="6" spans="1:1" s="186" customFormat="1" ht="37.4" customHeight="1" x14ac:dyDescent="0.6">
      <c r="A6" s="22" t="s">
        <v>37</v>
      </c>
    </row>
    <row r="7" spans="1:1" ht="25.4" customHeight="1" x14ac:dyDescent="0.3">
      <c r="A7" s="266" t="s">
        <v>38</v>
      </c>
    </row>
    <row r="8" spans="1:1" ht="25.4" customHeight="1" x14ac:dyDescent="0.3">
      <c r="A8" s="266" t="s">
        <v>407</v>
      </c>
    </row>
    <row r="9" spans="1:1" ht="25.4" customHeight="1" x14ac:dyDescent="0.3">
      <c r="A9" s="266" t="s">
        <v>1521</v>
      </c>
    </row>
    <row r="10" spans="1:1" s="186" customFormat="1" ht="37.4" customHeight="1" x14ac:dyDescent="0.6">
      <c r="A10" s="22" t="s">
        <v>39</v>
      </c>
    </row>
    <row r="11" spans="1:1" ht="25.4" customHeight="1" x14ac:dyDescent="0.3">
      <c r="A11" s="266" t="s">
        <v>40</v>
      </c>
    </row>
    <row r="12" spans="1:1" ht="25.4" customHeight="1" x14ac:dyDescent="0.3">
      <c r="A12" s="266" t="s">
        <v>41</v>
      </c>
    </row>
    <row r="13" spans="1:1" s="96" customFormat="1" ht="25.4" customHeight="1" x14ac:dyDescent="0.35">
      <c r="A13" s="266" t="s">
        <v>42</v>
      </c>
    </row>
    <row r="14" spans="1:1" s="186" customFormat="1" ht="37.4" customHeight="1" x14ac:dyDescent="0.6">
      <c r="A14" s="296" t="s">
        <v>17</v>
      </c>
    </row>
    <row r="15" spans="1:1" s="96" customFormat="1" ht="25.4" customHeight="1" x14ac:dyDescent="0.35">
      <c r="A15" s="266" t="s">
        <v>43</v>
      </c>
    </row>
    <row r="16" spans="1:1" s="96" customFormat="1" ht="25.4" customHeight="1" x14ac:dyDescent="0.35">
      <c r="A16" s="266" t="s">
        <v>44</v>
      </c>
    </row>
    <row r="17" spans="1:1" ht="28" x14ac:dyDescent="0.6">
      <c r="A17" s="296" t="s">
        <v>45</v>
      </c>
    </row>
    <row r="18" spans="1:1" s="96" customFormat="1" ht="25.4" customHeight="1" x14ac:dyDescent="0.35">
      <c r="A18" s="266" t="s">
        <v>46</v>
      </c>
    </row>
    <row r="19" spans="1:1" x14ac:dyDescent="0.3"/>
    <row r="20" spans="1:1" x14ac:dyDescent="0.3"/>
  </sheetData>
  <sheetProtection algorithmName="SHA-512" hashValue="Px+mUy5JK3/0ehYLNxy1zkZWqxS1ARl7ntTGRlmI9akakTHvfj+cw+DHOxCZZCS3hgjTvRGpSPqONqC6QIF0rA==" saltValue="FEir4kQ+L3i7oiZX1SR7Bg==" spinCount="100000" sheet="1" objects="1" scenarios="1"/>
  <hyperlinks>
    <hyperlink ref="A18" location="'CoA mapping tables'!A1" display="CoA mapping table" xr:uid="{FEAA6D32-FA1C-4B40-BD8F-0B3C9582E829}"/>
    <hyperlink ref="A16" location="'Validations table'!A1" display="Validations table" xr:uid="{C577AFF1-921B-4F18-9C52-E1DCCA500D31}"/>
    <hyperlink ref="A15" location="'Min Max table'!A1" display="Min Max table (for information ONLY - no action required)" xr:uid="{0336F705-20E9-4C8D-A1ED-4AA30AB699B1}"/>
    <hyperlink ref="A13" location="'Approver declaration'!A1" display="Approver declaration" xr:uid="{53FA3B16-FEC9-4AFC-92D3-C35F6402C83B}"/>
    <hyperlink ref="A12" location="'Preparer declaration '!A1" display="Preparer declaration" xr:uid="{486D6F46-1318-442E-874E-32A6EB2C7F56}"/>
    <hyperlink ref="A11" location="'Summary declaration'!A1" display="Summary Declarations" xr:uid="{B46C81C4-6AA5-455A-9937-368410451CF7}"/>
    <hyperlink ref="A9" location="'Reserve balance questions'!A1" display="Reserve balance questions" xr:uid="{A0323642-1317-493A-B9DC-9B9F75C64C05}"/>
    <hyperlink ref="A7" location="'BFR 2026'!A1" display="BFR 2026 (Includes: revenue, capital, reserves and three year forecast)" xr:uid="{D62407ED-5530-4B32-AC3F-0986ED5A209E}"/>
    <hyperlink ref="A5" location="'Prior Year BFR download report'!A1" display="Prior  Year -download report" xr:uid="{70BB78E0-A48E-44FA-B563-8CDB0C7E91F6}"/>
    <hyperlink ref="A4" location="'Finance Questions'!A1" display="Finance Questions" xr:uid="{8FAF5FEE-077F-43F9-8B5F-B6CC3142CA96}"/>
    <hyperlink ref="A3" location="'Organisation user'!A1" display="Organisation user" xr:uid="{5D82FB97-8E98-4769-A00C-76D4CA1C0E3A}"/>
    <hyperlink ref="A8" location="'Reserve balance details'!A1" display="Reserve balance details" xr:uid="{B57BCF33-E33B-4AA9-A880-92F44FE86771}"/>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15"/>
  <sheetViews>
    <sheetView showGridLines="0" zoomScaleNormal="100" workbookViewId="0"/>
  </sheetViews>
  <sheetFormatPr defaultColWidth="0" defaultRowHeight="14" zeroHeight="1" x14ac:dyDescent="0.3"/>
  <cols>
    <col min="1" max="1" width="74" style="31" customWidth="1"/>
    <col min="2" max="2" width="47.54296875" style="31" customWidth="1"/>
    <col min="3" max="3" width="82.54296875" style="31" customWidth="1"/>
    <col min="4" max="5" width="4.453125" style="31" hidden="1" customWidth="1"/>
    <col min="6" max="6" width="11.453125" style="31" hidden="1" customWidth="1"/>
    <col min="7" max="7" width="9.453125" style="31" hidden="1" customWidth="1"/>
    <col min="8" max="8" width="11.54296875" style="31" hidden="1" customWidth="1"/>
    <col min="9" max="9" width="4.453125" style="31" hidden="1" customWidth="1"/>
    <col min="10" max="29" width="9" style="31" hidden="1" customWidth="1"/>
    <col min="30" max="16384" width="8.54296875" style="31" hidden="1"/>
  </cols>
  <sheetData>
    <row r="1" spans="1:18" s="8" customFormat="1" ht="60" customHeight="1" x14ac:dyDescent="0.35">
      <c r="A1" s="285" t="s">
        <v>35</v>
      </c>
      <c r="B1" s="277" t="s">
        <v>0</v>
      </c>
      <c r="E1" s="11"/>
      <c r="H1" s="13"/>
      <c r="I1" s="13"/>
    </row>
    <row r="2" spans="1:18" s="8" customFormat="1" ht="18.75" customHeight="1" x14ac:dyDescent="0.35">
      <c r="A2" s="335" t="s">
        <v>47</v>
      </c>
      <c r="C2" s="187"/>
    </row>
    <row r="3" spans="1:18" s="8" customFormat="1" ht="31" x14ac:dyDescent="0.35">
      <c r="A3" s="125" t="s">
        <v>1509</v>
      </c>
      <c r="C3" s="187"/>
    </row>
    <row r="4" spans="1:18" s="8" customFormat="1" ht="45" customHeight="1" x14ac:dyDescent="0.45">
      <c r="A4" s="409" t="s">
        <v>48</v>
      </c>
      <c r="B4" s="256"/>
      <c r="R4" s="3"/>
    </row>
    <row r="5" spans="1:18" s="8" customFormat="1" ht="40.15" customHeight="1" x14ac:dyDescent="0.45">
      <c r="A5" s="312" t="s">
        <v>49</v>
      </c>
      <c r="B5" s="256"/>
      <c r="R5" s="3"/>
    </row>
    <row r="6" spans="1:18" s="8" customFormat="1" ht="45" customHeight="1" x14ac:dyDescent="0.6">
      <c r="A6" s="206" t="s">
        <v>50</v>
      </c>
    </row>
    <row r="7" spans="1:18" s="33" customFormat="1" ht="15.5" x14ac:dyDescent="0.35">
      <c r="A7" s="198" t="s">
        <v>51</v>
      </c>
      <c r="B7" s="200" t="s">
        <v>1487</v>
      </c>
      <c r="C7" s="198" t="s">
        <v>52</v>
      </c>
      <c r="D7" s="342"/>
      <c r="E7" s="342"/>
      <c r="F7" s="342"/>
      <c r="G7" s="342"/>
      <c r="H7" s="342"/>
      <c r="I7" s="342"/>
      <c r="J7" s="342"/>
      <c r="K7" s="342"/>
      <c r="L7" s="342"/>
      <c r="M7" s="342"/>
      <c r="N7" s="342"/>
      <c r="O7" s="342"/>
      <c r="P7" s="342"/>
      <c r="Q7" s="342"/>
      <c r="R7" s="342"/>
    </row>
    <row r="8" spans="1:18" s="8" customFormat="1" ht="17.5" x14ac:dyDescent="0.35">
      <c r="A8" s="141" t="s">
        <v>53</v>
      </c>
      <c r="B8" s="154"/>
      <c r="C8" s="410" t="str">
        <f>IF(B8="","*Error* - Enter the name of your trust","")</f>
        <v>*Error* - Enter the name of your trust</v>
      </c>
    </row>
    <row r="9" spans="1:18" s="8" customFormat="1" ht="17.5" x14ac:dyDescent="0.35">
      <c r="A9" s="141" t="s">
        <v>54</v>
      </c>
      <c r="B9" s="154"/>
      <c r="C9" s="410" t="str">
        <f>IF(B9="","*Error* - State whether your trust is a MAT or a SAT?","")</f>
        <v>*Error* - State whether your trust is a MAT or a SAT?</v>
      </c>
    </row>
    <row r="10" spans="1:18" s="8" customFormat="1" ht="17.5" x14ac:dyDescent="0.35">
      <c r="A10" s="141" t="s">
        <v>55</v>
      </c>
      <c r="B10" s="508"/>
      <c r="C10" s="410" t="str">
        <f>IF(B10="","*Error* - Enter your trust UPIN","")</f>
        <v>*Error* - Enter your trust UPIN</v>
      </c>
    </row>
    <row r="11" spans="1:18" s="8" customFormat="1" ht="23.9" customHeight="1" x14ac:dyDescent="0.35">
      <c r="A11" s="141" t="s">
        <v>56</v>
      </c>
      <c r="B11" s="579"/>
      <c r="C11" s="410" t="str">
        <f>IF(B11="","*Error* - Enter your trust companies house number, this cell allows a leading zero","")</f>
        <v>*Error* - Enter your trust companies house number, this cell allows a leading zero</v>
      </c>
    </row>
    <row r="12" spans="1:18" s="8" customFormat="1" ht="45" customHeight="1" x14ac:dyDescent="0.6">
      <c r="A12" s="206" t="s">
        <v>57</v>
      </c>
    </row>
    <row r="13" spans="1:18" s="156" customFormat="1" ht="35.25" customHeight="1" x14ac:dyDescent="0.35">
      <c r="A13" s="294" t="s">
        <v>58</v>
      </c>
      <c r="B13" s="8"/>
      <c r="D13" s="8"/>
      <c r="E13" s="8"/>
      <c r="F13" s="8"/>
      <c r="G13" s="8"/>
      <c r="H13" s="8"/>
      <c r="I13" s="8"/>
    </row>
    <row r="14" spans="1:18" s="8" customFormat="1" ht="17.5" x14ac:dyDescent="0.35">
      <c r="A14" s="141" t="s">
        <v>59</v>
      </c>
      <c r="B14" s="154"/>
      <c r="C14" s="410" t="str">
        <f>IF(B14="","*Error* - Enter your full name","")</f>
        <v>*Error* - Enter your full name</v>
      </c>
    </row>
    <row r="15" spans="1:18" s="8" customFormat="1" ht="17.5" x14ac:dyDescent="0.35">
      <c r="A15" s="141" t="s">
        <v>60</v>
      </c>
      <c r="B15" s="507"/>
      <c r="C15" s="410" t="str">
        <f>IF(B15="","*Error* - Enter a full UK telephone number","")</f>
        <v>*Error* - Enter a full UK telephone number</v>
      </c>
    </row>
    <row r="16" spans="1:18" s="8" customFormat="1" ht="17.5" x14ac:dyDescent="0.35">
      <c r="A16" s="141" t="s">
        <v>61</v>
      </c>
      <c r="B16" s="598"/>
      <c r="C16" s="410" t="str">
        <f>IF(B16="","*Error* - Enter your email address","")</f>
        <v>*Error* - Enter your email address</v>
      </c>
    </row>
    <row r="17" spans="1:9" s="8" customFormat="1" ht="30" customHeight="1" x14ac:dyDescent="0.4">
      <c r="A17" s="164" t="s">
        <v>62</v>
      </c>
      <c r="B17" s="154"/>
      <c r="C17" s="410" t="str">
        <f>IF(B17="", "*Error* - Enter your role within the Trust, for example Accounting Officer; Chief Financial Officer; Business manager; Admin; Headteacher; or Other finance role", "")</f>
        <v>*Error* - Enter your role within the Trust, for example Accounting Officer; Chief Financial Officer; Business manager; Admin; Headteacher; or Other finance role</v>
      </c>
      <c r="D17" s="257"/>
    </row>
    <row r="18" spans="1:9" s="8" customFormat="1" ht="45" customHeight="1" x14ac:dyDescent="0.6">
      <c r="A18" s="206" t="s">
        <v>63</v>
      </c>
    </row>
    <row r="19" spans="1:9" ht="17.5" x14ac:dyDescent="0.35">
      <c r="A19" s="348" t="s">
        <v>1545</v>
      </c>
      <c r="B19" s="154"/>
      <c r="C19" s="410" t="str">
        <f>IF(B19="","*Error* - This cell should not be blank.","")</f>
        <v>*Error* - This cell should not be blank.</v>
      </c>
      <c r="D19" s="8"/>
      <c r="E19" s="8"/>
      <c r="F19" s="8"/>
      <c r="G19" s="8"/>
      <c r="H19" s="8"/>
      <c r="I19" s="8"/>
    </row>
    <row r="20" spans="1:9" ht="17.5" x14ac:dyDescent="0.35">
      <c r="A20" s="348" t="s">
        <v>1546</v>
      </c>
      <c r="B20" s="154"/>
      <c r="C20" s="410" t="str">
        <f>IF(B20="","*Error* - This cell should not be blank.","")</f>
        <v>*Error* - This cell should not be blank.</v>
      </c>
      <c r="D20" s="8"/>
      <c r="E20" s="8"/>
      <c r="F20" s="8"/>
      <c r="G20" s="8"/>
      <c r="H20" s="8"/>
      <c r="I20" s="8"/>
    </row>
    <row r="21" spans="1:9" ht="17.5" x14ac:dyDescent="0.35">
      <c r="A21" s="165" t="s">
        <v>64</v>
      </c>
      <c r="B21" s="254">
        <f>B19-B20</f>
        <v>0</v>
      </c>
      <c r="C21" s="8"/>
      <c r="D21" s="8"/>
      <c r="E21" s="8"/>
      <c r="F21" s="8"/>
      <c r="G21" s="8"/>
      <c r="H21" s="8"/>
      <c r="I21" s="8"/>
    </row>
    <row r="22" spans="1:9" s="158" customFormat="1" ht="60" customHeight="1" x14ac:dyDescent="0.35">
      <c r="A22" s="164" t="s">
        <v>65</v>
      </c>
      <c r="B22" s="154"/>
      <c r="C22" s="410" t="str">
        <f>IF(AND(B21&lt;&gt;0, ISBLANK(B22)), "*Error* - Explain the different number of academies. Include new openers; transfers; mergers; closures or demergers. Are you including the financials of academies expected to join your trust within the period the return and/or before the next BFR.", "")</f>
        <v/>
      </c>
      <c r="D22" s="8"/>
      <c r="E22" s="8"/>
      <c r="F22" s="8"/>
      <c r="G22" s="8"/>
      <c r="H22" s="8"/>
      <c r="I22" s="8"/>
    </row>
    <row r="23" spans="1:9" s="8" customFormat="1" ht="56" x14ac:dyDescent="0.6">
      <c r="A23" s="275" t="s">
        <v>66</v>
      </c>
      <c r="C23" s="157"/>
    </row>
    <row r="24" spans="1:9" ht="56.9" customHeight="1" x14ac:dyDescent="0.35">
      <c r="A24" s="198" t="s">
        <v>1663</v>
      </c>
      <c r="B24" s="198" t="s">
        <v>1664</v>
      </c>
      <c r="C24" s="125" t="str">
        <f>IF(COUNT(A115:A499)-B20=0,"","*If applicable, ensure that the details input here match the academy reserves section. This includes the upin as well as the academy name. The number of entries should match the number input in cell B20")</f>
        <v/>
      </c>
      <c r="D24" s="159" t="s">
        <v>67</v>
      </c>
      <c r="E24" s="159" t="s">
        <v>68</v>
      </c>
      <c r="F24" s="160" t="s">
        <v>69</v>
      </c>
      <c r="G24" s="160" t="s">
        <v>70</v>
      </c>
      <c r="H24" s="160" t="s">
        <v>71</v>
      </c>
      <c r="I24" s="159" t="s">
        <v>72</v>
      </c>
    </row>
    <row r="25" spans="1:9" ht="15" customHeight="1" x14ac:dyDescent="0.3">
      <c r="A25" s="219"/>
      <c r="B25" s="154"/>
      <c r="C25" s="410" t="str">
        <f>IF(E25="Y",IF(I25&lt;4,$G$25,$H$25),"")</f>
        <v/>
      </c>
      <c r="D25" s="31">
        <v>1</v>
      </c>
      <c r="E25" s="31" t="str">
        <f>IF(D25&lt;=$F$25,"Y","N")</f>
        <v>N</v>
      </c>
      <c r="F25" s="31">
        <f>B20</f>
        <v>0</v>
      </c>
      <c r="G25" s="31" t="s">
        <v>73</v>
      </c>
      <c r="H25" s="161" t="s">
        <v>74</v>
      </c>
      <c r="I25" s="161">
        <f>(IF(A25="",1,2)+(IF(B25="",1,2)))</f>
        <v>2</v>
      </c>
    </row>
    <row r="26" spans="1:9" ht="15" customHeight="1" x14ac:dyDescent="0.3">
      <c r="A26" s="219"/>
      <c r="B26" s="154"/>
      <c r="C26" s="410" t="str">
        <f>IF(E26="Y",IF(I26&lt;4,$G$25,$H$25),"")</f>
        <v/>
      </c>
      <c r="D26" s="31">
        <v>2</v>
      </c>
      <c r="E26" s="31" t="str">
        <f t="shared" ref="E26:E89" si="0">IF(D26&lt;=$F$25,"Y","N")</f>
        <v>N</v>
      </c>
      <c r="I26" s="161">
        <f t="shared" ref="I26:I56" si="1">(IF(A26="",1,2)+(IF(B26="",1,2)))</f>
        <v>2</v>
      </c>
    </row>
    <row r="27" spans="1:9" ht="15" customHeight="1" x14ac:dyDescent="0.3">
      <c r="A27" s="219"/>
      <c r="B27" s="154"/>
      <c r="C27" s="410" t="str">
        <f t="shared" ref="C27:C56" si="2">IF(E27="Y",IF(I27&lt;4,$G$25,$H$25),"")</f>
        <v/>
      </c>
      <c r="D27" s="31">
        <v>3</v>
      </c>
      <c r="E27" s="31" t="str">
        <f t="shared" si="0"/>
        <v>N</v>
      </c>
      <c r="I27" s="161">
        <f t="shared" si="1"/>
        <v>2</v>
      </c>
    </row>
    <row r="28" spans="1:9" ht="15" customHeight="1" x14ac:dyDescent="0.3">
      <c r="A28" s="219"/>
      <c r="B28" s="154"/>
      <c r="C28" s="410" t="str">
        <f t="shared" si="2"/>
        <v/>
      </c>
      <c r="D28" s="31">
        <v>4</v>
      </c>
      <c r="E28" s="31" t="str">
        <f t="shared" si="0"/>
        <v>N</v>
      </c>
      <c r="I28" s="161">
        <f t="shared" si="1"/>
        <v>2</v>
      </c>
    </row>
    <row r="29" spans="1:9" ht="15" customHeight="1" x14ac:dyDescent="0.3">
      <c r="A29" s="219"/>
      <c r="B29" s="154"/>
      <c r="C29" s="410" t="str">
        <f t="shared" si="2"/>
        <v/>
      </c>
      <c r="D29" s="31">
        <v>5</v>
      </c>
      <c r="E29" s="31" t="str">
        <f t="shared" si="0"/>
        <v>N</v>
      </c>
      <c r="I29" s="161">
        <f t="shared" si="1"/>
        <v>2</v>
      </c>
    </row>
    <row r="30" spans="1:9" ht="15" customHeight="1" x14ac:dyDescent="0.3">
      <c r="A30" s="219"/>
      <c r="B30" s="154"/>
      <c r="C30" s="410" t="str">
        <f t="shared" si="2"/>
        <v/>
      </c>
      <c r="D30" s="31">
        <v>6</v>
      </c>
      <c r="E30" s="31" t="str">
        <f t="shared" si="0"/>
        <v>N</v>
      </c>
      <c r="I30" s="161">
        <f t="shared" si="1"/>
        <v>2</v>
      </c>
    </row>
    <row r="31" spans="1:9" ht="15" customHeight="1" x14ac:dyDescent="0.3">
      <c r="A31" s="219"/>
      <c r="B31" s="154"/>
      <c r="C31" s="410" t="str">
        <f t="shared" si="2"/>
        <v/>
      </c>
      <c r="D31" s="31">
        <v>7</v>
      </c>
      <c r="E31" s="31" t="str">
        <f t="shared" si="0"/>
        <v>N</v>
      </c>
      <c r="I31" s="161">
        <f t="shared" si="1"/>
        <v>2</v>
      </c>
    </row>
    <row r="32" spans="1:9" ht="15" customHeight="1" x14ac:dyDescent="0.3">
      <c r="A32" s="219"/>
      <c r="B32" s="154"/>
      <c r="C32" s="410" t="str">
        <f t="shared" si="2"/>
        <v/>
      </c>
      <c r="D32" s="31">
        <v>8</v>
      </c>
      <c r="E32" s="31" t="str">
        <f t="shared" si="0"/>
        <v>N</v>
      </c>
      <c r="I32" s="161">
        <f t="shared" si="1"/>
        <v>2</v>
      </c>
    </row>
    <row r="33" spans="1:9" ht="15" customHeight="1" x14ac:dyDescent="0.3">
      <c r="A33" s="219"/>
      <c r="B33" s="154"/>
      <c r="C33" s="410" t="str">
        <f t="shared" si="2"/>
        <v/>
      </c>
      <c r="D33" s="31">
        <v>9</v>
      </c>
      <c r="E33" s="31" t="str">
        <f t="shared" si="0"/>
        <v>N</v>
      </c>
      <c r="I33" s="161">
        <f t="shared" si="1"/>
        <v>2</v>
      </c>
    </row>
    <row r="34" spans="1:9" ht="15" customHeight="1" x14ac:dyDescent="0.3">
      <c r="A34" s="219"/>
      <c r="B34" s="154"/>
      <c r="C34" s="410" t="str">
        <f t="shared" si="2"/>
        <v/>
      </c>
      <c r="D34" s="31">
        <v>10</v>
      </c>
      <c r="E34" s="31" t="str">
        <f t="shared" si="0"/>
        <v>N</v>
      </c>
      <c r="I34" s="161">
        <f t="shared" si="1"/>
        <v>2</v>
      </c>
    </row>
    <row r="35" spans="1:9" ht="15" customHeight="1" x14ac:dyDescent="0.3">
      <c r="A35" s="219"/>
      <c r="B35" s="154"/>
      <c r="C35" s="410" t="str">
        <f t="shared" si="2"/>
        <v/>
      </c>
      <c r="D35" s="31">
        <v>11</v>
      </c>
      <c r="E35" s="31" t="str">
        <f t="shared" si="0"/>
        <v>N</v>
      </c>
      <c r="I35" s="161">
        <f t="shared" si="1"/>
        <v>2</v>
      </c>
    </row>
    <row r="36" spans="1:9" ht="15" customHeight="1" x14ac:dyDescent="0.3">
      <c r="A36" s="219"/>
      <c r="B36" s="154"/>
      <c r="C36" s="410" t="str">
        <f t="shared" si="2"/>
        <v/>
      </c>
      <c r="D36" s="31">
        <v>12</v>
      </c>
      <c r="E36" s="31" t="str">
        <f t="shared" si="0"/>
        <v>N</v>
      </c>
      <c r="I36" s="161">
        <f t="shared" si="1"/>
        <v>2</v>
      </c>
    </row>
    <row r="37" spans="1:9" ht="15" customHeight="1" x14ac:dyDescent="0.3">
      <c r="A37" s="219"/>
      <c r="B37" s="154"/>
      <c r="C37" s="410" t="str">
        <f t="shared" si="2"/>
        <v/>
      </c>
      <c r="D37" s="31">
        <v>13</v>
      </c>
      <c r="E37" s="31" t="str">
        <f t="shared" si="0"/>
        <v>N</v>
      </c>
      <c r="I37" s="161">
        <f t="shared" si="1"/>
        <v>2</v>
      </c>
    </row>
    <row r="38" spans="1:9" ht="15" customHeight="1" x14ac:dyDescent="0.3">
      <c r="A38" s="219"/>
      <c r="B38" s="154"/>
      <c r="C38" s="410" t="str">
        <f t="shared" si="2"/>
        <v/>
      </c>
      <c r="D38" s="31">
        <v>14</v>
      </c>
      <c r="E38" s="31" t="str">
        <f t="shared" si="0"/>
        <v>N</v>
      </c>
      <c r="I38" s="161">
        <f t="shared" si="1"/>
        <v>2</v>
      </c>
    </row>
    <row r="39" spans="1:9" ht="15" customHeight="1" x14ac:dyDescent="0.3">
      <c r="A39" s="219"/>
      <c r="B39" s="154"/>
      <c r="C39" s="410" t="str">
        <f t="shared" si="2"/>
        <v/>
      </c>
      <c r="D39" s="31">
        <v>15</v>
      </c>
      <c r="E39" s="31" t="str">
        <f t="shared" si="0"/>
        <v>N</v>
      </c>
      <c r="I39" s="161">
        <f t="shared" si="1"/>
        <v>2</v>
      </c>
    </row>
    <row r="40" spans="1:9" ht="15" customHeight="1" x14ac:dyDescent="0.3">
      <c r="A40" s="219"/>
      <c r="B40" s="154"/>
      <c r="C40" s="410" t="str">
        <f t="shared" si="2"/>
        <v/>
      </c>
      <c r="D40" s="31">
        <v>16</v>
      </c>
      <c r="E40" s="31" t="str">
        <f t="shared" si="0"/>
        <v>N</v>
      </c>
      <c r="I40" s="161">
        <f t="shared" si="1"/>
        <v>2</v>
      </c>
    </row>
    <row r="41" spans="1:9" ht="15" customHeight="1" x14ac:dyDescent="0.3">
      <c r="A41" s="219"/>
      <c r="B41" s="154"/>
      <c r="C41" s="410" t="str">
        <f t="shared" si="2"/>
        <v/>
      </c>
      <c r="D41" s="31">
        <v>17</v>
      </c>
      <c r="E41" s="31" t="str">
        <f t="shared" si="0"/>
        <v>N</v>
      </c>
      <c r="I41" s="161">
        <f t="shared" si="1"/>
        <v>2</v>
      </c>
    </row>
    <row r="42" spans="1:9" ht="15" customHeight="1" x14ac:dyDescent="0.3">
      <c r="A42" s="219"/>
      <c r="B42" s="154"/>
      <c r="C42" s="410" t="str">
        <f t="shared" si="2"/>
        <v/>
      </c>
      <c r="D42" s="31">
        <v>18</v>
      </c>
      <c r="E42" s="31" t="str">
        <f t="shared" si="0"/>
        <v>N</v>
      </c>
      <c r="I42" s="161">
        <f t="shared" si="1"/>
        <v>2</v>
      </c>
    </row>
    <row r="43" spans="1:9" ht="15" customHeight="1" x14ac:dyDescent="0.3">
      <c r="A43" s="219"/>
      <c r="B43" s="154"/>
      <c r="C43" s="410" t="str">
        <f t="shared" si="2"/>
        <v/>
      </c>
      <c r="D43" s="31">
        <v>19</v>
      </c>
      <c r="E43" s="31" t="str">
        <f t="shared" si="0"/>
        <v>N</v>
      </c>
      <c r="I43" s="161">
        <f t="shared" si="1"/>
        <v>2</v>
      </c>
    </row>
    <row r="44" spans="1:9" ht="15" customHeight="1" x14ac:dyDescent="0.3">
      <c r="A44" s="219"/>
      <c r="B44" s="154"/>
      <c r="C44" s="410" t="str">
        <f t="shared" si="2"/>
        <v/>
      </c>
      <c r="D44" s="31">
        <v>20</v>
      </c>
      <c r="E44" s="31" t="str">
        <f t="shared" si="0"/>
        <v>N</v>
      </c>
      <c r="I44" s="161">
        <f t="shared" si="1"/>
        <v>2</v>
      </c>
    </row>
    <row r="45" spans="1:9" ht="15" customHeight="1" x14ac:dyDescent="0.3">
      <c r="A45" s="219"/>
      <c r="B45" s="154"/>
      <c r="C45" s="410" t="str">
        <f t="shared" si="2"/>
        <v/>
      </c>
      <c r="D45" s="31">
        <v>21</v>
      </c>
      <c r="E45" s="31" t="str">
        <f t="shared" si="0"/>
        <v>N</v>
      </c>
      <c r="I45" s="161">
        <f t="shared" si="1"/>
        <v>2</v>
      </c>
    </row>
    <row r="46" spans="1:9" ht="15" customHeight="1" x14ac:dyDescent="0.3">
      <c r="A46" s="219"/>
      <c r="B46" s="154"/>
      <c r="C46" s="410" t="str">
        <f t="shared" si="2"/>
        <v/>
      </c>
      <c r="D46" s="31">
        <v>22</v>
      </c>
      <c r="E46" s="31" t="str">
        <f t="shared" si="0"/>
        <v>N</v>
      </c>
      <c r="I46" s="161">
        <f t="shared" si="1"/>
        <v>2</v>
      </c>
    </row>
    <row r="47" spans="1:9" ht="15" customHeight="1" x14ac:dyDescent="0.3">
      <c r="A47" s="219"/>
      <c r="B47" s="154"/>
      <c r="C47" s="410" t="str">
        <f t="shared" si="2"/>
        <v/>
      </c>
      <c r="D47" s="31">
        <v>23</v>
      </c>
      <c r="E47" s="31" t="str">
        <f t="shared" si="0"/>
        <v>N</v>
      </c>
      <c r="I47" s="161">
        <f t="shared" si="1"/>
        <v>2</v>
      </c>
    </row>
    <row r="48" spans="1:9" ht="15" customHeight="1" x14ac:dyDescent="0.3">
      <c r="A48" s="219"/>
      <c r="B48" s="154"/>
      <c r="C48" s="410" t="str">
        <f t="shared" si="2"/>
        <v/>
      </c>
      <c r="D48" s="31">
        <v>24</v>
      </c>
      <c r="E48" s="31" t="str">
        <f t="shared" si="0"/>
        <v>N</v>
      </c>
      <c r="I48" s="161">
        <f t="shared" si="1"/>
        <v>2</v>
      </c>
    </row>
    <row r="49" spans="1:9" ht="18.649999999999999" customHeight="1" x14ac:dyDescent="0.3">
      <c r="A49" s="219"/>
      <c r="B49" s="154"/>
      <c r="C49" s="410" t="str">
        <f t="shared" si="2"/>
        <v/>
      </c>
      <c r="D49" s="31">
        <v>25</v>
      </c>
      <c r="E49" s="31" t="str">
        <f t="shared" si="0"/>
        <v>N</v>
      </c>
      <c r="I49" s="161">
        <f t="shared" si="1"/>
        <v>2</v>
      </c>
    </row>
    <row r="50" spans="1:9" ht="18.649999999999999" customHeight="1" x14ac:dyDescent="0.3">
      <c r="A50" s="219"/>
      <c r="B50" s="154"/>
      <c r="C50" s="410" t="str">
        <f t="shared" si="2"/>
        <v/>
      </c>
      <c r="D50" s="31">
        <v>26</v>
      </c>
      <c r="E50" s="31" t="str">
        <f t="shared" si="0"/>
        <v>N</v>
      </c>
      <c r="I50" s="161">
        <f t="shared" si="1"/>
        <v>2</v>
      </c>
    </row>
    <row r="51" spans="1:9" ht="18.649999999999999" customHeight="1" x14ac:dyDescent="0.3">
      <c r="A51" s="219"/>
      <c r="B51" s="154"/>
      <c r="C51" s="410" t="str">
        <f t="shared" si="2"/>
        <v/>
      </c>
      <c r="D51" s="31">
        <v>27</v>
      </c>
      <c r="E51" s="31" t="str">
        <f t="shared" si="0"/>
        <v>N</v>
      </c>
      <c r="I51" s="161">
        <f t="shared" si="1"/>
        <v>2</v>
      </c>
    </row>
    <row r="52" spans="1:9" ht="18.649999999999999" customHeight="1" x14ac:dyDescent="0.3">
      <c r="A52" s="219"/>
      <c r="B52" s="154"/>
      <c r="C52" s="410" t="str">
        <f t="shared" si="2"/>
        <v/>
      </c>
      <c r="D52" s="31">
        <v>28</v>
      </c>
      <c r="E52" s="31" t="str">
        <f t="shared" si="0"/>
        <v>N</v>
      </c>
      <c r="I52" s="161">
        <f t="shared" si="1"/>
        <v>2</v>
      </c>
    </row>
    <row r="53" spans="1:9" ht="18.649999999999999" customHeight="1" x14ac:dyDescent="0.3">
      <c r="A53" s="219"/>
      <c r="B53" s="154"/>
      <c r="C53" s="410" t="str">
        <f t="shared" si="2"/>
        <v/>
      </c>
      <c r="D53" s="31">
        <v>29</v>
      </c>
      <c r="E53" s="31" t="str">
        <f t="shared" si="0"/>
        <v>N</v>
      </c>
      <c r="I53" s="161">
        <f t="shared" si="1"/>
        <v>2</v>
      </c>
    </row>
    <row r="54" spans="1:9" ht="18.649999999999999" customHeight="1" x14ac:dyDescent="0.3">
      <c r="A54" s="219"/>
      <c r="B54" s="154"/>
      <c r="C54" s="410" t="str">
        <f t="shared" si="2"/>
        <v/>
      </c>
      <c r="D54" s="31">
        <v>30</v>
      </c>
      <c r="E54" s="31" t="str">
        <f t="shared" si="0"/>
        <v>N</v>
      </c>
      <c r="I54" s="161">
        <f t="shared" si="1"/>
        <v>2</v>
      </c>
    </row>
    <row r="55" spans="1:9" ht="18.649999999999999" customHeight="1" x14ac:dyDescent="0.3">
      <c r="A55" s="219"/>
      <c r="B55" s="154"/>
      <c r="C55" s="410" t="str">
        <f t="shared" si="2"/>
        <v/>
      </c>
      <c r="D55" s="31">
        <v>31</v>
      </c>
      <c r="E55" s="31" t="str">
        <f t="shared" si="0"/>
        <v>N</v>
      </c>
      <c r="I55" s="161">
        <f t="shared" si="1"/>
        <v>2</v>
      </c>
    </row>
    <row r="56" spans="1:9" ht="18.649999999999999" customHeight="1" x14ac:dyDescent="0.3">
      <c r="A56" s="219"/>
      <c r="B56" s="154"/>
      <c r="C56" s="410" t="str">
        <f t="shared" si="2"/>
        <v/>
      </c>
      <c r="D56" s="31">
        <v>32</v>
      </c>
      <c r="E56" s="31" t="str">
        <f t="shared" si="0"/>
        <v>N</v>
      </c>
      <c r="I56" s="161">
        <f t="shared" si="1"/>
        <v>2</v>
      </c>
    </row>
    <row r="57" spans="1:9" ht="18.649999999999999" customHeight="1" x14ac:dyDescent="0.3">
      <c r="A57" s="219"/>
      <c r="B57" s="154"/>
      <c r="C57" s="410" t="str">
        <f t="shared" ref="C57:C88" si="3">IF(E57="Y",IF(I57&lt;4,$G$25,$H$25),"")</f>
        <v/>
      </c>
      <c r="D57" s="31">
        <v>33</v>
      </c>
      <c r="E57" s="31" t="str">
        <f t="shared" si="0"/>
        <v>N</v>
      </c>
      <c r="I57" s="161">
        <f t="shared" ref="I57:I88" si="4">(IF(A57="",1,2)+(IF(B57="",1,2)))</f>
        <v>2</v>
      </c>
    </row>
    <row r="58" spans="1:9" ht="18.649999999999999" customHeight="1" x14ac:dyDescent="0.3">
      <c r="A58" s="219"/>
      <c r="B58" s="154"/>
      <c r="C58" s="410" t="str">
        <f t="shared" si="3"/>
        <v/>
      </c>
      <c r="D58" s="31">
        <v>34</v>
      </c>
      <c r="E58" s="31" t="str">
        <f t="shared" si="0"/>
        <v>N</v>
      </c>
      <c r="I58" s="161">
        <f t="shared" si="4"/>
        <v>2</v>
      </c>
    </row>
    <row r="59" spans="1:9" ht="18.649999999999999" customHeight="1" x14ac:dyDescent="0.3">
      <c r="A59" s="219"/>
      <c r="B59" s="154"/>
      <c r="C59" s="410" t="str">
        <f t="shared" si="3"/>
        <v/>
      </c>
      <c r="D59" s="31">
        <v>35</v>
      </c>
      <c r="E59" s="31" t="str">
        <f t="shared" si="0"/>
        <v>N</v>
      </c>
      <c r="I59" s="161">
        <f t="shared" si="4"/>
        <v>2</v>
      </c>
    </row>
    <row r="60" spans="1:9" ht="18.649999999999999" customHeight="1" x14ac:dyDescent="0.3">
      <c r="A60" s="219"/>
      <c r="B60" s="154"/>
      <c r="C60" s="410" t="str">
        <f t="shared" si="3"/>
        <v/>
      </c>
      <c r="D60" s="31">
        <v>36</v>
      </c>
      <c r="E60" s="31" t="str">
        <f t="shared" si="0"/>
        <v>N</v>
      </c>
      <c r="I60" s="161">
        <f t="shared" si="4"/>
        <v>2</v>
      </c>
    </row>
    <row r="61" spans="1:9" ht="15" customHeight="1" x14ac:dyDescent="0.3">
      <c r="A61" s="219"/>
      <c r="B61" s="154"/>
      <c r="C61" s="410" t="str">
        <f t="shared" si="3"/>
        <v/>
      </c>
      <c r="D61" s="31">
        <v>37</v>
      </c>
      <c r="E61" s="31" t="str">
        <f t="shared" si="0"/>
        <v>N</v>
      </c>
      <c r="I61" s="161">
        <f t="shared" si="4"/>
        <v>2</v>
      </c>
    </row>
    <row r="62" spans="1:9" ht="15" customHeight="1" x14ac:dyDescent="0.3">
      <c r="A62" s="219"/>
      <c r="B62" s="154"/>
      <c r="C62" s="410" t="str">
        <f t="shared" si="3"/>
        <v/>
      </c>
      <c r="D62" s="31">
        <v>38</v>
      </c>
      <c r="E62" s="31" t="str">
        <f t="shared" si="0"/>
        <v>N</v>
      </c>
      <c r="I62" s="161">
        <f t="shared" si="4"/>
        <v>2</v>
      </c>
    </row>
    <row r="63" spans="1:9" ht="15" customHeight="1" x14ac:dyDescent="0.3">
      <c r="A63" s="219"/>
      <c r="B63" s="154"/>
      <c r="C63" s="410" t="str">
        <f t="shared" si="3"/>
        <v/>
      </c>
      <c r="D63" s="31">
        <v>39</v>
      </c>
      <c r="E63" s="31" t="str">
        <f t="shared" si="0"/>
        <v>N</v>
      </c>
      <c r="I63" s="161">
        <f t="shared" si="4"/>
        <v>2</v>
      </c>
    </row>
    <row r="64" spans="1:9" ht="15" customHeight="1" x14ac:dyDescent="0.3">
      <c r="A64" s="219"/>
      <c r="B64" s="154"/>
      <c r="C64" s="410" t="str">
        <f t="shared" si="3"/>
        <v/>
      </c>
      <c r="D64" s="31">
        <v>40</v>
      </c>
      <c r="E64" s="31" t="str">
        <f t="shared" si="0"/>
        <v>N</v>
      </c>
      <c r="I64" s="161">
        <f t="shared" si="4"/>
        <v>2</v>
      </c>
    </row>
    <row r="65" spans="1:9" ht="15" customHeight="1" x14ac:dyDescent="0.3">
      <c r="A65" s="219"/>
      <c r="B65" s="154"/>
      <c r="C65" s="410" t="str">
        <f t="shared" si="3"/>
        <v/>
      </c>
      <c r="D65" s="31">
        <v>41</v>
      </c>
      <c r="E65" s="31" t="str">
        <f t="shared" si="0"/>
        <v>N</v>
      </c>
      <c r="I65" s="161">
        <f t="shared" si="4"/>
        <v>2</v>
      </c>
    </row>
    <row r="66" spans="1:9" ht="15" customHeight="1" x14ac:dyDescent="0.3">
      <c r="A66" s="219"/>
      <c r="B66" s="154"/>
      <c r="C66" s="410" t="str">
        <f t="shared" si="3"/>
        <v/>
      </c>
      <c r="D66" s="31">
        <v>42</v>
      </c>
      <c r="E66" s="31" t="str">
        <f t="shared" si="0"/>
        <v>N</v>
      </c>
      <c r="I66" s="161">
        <f t="shared" si="4"/>
        <v>2</v>
      </c>
    </row>
    <row r="67" spans="1:9" ht="15" customHeight="1" x14ac:dyDescent="0.3">
      <c r="A67" s="219"/>
      <c r="B67" s="154"/>
      <c r="C67" s="410" t="str">
        <f t="shared" si="3"/>
        <v/>
      </c>
      <c r="D67" s="31">
        <v>43</v>
      </c>
      <c r="E67" s="31" t="str">
        <f t="shared" si="0"/>
        <v>N</v>
      </c>
      <c r="I67" s="161">
        <f t="shared" si="4"/>
        <v>2</v>
      </c>
    </row>
    <row r="68" spans="1:9" ht="15" customHeight="1" x14ac:dyDescent="0.3">
      <c r="A68" s="219"/>
      <c r="B68" s="154"/>
      <c r="C68" s="410" t="str">
        <f t="shared" si="3"/>
        <v/>
      </c>
      <c r="D68" s="31">
        <v>44</v>
      </c>
      <c r="E68" s="31" t="str">
        <f t="shared" si="0"/>
        <v>N</v>
      </c>
      <c r="I68" s="161">
        <f t="shared" si="4"/>
        <v>2</v>
      </c>
    </row>
    <row r="69" spans="1:9" ht="15" customHeight="1" x14ac:dyDescent="0.3">
      <c r="A69" s="219"/>
      <c r="B69" s="154"/>
      <c r="C69" s="410" t="str">
        <f t="shared" si="3"/>
        <v/>
      </c>
      <c r="D69" s="31">
        <v>45</v>
      </c>
      <c r="E69" s="31" t="str">
        <f t="shared" si="0"/>
        <v>N</v>
      </c>
      <c r="I69" s="161">
        <f t="shared" si="4"/>
        <v>2</v>
      </c>
    </row>
    <row r="70" spans="1:9" ht="15" customHeight="1" x14ac:dyDescent="0.3">
      <c r="A70" s="219"/>
      <c r="B70" s="154"/>
      <c r="C70" s="410" t="str">
        <f t="shared" si="3"/>
        <v/>
      </c>
      <c r="D70" s="31">
        <v>46</v>
      </c>
      <c r="E70" s="31" t="str">
        <f t="shared" si="0"/>
        <v>N</v>
      </c>
      <c r="I70" s="161">
        <f t="shared" si="4"/>
        <v>2</v>
      </c>
    </row>
    <row r="71" spans="1:9" ht="15" customHeight="1" x14ac:dyDescent="0.3">
      <c r="A71" s="219"/>
      <c r="B71" s="154"/>
      <c r="C71" s="410" t="str">
        <f t="shared" si="3"/>
        <v/>
      </c>
      <c r="D71" s="31">
        <v>47</v>
      </c>
      <c r="E71" s="31" t="str">
        <f t="shared" si="0"/>
        <v>N</v>
      </c>
      <c r="I71" s="161">
        <f t="shared" si="4"/>
        <v>2</v>
      </c>
    </row>
    <row r="72" spans="1:9" ht="15" customHeight="1" x14ac:dyDescent="0.3">
      <c r="A72" s="219"/>
      <c r="B72" s="154"/>
      <c r="C72" s="410" t="str">
        <f t="shared" si="3"/>
        <v/>
      </c>
      <c r="D72" s="31">
        <v>48</v>
      </c>
      <c r="E72" s="31" t="str">
        <f t="shared" si="0"/>
        <v>N</v>
      </c>
      <c r="I72" s="161">
        <f t="shared" si="4"/>
        <v>2</v>
      </c>
    </row>
    <row r="73" spans="1:9" ht="15" customHeight="1" x14ac:dyDescent="0.3">
      <c r="A73" s="219"/>
      <c r="B73" s="154"/>
      <c r="C73" s="410" t="str">
        <f t="shared" si="3"/>
        <v/>
      </c>
      <c r="D73" s="31">
        <v>49</v>
      </c>
      <c r="E73" s="31" t="str">
        <f t="shared" si="0"/>
        <v>N</v>
      </c>
      <c r="I73" s="161">
        <f t="shared" si="4"/>
        <v>2</v>
      </c>
    </row>
    <row r="74" spans="1:9" ht="15" customHeight="1" x14ac:dyDescent="0.3">
      <c r="A74" s="219"/>
      <c r="B74" s="154"/>
      <c r="C74" s="410" t="str">
        <f t="shared" si="3"/>
        <v/>
      </c>
      <c r="D74" s="31">
        <v>50</v>
      </c>
      <c r="E74" s="31" t="str">
        <f t="shared" si="0"/>
        <v>N</v>
      </c>
      <c r="I74" s="161">
        <f t="shared" si="4"/>
        <v>2</v>
      </c>
    </row>
    <row r="75" spans="1:9" ht="15" customHeight="1" x14ac:dyDescent="0.3">
      <c r="A75" s="219"/>
      <c r="B75" s="154"/>
      <c r="C75" s="410" t="str">
        <f t="shared" si="3"/>
        <v/>
      </c>
      <c r="D75" s="31">
        <v>51</v>
      </c>
      <c r="E75" s="31" t="str">
        <f t="shared" si="0"/>
        <v>N</v>
      </c>
      <c r="I75" s="161">
        <f t="shared" si="4"/>
        <v>2</v>
      </c>
    </row>
    <row r="76" spans="1:9" ht="15" customHeight="1" x14ac:dyDescent="0.3">
      <c r="A76" s="219"/>
      <c r="B76" s="154"/>
      <c r="C76" s="410" t="str">
        <f t="shared" si="3"/>
        <v/>
      </c>
      <c r="D76" s="31">
        <v>52</v>
      </c>
      <c r="E76" s="31" t="str">
        <f t="shared" si="0"/>
        <v>N</v>
      </c>
      <c r="I76" s="161">
        <f t="shared" si="4"/>
        <v>2</v>
      </c>
    </row>
    <row r="77" spans="1:9" ht="15" customHeight="1" x14ac:dyDescent="0.3">
      <c r="A77" s="219"/>
      <c r="B77" s="154"/>
      <c r="C77" s="410" t="str">
        <f t="shared" si="3"/>
        <v/>
      </c>
      <c r="D77" s="31">
        <v>53</v>
      </c>
      <c r="E77" s="31" t="str">
        <f t="shared" si="0"/>
        <v>N</v>
      </c>
      <c r="I77" s="161">
        <f t="shared" si="4"/>
        <v>2</v>
      </c>
    </row>
    <row r="78" spans="1:9" ht="15" customHeight="1" x14ac:dyDescent="0.3">
      <c r="A78" s="219"/>
      <c r="B78" s="154"/>
      <c r="C78" s="410" t="str">
        <f t="shared" si="3"/>
        <v/>
      </c>
      <c r="D78" s="31">
        <v>54</v>
      </c>
      <c r="E78" s="31" t="str">
        <f t="shared" si="0"/>
        <v>N</v>
      </c>
      <c r="I78" s="161">
        <f t="shared" si="4"/>
        <v>2</v>
      </c>
    </row>
    <row r="79" spans="1:9" ht="15" customHeight="1" x14ac:dyDescent="0.3">
      <c r="A79" s="219"/>
      <c r="B79" s="154"/>
      <c r="C79" s="410" t="str">
        <f t="shared" si="3"/>
        <v/>
      </c>
      <c r="D79" s="31">
        <v>55</v>
      </c>
      <c r="E79" s="31" t="str">
        <f t="shared" si="0"/>
        <v>N</v>
      </c>
      <c r="I79" s="161">
        <f t="shared" si="4"/>
        <v>2</v>
      </c>
    </row>
    <row r="80" spans="1:9" ht="15" customHeight="1" x14ac:dyDescent="0.3">
      <c r="A80" s="219"/>
      <c r="B80" s="154"/>
      <c r="C80" s="410" t="str">
        <f t="shared" si="3"/>
        <v/>
      </c>
      <c r="D80" s="31">
        <v>56</v>
      </c>
      <c r="E80" s="31" t="str">
        <f t="shared" si="0"/>
        <v>N</v>
      </c>
      <c r="I80" s="161">
        <f t="shared" si="4"/>
        <v>2</v>
      </c>
    </row>
    <row r="81" spans="1:9" ht="15" customHeight="1" x14ac:dyDescent="0.3">
      <c r="A81" s="219"/>
      <c r="B81" s="154"/>
      <c r="C81" s="410" t="str">
        <f t="shared" si="3"/>
        <v/>
      </c>
      <c r="D81" s="31">
        <v>57</v>
      </c>
      <c r="E81" s="31" t="str">
        <f t="shared" si="0"/>
        <v>N</v>
      </c>
      <c r="I81" s="161">
        <f t="shared" si="4"/>
        <v>2</v>
      </c>
    </row>
    <row r="82" spans="1:9" ht="15" customHeight="1" x14ac:dyDescent="0.3">
      <c r="A82" s="219"/>
      <c r="B82" s="154"/>
      <c r="C82" s="410" t="str">
        <f t="shared" si="3"/>
        <v/>
      </c>
      <c r="D82" s="31">
        <v>58</v>
      </c>
      <c r="E82" s="31" t="str">
        <f t="shared" si="0"/>
        <v>N</v>
      </c>
      <c r="I82" s="161">
        <f t="shared" si="4"/>
        <v>2</v>
      </c>
    </row>
    <row r="83" spans="1:9" ht="15" customHeight="1" x14ac:dyDescent="0.3">
      <c r="A83" s="219"/>
      <c r="B83" s="154"/>
      <c r="C83" s="410" t="str">
        <f t="shared" si="3"/>
        <v/>
      </c>
      <c r="D83" s="31">
        <v>59</v>
      </c>
      <c r="E83" s="31" t="str">
        <f t="shared" si="0"/>
        <v>N</v>
      </c>
      <c r="I83" s="161">
        <f t="shared" si="4"/>
        <v>2</v>
      </c>
    </row>
    <row r="84" spans="1:9" ht="15" customHeight="1" x14ac:dyDescent="0.3">
      <c r="A84" s="219"/>
      <c r="B84" s="154"/>
      <c r="C84" s="410" t="str">
        <f t="shared" si="3"/>
        <v/>
      </c>
      <c r="D84" s="31">
        <v>60</v>
      </c>
      <c r="E84" s="31" t="str">
        <f t="shared" si="0"/>
        <v>N</v>
      </c>
      <c r="I84" s="161">
        <f t="shared" si="4"/>
        <v>2</v>
      </c>
    </row>
    <row r="85" spans="1:9" ht="15" customHeight="1" x14ac:dyDescent="0.3">
      <c r="A85" s="219"/>
      <c r="B85" s="154"/>
      <c r="C85" s="410" t="str">
        <f t="shared" si="3"/>
        <v/>
      </c>
      <c r="D85" s="31">
        <v>61</v>
      </c>
      <c r="E85" s="31" t="str">
        <f t="shared" si="0"/>
        <v>N</v>
      </c>
      <c r="I85" s="161">
        <f t="shared" si="4"/>
        <v>2</v>
      </c>
    </row>
    <row r="86" spans="1:9" ht="15" customHeight="1" x14ac:dyDescent="0.3">
      <c r="A86" s="219"/>
      <c r="B86" s="154"/>
      <c r="C86" s="410" t="str">
        <f t="shared" si="3"/>
        <v/>
      </c>
      <c r="D86" s="31">
        <v>62</v>
      </c>
      <c r="E86" s="31" t="str">
        <f t="shared" si="0"/>
        <v>N</v>
      </c>
      <c r="I86" s="161">
        <f t="shared" si="4"/>
        <v>2</v>
      </c>
    </row>
    <row r="87" spans="1:9" ht="15" customHeight="1" x14ac:dyDescent="0.3">
      <c r="A87" s="219"/>
      <c r="B87" s="154"/>
      <c r="C87" s="410" t="str">
        <f t="shared" si="3"/>
        <v/>
      </c>
      <c r="D87" s="31">
        <v>63</v>
      </c>
      <c r="E87" s="31" t="str">
        <f t="shared" si="0"/>
        <v>N</v>
      </c>
      <c r="I87" s="161">
        <f t="shared" si="4"/>
        <v>2</v>
      </c>
    </row>
    <row r="88" spans="1:9" ht="15" customHeight="1" x14ac:dyDescent="0.3">
      <c r="A88" s="219"/>
      <c r="B88" s="154"/>
      <c r="C88" s="410" t="str">
        <f t="shared" si="3"/>
        <v/>
      </c>
      <c r="D88" s="31">
        <v>64</v>
      </c>
      <c r="E88" s="31" t="str">
        <f t="shared" si="0"/>
        <v>N</v>
      </c>
      <c r="I88" s="161">
        <f t="shared" si="4"/>
        <v>2</v>
      </c>
    </row>
    <row r="89" spans="1:9" ht="15" customHeight="1" x14ac:dyDescent="0.3">
      <c r="A89" s="219"/>
      <c r="B89" s="154"/>
      <c r="C89" s="410" t="str">
        <f t="shared" ref="C89:C114" si="5">IF(E89="Y",IF(I89&lt;4,$G$25,$H$25),"")</f>
        <v/>
      </c>
      <c r="D89" s="31">
        <v>65</v>
      </c>
      <c r="E89" s="31" t="str">
        <f t="shared" si="0"/>
        <v>N</v>
      </c>
      <c r="I89" s="161">
        <f t="shared" ref="I89:I114" si="6">(IF(A89="",1,2)+(IF(B89="",1,2)))</f>
        <v>2</v>
      </c>
    </row>
    <row r="90" spans="1:9" ht="15" customHeight="1" x14ac:dyDescent="0.3">
      <c r="A90" s="219"/>
      <c r="B90" s="154"/>
      <c r="C90" s="410" t="str">
        <f t="shared" si="5"/>
        <v/>
      </c>
      <c r="D90" s="31">
        <v>66</v>
      </c>
      <c r="E90" s="31" t="str">
        <f t="shared" ref="E90:E114" si="7">IF(D90&lt;=$F$25,"Y","N")</f>
        <v>N</v>
      </c>
      <c r="I90" s="161">
        <f t="shared" si="6"/>
        <v>2</v>
      </c>
    </row>
    <row r="91" spans="1:9" ht="15" customHeight="1" x14ac:dyDescent="0.3">
      <c r="A91" s="219"/>
      <c r="B91" s="154"/>
      <c r="C91" s="410" t="str">
        <f t="shared" si="5"/>
        <v/>
      </c>
      <c r="D91" s="31">
        <v>67</v>
      </c>
      <c r="E91" s="31" t="str">
        <f t="shared" si="7"/>
        <v>N</v>
      </c>
      <c r="I91" s="161">
        <f t="shared" si="6"/>
        <v>2</v>
      </c>
    </row>
    <row r="92" spans="1:9" ht="15" customHeight="1" x14ac:dyDescent="0.3">
      <c r="A92" s="219"/>
      <c r="B92" s="154"/>
      <c r="C92" s="410" t="str">
        <f t="shared" si="5"/>
        <v/>
      </c>
      <c r="D92" s="31">
        <v>68</v>
      </c>
      <c r="E92" s="31" t="str">
        <f t="shared" si="7"/>
        <v>N</v>
      </c>
      <c r="I92" s="161">
        <f t="shared" si="6"/>
        <v>2</v>
      </c>
    </row>
    <row r="93" spans="1:9" ht="15" customHeight="1" x14ac:dyDescent="0.3">
      <c r="A93" s="219"/>
      <c r="B93" s="154"/>
      <c r="C93" s="410" t="str">
        <f t="shared" si="5"/>
        <v/>
      </c>
      <c r="D93" s="31">
        <v>69</v>
      </c>
      <c r="E93" s="31" t="str">
        <f t="shared" si="7"/>
        <v>N</v>
      </c>
      <c r="I93" s="161">
        <f t="shared" si="6"/>
        <v>2</v>
      </c>
    </row>
    <row r="94" spans="1:9" ht="15" customHeight="1" x14ac:dyDescent="0.3">
      <c r="A94" s="219"/>
      <c r="B94" s="154"/>
      <c r="C94" s="410" t="str">
        <f t="shared" si="5"/>
        <v/>
      </c>
      <c r="D94" s="31">
        <v>70</v>
      </c>
      <c r="E94" s="31" t="str">
        <f t="shared" si="7"/>
        <v>N</v>
      </c>
      <c r="I94" s="161">
        <f t="shared" si="6"/>
        <v>2</v>
      </c>
    </row>
    <row r="95" spans="1:9" ht="15" customHeight="1" x14ac:dyDescent="0.3">
      <c r="A95" s="219"/>
      <c r="B95" s="154"/>
      <c r="C95" s="410" t="str">
        <f t="shared" si="5"/>
        <v/>
      </c>
      <c r="D95" s="31">
        <v>71</v>
      </c>
      <c r="E95" s="31" t="str">
        <f t="shared" si="7"/>
        <v>N</v>
      </c>
      <c r="I95" s="161">
        <f t="shared" si="6"/>
        <v>2</v>
      </c>
    </row>
    <row r="96" spans="1:9" ht="15" customHeight="1" x14ac:dyDescent="0.3">
      <c r="A96" s="219"/>
      <c r="B96" s="154"/>
      <c r="C96" s="410" t="str">
        <f t="shared" si="5"/>
        <v/>
      </c>
      <c r="D96" s="31">
        <v>72</v>
      </c>
      <c r="E96" s="31" t="str">
        <f t="shared" si="7"/>
        <v>N</v>
      </c>
      <c r="I96" s="161">
        <f t="shared" si="6"/>
        <v>2</v>
      </c>
    </row>
    <row r="97" spans="1:9" ht="15" customHeight="1" x14ac:dyDescent="0.3">
      <c r="A97" s="219"/>
      <c r="B97" s="154"/>
      <c r="C97" s="410" t="str">
        <f t="shared" si="5"/>
        <v/>
      </c>
      <c r="D97" s="31">
        <v>73</v>
      </c>
      <c r="E97" s="31" t="str">
        <f t="shared" si="7"/>
        <v>N</v>
      </c>
      <c r="I97" s="161">
        <f t="shared" si="6"/>
        <v>2</v>
      </c>
    </row>
    <row r="98" spans="1:9" ht="15" customHeight="1" x14ac:dyDescent="0.3">
      <c r="A98" s="219"/>
      <c r="B98" s="154"/>
      <c r="C98" s="410" t="str">
        <f t="shared" si="5"/>
        <v/>
      </c>
      <c r="D98" s="31">
        <v>74</v>
      </c>
      <c r="E98" s="31" t="str">
        <f t="shared" si="7"/>
        <v>N</v>
      </c>
      <c r="I98" s="161">
        <f t="shared" si="6"/>
        <v>2</v>
      </c>
    </row>
    <row r="99" spans="1:9" ht="15" customHeight="1" x14ac:dyDescent="0.3">
      <c r="A99" s="219"/>
      <c r="B99" s="154"/>
      <c r="C99" s="410" t="str">
        <f t="shared" si="5"/>
        <v/>
      </c>
      <c r="D99" s="31">
        <v>75</v>
      </c>
      <c r="E99" s="31" t="str">
        <f t="shared" si="7"/>
        <v>N</v>
      </c>
      <c r="I99" s="161">
        <f t="shared" si="6"/>
        <v>2</v>
      </c>
    </row>
    <row r="100" spans="1:9" ht="15" customHeight="1" x14ac:dyDescent="0.3">
      <c r="A100" s="219"/>
      <c r="B100" s="154"/>
      <c r="C100" s="410" t="str">
        <f t="shared" si="5"/>
        <v/>
      </c>
      <c r="D100" s="31">
        <v>76</v>
      </c>
      <c r="E100" s="31" t="str">
        <f t="shared" si="7"/>
        <v>N</v>
      </c>
      <c r="I100" s="161">
        <f t="shared" si="6"/>
        <v>2</v>
      </c>
    </row>
    <row r="101" spans="1:9" ht="15" customHeight="1" x14ac:dyDescent="0.3">
      <c r="A101" s="219"/>
      <c r="B101" s="154"/>
      <c r="C101" s="410" t="str">
        <f t="shared" si="5"/>
        <v/>
      </c>
      <c r="D101" s="31">
        <v>77</v>
      </c>
      <c r="E101" s="31" t="str">
        <f t="shared" si="7"/>
        <v>N</v>
      </c>
      <c r="I101" s="161">
        <f t="shared" si="6"/>
        <v>2</v>
      </c>
    </row>
    <row r="102" spans="1:9" ht="15" customHeight="1" x14ac:dyDescent="0.3">
      <c r="A102" s="219"/>
      <c r="B102" s="154"/>
      <c r="C102" s="410" t="str">
        <f t="shared" si="5"/>
        <v/>
      </c>
      <c r="D102" s="31">
        <v>78</v>
      </c>
      <c r="E102" s="31" t="str">
        <f t="shared" si="7"/>
        <v>N</v>
      </c>
      <c r="I102" s="161">
        <f t="shared" si="6"/>
        <v>2</v>
      </c>
    </row>
    <row r="103" spans="1:9" ht="15" customHeight="1" x14ac:dyDescent="0.3">
      <c r="A103" s="219"/>
      <c r="B103" s="154"/>
      <c r="C103" s="410" t="str">
        <f t="shared" si="5"/>
        <v/>
      </c>
      <c r="D103" s="31">
        <v>79</v>
      </c>
      <c r="E103" s="31" t="str">
        <f t="shared" si="7"/>
        <v>N</v>
      </c>
      <c r="I103" s="161">
        <f t="shared" si="6"/>
        <v>2</v>
      </c>
    </row>
    <row r="104" spans="1:9" ht="15" customHeight="1" x14ac:dyDescent="0.3">
      <c r="A104" s="219"/>
      <c r="B104" s="154"/>
      <c r="C104" s="410" t="str">
        <f t="shared" si="5"/>
        <v/>
      </c>
      <c r="D104" s="31">
        <v>80</v>
      </c>
      <c r="E104" s="31" t="str">
        <f t="shared" si="7"/>
        <v>N</v>
      </c>
      <c r="I104" s="161">
        <f t="shared" si="6"/>
        <v>2</v>
      </c>
    </row>
    <row r="105" spans="1:9" ht="15" customHeight="1" x14ac:dyDescent="0.3">
      <c r="A105" s="219"/>
      <c r="B105" s="154"/>
      <c r="C105" s="410" t="str">
        <f t="shared" si="5"/>
        <v/>
      </c>
      <c r="D105" s="31">
        <v>81</v>
      </c>
      <c r="E105" s="31" t="str">
        <f t="shared" si="7"/>
        <v>N</v>
      </c>
      <c r="I105" s="161">
        <f t="shared" si="6"/>
        <v>2</v>
      </c>
    </row>
    <row r="106" spans="1:9" ht="15" customHeight="1" x14ac:dyDescent="0.3">
      <c r="A106" s="219"/>
      <c r="B106" s="154"/>
      <c r="C106" s="410" t="str">
        <f t="shared" si="5"/>
        <v/>
      </c>
      <c r="D106" s="31">
        <v>82</v>
      </c>
      <c r="E106" s="31" t="str">
        <f t="shared" si="7"/>
        <v>N</v>
      </c>
      <c r="I106" s="161">
        <f t="shared" si="6"/>
        <v>2</v>
      </c>
    </row>
    <row r="107" spans="1:9" ht="15" customHeight="1" x14ac:dyDescent="0.3">
      <c r="A107" s="219"/>
      <c r="B107" s="154"/>
      <c r="C107" s="410" t="str">
        <f t="shared" si="5"/>
        <v/>
      </c>
      <c r="D107" s="31">
        <v>83</v>
      </c>
      <c r="E107" s="31" t="str">
        <f t="shared" si="7"/>
        <v>N</v>
      </c>
      <c r="I107" s="161">
        <f t="shared" si="6"/>
        <v>2</v>
      </c>
    </row>
    <row r="108" spans="1:9" ht="15" customHeight="1" x14ac:dyDescent="0.3">
      <c r="A108" s="219"/>
      <c r="B108" s="154"/>
      <c r="C108" s="410" t="str">
        <f t="shared" si="5"/>
        <v/>
      </c>
      <c r="D108" s="31">
        <v>84</v>
      </c>
      <c r="E108" s="31" t="str">
        <f t="shared" si="7"/>
        <v>N</v>
      </c>
      <c r="I108" s="161">
        <f t="shared" si="6"/>
        <v>2</v>
      </c>
    </row>
    <row r="109" spans="1:9" ht="15" customHeight="1" x14ac:dyDescent="0.3">
      <c r="A109" s="219"/>
      <c r="B109" s="154"/>
      <c r="C109" s="410" t="str">
        <f t="shared" si="5"/>
        <v/>
      </c>
      <c r="D109" s="31">
        <v>85</v>
      </c>
      <c r="E109" s="31" t="str">
        <f t="shared" si="7"/>
        <v>N</v>
      </c>
      <c r="I109" s="161">
        <f t="shared" si="6"/>
        <v>2</v>
      </c>
    </row>
    <row r="110" spans="1:9" ht="15" customHeight="1" x14ac:dyDescent="0.3">
      <c r="A110" s="219"/>
      <c r="B110" s="154"/>
      <c r="C110" s="410" t="str">
        <f t="shared" si="5"/>
        <v/>
      </c>
      <c r="D110" s="31">
        <v>86</v>
      </c>
      <c r="E110" s="31" t="str">
        <f t="shared" si="7"/>
        <v>N</v>
      </c>
      <c r="I110" s="161">
        <f t="shared" si="6"/>
        <v>2</v>
      </c>
    </row>
    <row r="111" spans="1:9" ht="15" customHeight="1" x14ac:dyDescent="0.3">
      <c r="A111" s="219"/>
      <c r="B111" s="154"/>
      <c r="C111" s="410" t="str">
        <f t="shared" si="5"/>
        <v/>
      </c>
      <c r="D111" s="31">
        <v>87</v>
      </c>
      <c r="E111" s="31" t="str">
        <f t="shared" si="7"/>
        <v>N</v>
      </c>
      <c r="I111" s="161">
        <f t="shared" si="6"/>
        <v>2</v>
      </c>
    </row>
    <row r="112" spans="1:9" ht="15" customHeight="1" x14ac:dyDescent="0.3">
      <c r="A112" s="219"/>
      <c r="B112" s="154"/>
      <c r="C112" s="410" t="str">
        <f t="shared" si="5"/>
        <v/>
      </c>
      <c r="D112" s="31">
        <v>88</v>
      </c>
      <c r="E112" s="31" t="str">
        <f t="shared" si="7"/>
        <v>N</v>
      </c>
      <c r="I112" s="161">
        <f t="shared" si="6"/>
        <v>2</v>
      </c>
    </row>
    <row r="113" spans="1:9" ht="15" customHeight="1" x14ac:dyDescent="0.3">
      <c r="A113" s="219"/>
      <c r="B113" s="154"/>
      <c r="C113" s="410" t="str">
        <f t="shared" si="5"/>
        <v/>
      </c>
      <c r="D113" s="31">
        <v>89</v>
      </c>
      <c r="E113" s="31" t="str">
        <f t="shared" si="7"/>
        <v>N</v>
      </c>
      <c r="I113" s="161">
        <f t="shared" si="6"/>
        <v>2</v>
      </c>
    </row>
    <row r="114" spans="1:9" ht="15" customHeight="1" x14ac:dyDescent="0.3">
      <c r="A114" s="219"/>
      <c r="B114" s="154"/>
      <c r="C114" s="410" t="str">
        <f t="shared" si="5"/>
        <v/>
      </c>
      <c r="D114" s="31">
        <v>90</v>
      </c>
      <c r="E114" s="31" t="str">
        <f t="shared" si="7"/>
        <v>N</v>
      </c>
      <c r="I114" s="161">
        <f t="shared" si="6"/>
        <v>2</v>
      </c>
    </row>
    <row r="115" spans="1:9" ht="45" customHeight="1" x14ac:dyDescent="0.35">
      <c r="A115" s="207" t="s">
        <v>0</v>
      </c>
    </row>
  </sheetData>
  <sheetProtection algorithmName="SHA-512" hashValue="/cjqiUgfPvzqtE87DobelFXQUGcIS5UtQ5SWy5IUhy19Yi76V1En6DtP2x251oe3AvaKz0eRc7un1WEcjzwXqw==" saltValue="dbHg82ViB6dv2ijBca+Gfg==" spinCount="100000" sheet="1" objects="1" scenarios="1"/>
  <conditionalFormatting sqref="A25:A114">
    <cfRule type="expression" dxfId="4019" priority="164">
      <formula>C25=""</formula>
    </cfRule>
  </conditionalFormatting>
  <conditionalFormatting sqref="B21">
    <cfRule type="cellIs" dxfId="4018" priority="15" operator="lessThan">
      <formula>0</formula>
    </cfRule>
    <cfRule type="cellIs" dxfId="4017" priority="31" operator="lessThan">
      <formula>0</formula>
    </cfRule>
    <cfRule type="cellIs" dxfId="4016" priority="24" operator="lessThan">
      <formula>0</formula>
    </cfRule>
    <cfRule type="cellIs" dxfId="4015" priority="25" operator="lessThan">
      <formula>0</formula>
    </cfRule>
    <cfRule type="cellIs" dxfId="4014" priority="26" operator="lessThan">
      <formula>0</formula>
    </cfRule>
    <cfRule type="cellIs" dxfId="4013" priority="27" operator="lessThan">
      <formula>0</formula>
    </cfRule>
    <cfRule type="cellIs" dxfId="4012" priority="30" operator="lessThan">
      <formula>0</formula>
    </cfRule>
    <cfRule type="cellIs" dxfId="4011" priority="32" operator="lessThan">
      <formula>0</formula>
    </cfRule>
    <cfRule type="cellIs" dxfId="4010" priority="16" operator="greaterThan">
      <formula>0</formula>
    </cfRule>
    <cfRule type="cellIs" dxfId="4009" priority="17" operator="greaterThan">
      <formula>0</formula>
    </cfRule>
    <cfRule type="cellIs" dxfId="4008" priority="18" operator="lessThan">
      <formula>0</formula>
    </cfRule>
    <cfRule type="cellIs" dxfId="4007" priority="19" operator="lessThan">
      <formula>0</formula>
    </cfRule>
    <cfRule type="cellIs" dxfId="4006" priority="20" operator="lessThan">
      <formula>0</formula>
    </cfRule>
    <cfRule type="cellIs" dxfId="4005" priority="21" operator="lessThan">
      <formula>0</formula>
    </cfRule>
  </conditionalFormatting>
  <conditionalFormatting sqref="B25:B114">
    <cfRule type="expression" dxfId="4004" priority="162">
      <formula>C25=""</formula>
    </cfRule>
  </conditionalFormatting>
  <conditionalFormatting sqref="C8:C11">
    <cfRule type="containsText" dxfId="4003" priority="108" operator="containsText" text="Error">
      <formula>NOT(ISERROR(SEARCH("Error",C8)))</formula>
    </cfRule>
    <cfRule type="containsBlanks" dxfId="4002" priority="107">
      <formula>LEN(TRIM(C8))=0</formula>
    </cfRule>
    <cfRule type="containsText" dxfId="4001" priority="82" operator="containsText" text="Error">
      <formula>NOT(ISERROR(SEARCH("Error",C8)))</formula>
    </cfRule>
    <cfRule type="containsText" dxfId="4000" priority="81" operator="containsText" text="Error">
      <formula>NOT(ISERROR(SEARCH("Error",C8)))</formula>
    </cfRule>
    <cfRule type="notContainsText" dxfId="3999" priority="109" operator="notContains" text="OK">
      <formula>ISERROR(SEARCH("OK",C8))</formula>
    </cfRule>
    <cfRule type="containsText" dxfId="3998" priority="110" operator="containsText" text="OK">
      <formula>NOT(ISERROR(SEARCH("OK",C8)))</formula>
    </cfRule>
  </conditionalFormatting>
  <conditionalFormatting sqref="C14:C17">
    <cfRule type="notContainsText" dxfId="3997" priority="13" operator="notContains" text="OK">
      <formula>ISERROR(SEARCH("OK",C14))</formula>
    </cfRule>
    <cfRule type="containsText" dxfId="3996" priority="14" operator="containsText" text="OK">
      <formula>NOT(ISERROR(SEARCH("OK",C14)))</formula>
    </cfRule>
    <cfRule type="containsText" dxfId="3995" priority="9" operator="containsText" text="Error">
      <formula>NOT(ISERROR(SEARCH("Error",C14)))</formula>
    </cfRule>
    <cfRule type="containsText" dxfId="3994" priority="10" operator="containsText" text="Error">
      <formula>NOT(ISERROR(SEARCH("Error",C14)))</formula>
    </cfRule>
    <cfRule type="containsBlanks" dxfId="3993" priority="11">
      <formula>LEN(TRIM(C14))=0</formula>
    </cfRule>
    <cfRule type="containsText" dxfId="3992" priority="12" operator="containsText" text="Error">
      <formula>NOT(ISERROR(SEARCH("Error",C14)))</formula>
    </cfRule>
  </conditionalFormatting>
  <conditionalFormatting sqref="C19:C20">
    <cfRule type="containsText" dxfId="3991" priority="6" operator="containsText" text="OK">
      <formula>NOT(ISERROR(SEARCH("OK",C19)))</formula>
    </cfRule>
    <cfRule type="notContainsText" dxfId="3990" priority="5" operator="notContains" text="OK">
      <formula>ISERROR(SEARCH("OK",C19))</formula>
    </cfRule>
    <cfRule type="containsText" dxfId="3989" priority="4" operator="containsText" text="Error">
      <formula>NOT(ISERROR(SEARCH("Error",C19)))</formula>
    </cfRule>
    <cfRule type="containsBlanks" dxfId="3988" priority="3">
      <formula>LEN(TRIM(C19))=0</formula>
    </cfRule>
    <cfRule type="containsText" dxfId="3987" priority="2" operator="containsText" text="Error">
      <formula>NOT(ISERROR(SEARCH("Error",C19)))</formula>
    </cfRule>
    <cfRule type="containsText" dxfId="3986" priority="1" operator="containsText" text="Error">
      <formula>NOT(ISERROR(SEARCH("Error",C19)))</formula>
    </cfRule>
  </conditionalFormatting>
  <conditionalFormatting sqref="C22">
    <cfRule type="containsText" dxfId="3985" priority="51" operator="containsText" text="Error">
      <formula>NOT(ISERROR(SEARCH("Error",C22)))</formula>
    </cfRule>
    <cfRule type="containsText" dxfId="3984" priority="52" operator="containsText" text="Error">
      <formula>NOT(ISERROR(SEARCH("Error",C22)))</formula>
    </cfRule>
    <cfRule type="containsBlanks" dxfId="3983" priority="53">
      <formula>LEN(TRIM(C22))=0</formula>
    </cfRule>
    <cfRule type="notContainsText" dxfId="3982" priority="55" operator="notContains" text="OK">
      <formula>ISERROR(SEARCH("OK",C22))</formula>
    </cfRule>
    <cfRule type="containsText" dxfId="3981" priority="56" operator="containsText" text="OK">
      <formula>NOT(ISERROR(SEARCH("OK",C22)))</formula>
    </cfRule>
    <cfRule type="containsText" dxfId="3980" priority="54" operator="containsText" text="Error">
      <formula>NOT(ISERROR(SEARCH("Error",C22)))</formula>
    </cfRule>
  </conditionalFormatting>
  <conditionalFormatting sqref="C24">
    <cfRule type="containsText" dxfId="3979" priority="83" operator="containsText" text="*If applicable, can you ensure that the details inputted here match the academy reserves section. This includes the upin as well as the academy name. The number of entries should match the number input in cell B16">
      <formula>NOT(ISERROR(SEARCH("*If applicable, can you ensure that the details inputted here match the academy reserves section. This includes the upin as well as the academy name. The number of entries should match the number input in cell B16",C24)))</formula>
    </cfRule>
    <cfRule type="containsText" dxfId="3978" priority="92" operator="containsText" text="*If applicable, can you ensure that the details inputted here match the academy reserves section. This includes the upin as well as the academy name. The number of entries should match the number input in cell B16.">
      <formula>NOT(ISERROR(SEARCH("*If applicable, can you ensure that the details inputted here match the academy reserves section. This includes the upin as well as the academy name. The number of entries should match the number input in cell B16.",C24)))</formula>
    </cfRule>
  </conditionalFormatting>
  <conditionalFormatting sqref="C25:C114">
    <cfRule type="containsBlanks" dxfId="3977" priority="47">
      <formula>LEN(TRIM(C25))=0</formula>
    </cfRule>
    <cfRule type="containsText" dxfId="3976" priority="48" operator="containsText" text="Error">
      <formula>NOT(ISERROR(SEARCH("Error",C25)))</formula>
    </cfRule>
    <cfRule type="notContainsText" dxfId="3975" priority="49" operator="notContains" text="OK">
      <formula>ISERROR(SEARCH("OK",C25))</formula>
    </cfRule>
    <cfRule type="containsText" dxfId="3974" priority="50" operator="containsText" text="OK">
      <formula>NOT(ISERROR(SEARCH("OK",C25)))</formula>
    </cfRule>
    <cfRule type="containsText" dxfId="3973" priority="45" operator="containsText" text="Error">
      <formula>NOT(ISERROR(SEARCH("Error",C25)))</formula>
    </cfRule>
    <cfRule type="containsText" dxfId="3972" priority="46" operator="containsText" text="Error">
      <formula>NOT(ISERROR(SEARCH("Error",C25)))</formula>
    </cfRule>
  </conditionalFormatting>
  <dataValidations count="5">
    <dataValidation type="whole" allowBlank="1" showInputMessage="1" showErrorMessage="1" error="Please enter the academy UPIN, this should be 6 digits" sqref="A25:A114" xr:uid="{69759EA8-6865-4859-8E57-0F7D019FFBC3}">
      <formula1>100000</formula1>
      <formula2>999999</formula2>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15" xr:uid="{1EFAE41E-FD88-481F-B70B-36B5C8B0F705}">
      <formula1>0</formula1>
      <formula2>99999999999</formula2>
    </dataValidation>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16" xr:uid="{2AB3D987-4416-4152-986B-D754506409F6}">
      <formula1>ISNUMBER(MATCH("*@*.?*",B16,0))</formula1>
    </dataValidation>
    <dataValidation type="whole" allowBlank="1" showErrorMessage="1" error="Please enter Trust UPIN, this should be 6 digits" sqref="B10" xr:uid="{6F0FAA4C-43C0-4DB4-B67A-1A13BAC6CD91}">
      <formula1>100000</formula1>
      <formula2>999999</formula2>
    </dataValidation>
    <dataValidation type="whole" allowBlank="1" showInputMessage="1" showErrorMessage="1" error="Please enter your companies house number, this should be 8 digits_x000a_" sqref="B11" xr:uid="{3D4C3E88-205D-4320-B0F8-5852F2BE5234}">
      <formula1>1000000</formula1>
      <formula2>99999999</formula2>
    </dataValidation>
  </dataValidations>
  <hyperlinks>
    <hyperlink ref="A115" location="Index!A1" display="Index page" xr:uid="{42AF6F43-AB49-467B-BC3C-F2977E6C4467}"/>
    <hyperlink ref="A5" r:id="rId1" xr:uid="{D5ECA337-CBBE-456F-8A4D-FCE72F3A0B1A}"/>
    <hyperlink ref="B1" location="Index!A1" display="Index page" xr:uid="{EB503102-AA62-478D-8868-72DD4A8EC004}"/>
  </hyperlinks>
  <pageMargins left="0.7" right="0.7" top="0.75" bottom="0.75" header="0.3" footer="0.3"/>
  <pageSetup paperSize="9" orientation="portrait" r:id="rId2"/>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4C83-2193-4CCE-9620-78A13AA95166}">
  <sheetPr codeName="Sheet14"/>
  <dimension ref="A1:F17"/>
  <sheetViews>
    <sheetView zoomScaleNormal="100" workbookViewId="0"/>
  </sheetViews>
  <sheetFormatPr defaultColWidth="0" defaultRowHeight="14.5" zeroHeight="1" x14ac:dyDescent="0.35"/>
  <cols>
    <col min="1" max="1" width="67.453125" customWidth="1"/>
    <col min="2" max="2" width="69.453125" customWidth="1"/>
    <col min="3" max="3" width="28.453125" customWidth="1"/>
    <col min="4" max="4" width="25.54296875" customWidth="1"/>
    <col min="5" max="5" width="37" customWidth="1"/>
    <col min="6" max="16384" width="9.453125" hidden="1"/>
  </cols>
  <sheetData>
    <row r="1" spans="1:6" s="8" customFormat="1" ht="60" customHeight="1" x14ac:dyDescent="0.35">
      <c r="A1" s="515" t="s">
        <v>1495</v>
      </c>
      <c r="B1" s="516" t="s">
        <v>0</v>
      </c>
      <c r="C1" s="163"/>
      <c r="D1" s="163"/>
      <c r="E1" s="516"/>
    </row>
    <row r="2" spans="1:6" s="8" customFormat="1" ht="20.149999999999999" customHeight="1" x14ac:dyDescent="0.35">
      <c r="A2" s="446" t="s">
        <v>1478</v>
      </c>
      <c r="B2" s="163"/>
      <c r="C2" s="163"/>
      <c r="D2" s="163"/>
      <c r="E2" s="516"/>
    </row>
    <row r="3" spans="1:6" ht="71.900000000000006" customHeight="1" x14ac:dyDescent="0.35">
      <c r="A3" s="517" t="s">
        <v>1657</v>
      </c>
      <c r="B3" s="162"/>
      <c r="C3" s="162"/>
      <c r="D3" s="162"/>
      <c r="E3" s="518"/>
    </row>
    <row r="4" spans="1:6" s="8" customFormat="1" ht="45" customHeight="1" x14ac:dyDescent="0.6">
      <c r="A4" s="519" t="s">
        <v>75</v>
      </c>
      <c r="B4" s="520"/>
      <c r="C4" s="521"/>
      <c r="D4" s="521"/>
      <c r="E4" s="522"/>
      <c r="F4" s="63"/>
    </row>
    <row r="5" spans="1:6" ht="46.5" x14ac:dyDescent="0.35">
      <c r="A5" s="523" t="s">
        <v>1502</v>
      </c>
      <c r="B5" s="523" t="s">
        <v>1503</v>
      </c>
      <c r="C5" s="198" t="s">
        <v>1473</v>
      </c>
      <c r="D5" s="198" t="s">
        <v>1474</v>
      </c>
      <c r="E5" s="524"/>
      <c r="F5">
        <v>1</v>
      </c>
    </row>
    <row r="6" spans="1:6" ht="75.650000000000006" customHeight="1" x14ac:dyDescent="0.35">
      <c r="A6" s="343" t="s">
        <v>76</v>
      </c>
      <c r="B6" s="343" t="s">
        <v>77</v>
      </c>
      <c r="C6" s="576"/>
      <c r="D6" s="576"/>
      <c r="E6" s="525" t="str">
        <f>IF(F6=1,"Navigate to the provisions section","")</f>
        <v>Navigate to the provisions section</v>
      </c>
      <c r="F6">
        <v>1</v>
      </c>
    </row>
    <row r="7" spans="1:6" ht="72" customHeight="1" x14ac:dyDescent="0.35">
      <c r="A7" s="343" t="s">
        <v>78</v>
      </c>
      <c r="B7" s="343" t="s">
        <v>79</v>
      </c>
      <c r="C7" s="576"/>
      <c r="D7" s="576"/>
      <c r="E7" s="525" t="str">
        <f>IF(F7=1,"Navigate to the loans section","")</f>
        <v>Navigate to the loans section</v>
      </c>
      <c r="F7">
        <v>1</v>
      </c>
    </row>
    <row r="8" spans="1:6" ht="73.400000000000006" customHeight="1" x14ac:dyDescent="0.35">
      <c r="A8" s="343" t="s">
        <v>80</v>
      </c>
      <c r="B8" s="343" t="s">
        <v>81</v>
      </c>
      <c r="C8" s="576"/>
      <c r="D8" s="576"/>
      <c r="E8" s="525" t="str">
        <f>IF(F8=1,"Navigate to the investments section","")</f>
        <v>Navigate to the investments section</v>
      </c>
      <c r="F8">
        <v>1</v>
      </c>
    </row>
    <row r="9" spans="1:6" ht="74.900000000000006" customHeight="1" x14ac:dyDescent="0.35">
      <c r="A9" s="343" t="s">
        <v>82</v>
      </c>
      <c r="B9" s="343" t="s">
        <v>83</v>
      </c>
      <c r="C9" s="576"/>
      <c r="D9" s="576"/>
      <c r="E9" s="525" t="str">
        <f>IF(F9=1,"Navigate to the overdraft line","")</f>
        <v>Navigate to the overdraft line</v>
      </c>
      <c r="F9">
        <v>1</v>
      </c>
    </row>
    <row r="10" spans="1:6" ht="73.400000000000006" customHeight="1" x14ac:dyDescent="0.35">
      <c r="A10" s="343" t="s">
        <v>84</v>
      </c>
      <c r="B10" s="395" t="s">
        <v>1553</v>
      </c>
      <c r="C10" s="576"/>
      <c r="D10" s="576"/>
      <c r="E10" s="526" t="str">
        <f>IF(F10="","you must tick Yes or No","")</f>
        <v/>
      </c>
      <c r="F10">
        <v>2</v>
      </c>
    </row>
    <row r="11" spans="1:6" ht="66.650000000000006" customHeight="1" x14ac:dyDescent="0.35">
      <c r="A11" s="343" t="s">
        <v>85</v>
      </c>
      <c r="B11" s="395" t="s">
        <v>1522</v>
      </c>
      <c r="C11" s="609"/>
      <c r="D11" s="610"/>
      <c r="E11" s="527"/>
      <c r="F11">
        <v>4</v>
      </c>
    </row>
    <row r="12" spans="1:6" ht="30" customHeight="1" x14ac:dyDescent="0.35">
      <c r="A12" s="343"/>
      <c r="B12" s="343" t="s">
        <v>1504</v>
      </c>
      <c r="C12" s="577"/>
      <c r="D12" s="610"/>
      <c r="E12" s="527"/>
    </row>
    <row r="13" spans="1:6" ht="30" customHeight="1" x14ac:dyDescent="0.35">
      <c r="A13" s="343"/>
      <c r="B13" s="343" t="s">
        <v>86</v>
      </c>
      <c r="C13" s="576"/>
      <c r="D13" s="610"/>
      <c r="E13" s="528" t="str">
        <f>IF(F11="","you must tick one option","")</f>
        <v/>
      </c>
    </row>
    <row r="14" spans="1:6" ht="31" x14ac:dyDescent="0.35">
      <c r="A14" s="343"/>
      <c r="B14" s="343" t="s">
        <v>87</v>
      </c>
      <c r="C14" s="576"/>
      <c r="D14" s="610"/>
      <c r="E14" s="527"/>
    </row>
    <row r="15" spans="1:6" ht="30" customHeight="1" x14ac:dyDescent="0.35">
      <c r="A15" s="343"/>
      <c r="B15" s="343" t="s">
        <v>88</v>
      </c>
      <c r="C15" s="576"/>
      <c r="D15" s="610"/>
      <c r="E15" s="527"/>
    </row>
    <row r="16" spans="1:6" ht="85.15" customHeight="1" x14ac:dyDescent="0.35">
      <c r="A16" s="343"/>
      <c r="B16" s="601" t="s">
        <v>1665</v>
      </c>
      <c r="C16" s="580"/>
      <c r="D16" s="581" t="str">
        <f>IF(AND(C16="",F11=4),"Refer to C143 in the validations table","OK")</f>
        <v>Refer to C143 in the validations table</v>
      </c>
      <c r="E16" s="529" t="str">
        <f>IF(AND(C16="",F11=4),"You must enter as a % amount in cell C16","")</f>
        <v>You must enter as a % amount in cell C16</v>
      </c>
    </row>
    <row r="17" spans="1:5" ht="45" customHeight="1" x14ac:dyDescent="0.35">
      <c r="A17" s="530" t="s">
        <v>1479</v>
      </c>
      <c r="D17" s="162"/>
      <c r="E17" s="162"/>
    </row>
  </sheetData>
  <phoneticPr fontId="9" type="noConversion"/>
  <conditionalFormatting sqref="C16">
    <cfRule type="cellIs" dxfId="3971" priority="1" operator="equal">
      <formula>0</formula>
    </cfRule>
    <cfRule type="cellIs" dxfId="3970" priority="2" operator="greaterThan">
      <formula>0</formula>
    </cfRule>
    <cfRule type="cellIs" dxfId="3969" priority="3" operator="lessThan">
      <formula>0</formula>
    </cfRule>
    <cfRule type="cellIs" priority="4" operator="lessThan">
      <formula>0</formula>
    </cfRule>
  </conditionalFormatting>
  <conditionalFormatting sqref="E13">
    <cfRule type="containsText" dxfId="3968" priority="12" operator="containsText" text="must">
      <formula>NOT(ISERROR(SEARCH("must",E13)))</formula>
    </cfRule>
  </conditionalFormatting>
  <conditionalFormatting sqref="E16">
    <cfRule type="containsText" dxfId="3967" priority="5" operator="containsText" text="%">
      <formula>NOT(ISERROR(SEARCH("%",E16)))</formula>
    </cfRule>
  </conditionalFormatting>
  <hyperlinks>
    <hyperlink ref="A17" location="Index!A1" display="Navigate to index page" xr:uid="{975478DB-6088-4233-867A-246A6C45A048}"/>
    <hyperlink ref="E10" location="'BFR 2025'!A146" display="'BFR 2025'!A146" xr:uid="{AC1EF038-5213-4BF2-AFBE-A2F176B7EE35}"/>
    <hyperlink ref="E9" location="'BFR 2026'!A157" display="'BFR 2026'!A157" xr:uid="{82AED8E9-83F4-4740-82AF-E1053574011D}"/>
    <hyperlink ref="E8" location="'BFR 2026'!A163" display="'BFR 2026'!A163" xr:uid="{892A46D9-3D21-4D72-B9B5-EE52A1FB9315}"/>
    <hyperlink ref="E7" location="'BFR 2026'!A170" display="'BFR 2026'!A170" xr:uid="{75CBB845-B39D-4F13-9C5D-6DE51E84535C}"/>
    <hyperlink ref="E6" location="'BFR 2026'!A179" display="'BFR 2026'!A179" xr:uid="{0C5EFC15-A33E-4B37-BBD9-E5CFCDC8CA48}"/>
    <hyperlink ref="B1" location="Index!A1" display="Index page" xr:uid="{BD4287D3-48A8-4E06-B77F-8843E73FEE85}"/>
    <hyperlink ref="D16" location="'Validations table'!A143" display="'Validations table'!A143" xr:uid="{AB626BB1-BA94-4913-8C09-9E0E91382471}"/>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2" r:id="rId4" name="Option Button 10">
              <controlPr defaultSize="0" autoFill="0" autoLine="0" autoPict="0" altText="yes">
                <anchor moveWithCells="1">
                  <from>
                    <xdr:col>2</xdr:col>
                    <xdr:colOff>495300</xdr:colOff>
                    <xdr:row>6</xdr:row>
                    <xdr:rowOff>342900</xdr:rowOff>
                  </from>
                  <to>
                    <xdr:col>2</xdr:col>
                    <xdr:colOff>793750</xdr:colOff>
                    <xdr:row>6</xdr:row>
                    <xdr:rowOff>641350</xdr:rowOff>
                  </to>
                </anchor>
              </controlPr>
            </control>
          </mc:Choice>
        </mc:AlternateContent>
        <mc:AlternateContent xmlns:mc="http://schemas.openxmlformats.org/markup-compatibility/2006">
          <mc:Choice Requires="x14">
            <control shapeId="13323" r:id="rId5" name="Option Button 11">
              <controlPr defaultSize="0" autoFill="0" autoLine="0" autoPict="0" altText="No">
                <anchor moveWithCells="1">
                  <from>
                    <xdr:col>3</xdr:col>
                    <xdr:colOff>488950</xdr:colOff>
                    <xdr:row>6</xdr:row>
                    <xdr:rowOff>374650</xdr:rowOff>
                  </from>
                  <to>
                    <xdr:col>3</xdr:col>
                    <xdr:colOff>1136650</xdr:colOff>
                    <xdr:row>6</xdr:row>
                    <xdr:rowOff>641350</xdr:rowOff>
                  </to>
                </anchor>
              </controlPr>
            </control>
          </mc:Choice>
        </mc:AlternateContent>
        <mc:AlternateContent xmlns:mc="http://schemas.openxmlformats.org/markup-compatibility/2006">
          <mc:Choice Requires="x14">
            <control shapeId="13324" r:id="rId6" name="Group Box 12">
              <controlPr defaultSize="0" autoFill="0" autoPict="0">
                <anchor moveWithCells="1">
                  <from>
                    <xdr:col>1</xdr:col>
                    <xdr:colOff>4756150</xdr:colOff>
                    <xdr:row>6</xdr:row>
                    <xdr:rowOff>190500</xdr:rowOff>
                  </from>
                  <to>
                    <xdr:col>4</xdr:col>
                    <xdr:colOff>0</xdr:colOff>
                    <xdr:row>6</xdr:row>
                    <xdr:rowOff>831850</xdr:rowOff>
                  </to>
                </anchor>
              </controlPr>
            </control>
          </mc:Choice>
        </mc:AlternateContent>
        <mc:AlternateContent xmlns:mc="http://schemas.openxmlformats.org/markup-compatibility/2006">
          <mc:Choice Requires="x14">
            <control shapeId="13325" r:id="rId7" name="Option Button 13">
              <controlPr defaultSize="0" autoFill="0" autoLine="0" autoPict="0" altText="Yes">
                <anchor moveWithCells="1">
                  <from>
                    <xdr:col>2</xdr:col>
                    <xdr:colOff>527050</xdr:colOff>
                    <xdr:row>7</xdr:row>
                    <xdr:rowOff>381000</xdr:rowOff>
                  </from>
                  <to>
                    <xdr:col>2</xdr:col>
                    <xdr:colOff>793750</xdr:colOff>
                    <xdr:row>7</xdr:row>
                    <xdr:rowOff>679450</xdr:rowOff>
                  </to>
                </anchor>
              </controlPr>
            </control>
          </mc:Choice>
        </mc:AlternateContent>
        <mc:AlternateContent xmlns:mc="http://schemas.openxmlformats.org/markup-compatibility/2006">
          <mc:Choice Requires="x14">
            <control shapeId="13326" r:id="rId8" name="Option Button 14">
              <controlPr defaultSize="0" autoFill="0" autoLine="0" autoPict="0" altText="No">
                <anchor moveWithCells="1">
                  <from>
                    <xdr:col>3</xdr:col>
                    <xdr:colOff>527050</xdr:colOff>
                    <xdr:row>7</xdr:row>
                    <xdr:rowOff>412750</xdr:rowOff>
                  </from>
                  <to>
                    <xdr:col>3</xdr:col>
                    <xdr:colOff>1104900</xdr:colOff>
                    <xdr:row>7</xdr:row>
                    <xdr:rowOff>679450</xdr:rowOff>
                  </to>
                </anchor>
              </controlPr>
            </control>
          </mc:Choice>
        </mc:AlternateContent>
        <mc:AlternateContent xmlns:mc="http://schemas.openxmlformats.org/markup-compatibility/2006">
          <mc:Choice Requires="x14">
            <control shapeId="13327" r:id="rId9" name="Group Box 15">
              <controlPr defaultSize="0" autoFill="0" autoPict="0">
                <anchor moveWithCells="1">
                  <from>
                    <xdr:col>1</xdr:col>
                    <xdr:colOff>4756150</xdr:colOff>
                    <xdr:row>7</xdr:row>
                    <xdr:rowOff>222250</xdr:rowOff>
                  </from>
                  <to>
                    <xdr:col>4</xdr:col>
                    <xdr:colOff>0</xdr:colOff>
                    <xdr:row>7</xdr:row>
                    <xdr:rowOff>869950</xdr:rowOff>
                  </to>
                </anchor>
              </controlPr>
            </control>
          </mc:Choice>
        </mc:AlternateContent>
        <mc:AlternateContent xmlns:mc="http://schemas.openxmlformats.org/markup-compatibility/2006">
          <mc:Choice Requires="x14">
            <control shapeId="13328" r:id="rId10" name="Option Button 16">
              <controlPr defaultSize="0" autoFill="0" autoLine="0" autoPict="0" altText="Yes">
                <anchor moveWithCells="1">
                  <from>
                    <xdr:col>2</xdr:col>
                    <xdr:colOff>527050</xdr:colOff>
                    <xdr:row>8</xdr:row>
                    <xdr:rowOff>412750</xdr:rowOff>
                  </from>
                  <to>
                    <xdr:col>2</xdr:col>
                    <xdr:colOff>793750</xdr:colOff>
                    <xdr:row>8</xdr:row>
                    <xdr:rowOff>679450</xdr:rowOff>
                  </to>
                </anchor>
              </controlPr>
            </control>
          </mc:Choice>
        </mc:AlternateContent>
        <mc:AlternateContent xmlns:mc="http://schemas.openxmlformats.org/markup-compatibility/2006">
          <mc:Choice Requires="x14">
            <control shapeId="13329" r:id="rId11" name="Option Button 17">
              <controlPr defaultSize="0" autoFill="0" autoLine="0" autoPict="0" altText="No">
                <anchor moveWithCells="1">
                  <from>
                    <xdr:col>3</xdr:col>
                    <xdr:colOff>527050</xdr:colOff>
                    <xdr:row>8</xdr:row>
                    <xdr:rowOff>374650</xdr:rowOff>
                  </from>
                  <to>
                    <xdr:col>3</xdr:col>
                    <xdr:colOff>1104900</xdr:colOff>
                    <xdr:row>8</xdr:row>
                    <xdr:rowOff>641350</xdr:rowOff>
                  </to>
                </anchor>
              </controlPr>
            </control>
          </mc:Choice>
        </mc:AlternateContent>
        <mc:AlternateContent xmlns:mc="http://schemas.openxmlformats.org/markup-compatibility/2006">
          <mc:Choice Requires="x14">
            <control shapeId="13330" r:id="rId12" name="Group Box 18">
              <controlPr defaultSize="0" autoFill="0" autoPict="0">
                <anchor moveWithCells="1">
                  <from>
                    <xdr:col>1</xdr:col>
                    <xdr:colOff>4756150</xdr:colOff>
                    <xdr:row>8</xdr:row>
                    <xdr:rowOff>184150</xdr:rowOff>
                  </from>
                  <to>
                    <xdr:col>4</xdr:col>
                    <xdr:colOff>0</xdr:colOff>
                    <xdr:row>8</xdr:row>
                    <xdr:rowOff>831850</xdr:rowOff>
                  </to>
                </anchor>
              </controlPr>
            </control>
          </mc:Choice>
        </mc:AlternateContent>
        <mc:AlternateContent xmlns:mc="http://schemas.openxmlformats.org/markup-compatibility/2006">
          <mc:Choice Requires="x14">
            <control shapeId="13332" r:id="rId13" name="Option Button 20">
              <controlPr defaultSize="0" autoFill="0" autoLine="0" autoPict="0" altText="Yes">
                <anchor moveWithCells="1">
                  <from>
                    <xdr:col>2</xdr:col>
                    <xdr:colOff>488950</xdr:colOff>
                    <xdr:row>5</xdr:row>
                    <xdr:rowOff>342900</xdr:rowOff>
                  </from>
                  <to>
                    <xdr:col>2</xdr:col>
                    <xdr:colOff>831850</xdr:colOff>
                    <xdr:row>5</xdr:row>
                    <xdr:rowOff>641350</xdr:rowOff>
                  </to>
                </anchor>
              </controlPr>
            </control>
          </mc:Choice>
        </mc:AlternateContent>
        <mc:AlternateContent xmlns:mc="http://schemas.openxmlformats.org/markup-compatibility/2006">
          <mc:Choice Requires="x14">
            <control shapeId="13333" r:id="rId14" name="Option Button 21">
              <controlPr defaultSize="0" autoFill="0" autoLine="0" autoPict="0" altText="No">
                <anchor moveWithCells="1">
                  <from>
                    <xdr:col>3</xdr:col>
                    <xdr:colOff>527050</xdr:colOff>
                    <xdr:row>5</xdr:row>
                    <xdr:rowOff>412750</xdr:rowOff>
                  </from>
                  <to>
                    <xdr:col>3</xdr:col>
                    <xdr:colOff>869950</xdr:colOff>
                    <xdr:row>5</xdr:row>
                    <xdr:rowOff>679450</xdr:rowOff>
                  </to>
                </anchor>
              </controlPr>
            </control>
          </mc:Choice>
        </mc:AlternateContent>
        <mc:AlternateContent xmlns:mc="http://schemas.openxmlformats.org/markup-compatibility/2006">
          <mc:Choice Requires="x14">
            <control shapeId="13334" r:id="rId15" name="Group Box 22">
              <controlPr defaultSize="0" autoFill="0" autoPict="0">
                <anchor moveWithCells="1">
                  <from>
                    <xdr:col>1</xdr:col>
                    <xdr:colOff>4756150</xdr:colOff>
                    <xdr:row>5</xdr:row>
                    <xdr:rowOff>222250</xdr:rowOff>
                  </from>
                  <to>
                    <xdr:col>4</xdr:col>
                    <xdr:colOff>0</xdr:colOff>
                    <xdr:row>5</xdr:row>
                    <xdr:rowOff>869950</xdr:rowOff>
                  </to>
                </anchor>
              </controlPr>
            </control>
          </mc:Choice>
        </mc:AlternateContent>
        <mc:AlternateContent xmlns:mc="http://schemas.openxmlformats.org/markup-compatibility/2006">
          <mc:Choice Requires="x14">
            <control shapeId="13343" r:id="rId16" name="Option Button 31">
              <controlPr defaultSize="0" autoFill="0" autoLine="0" autoPict="0" altText="Not applicable">
                <anchor moveWithCells="1">
                  <from>
                    <xdr:col>2</xdr:col>
                    <xdr:colOff>336550</xdr:colOff>
                    <xdr:row>11</xdr:row>
                    <xdr:rowOff>114300</xdr:rowOff>
                  </from>
                  <to>
                    <xdr:col>2</xdr:col>
                    <xdr:colOff>717550</xdr:colOff>
                    <xdr:row>11</xdr:row>
                    <xdr:rowOff>342900</xdr:rowOff>
                  </to>
                </anchor>
              </controlPr>
            </control>
          </mc:Choice>
        </mc:AlternateContent>
        <mc:AlternateContent xmlns:mc="http://schemas.openxmlformats.org/markup-compatibility/2006">
          <mc:Choice Requires="x14">
            <control shapeId="13344" r:id="rId17" name="Option Button 32">
              <controlPr defaultSize="0" autoFill="0" autoLine="0" autoPict="0" altText="None pooled">
                <anchor moveWithCells="1">
                  <from>
                    <xdr:col>2</xdr:col>
                    <xdr:colOff>336550</xdr:colOff>
                    <xdr:row>12</xdr:row>
                    <xdr:rowOff>184150</xdr:rowOff>
                  </from>
                  <to>
                    <xdr:col>2</xdr:col>
                    <xdr:colOff>755650</xdr:colOff>
                    <xdr:row>12</xdr:row>
                    <xdr:rowOff>304800</xdr:rowOff>
                  </to>
                </anchor>
              </controlPr>
            </control>
          </mc:Choice>
        </mc:AlternateContent>
        <mc:AlternateContent xmlns:mc="http://schemas.openxmlformats.org/markup-compatibility/2006">
          <mc:Choice Requires="x14">
            <control shapeId="13345" r:id="rId18" name="Option Button 33">
              <controlPr defaultSize="0" autoFill="0" autoLine="0" autoPict="0" altText="All pooled">
                <anchor moveWithCells="1">
                  <from>
                    <xdr:col>2</xdr:col>
                    <xdr:colOff>336550</xdr:colOff>
                    <xdr:row>13</xdr:row>
                    <xdr:rowOff>146050</xdr:rowOff>
                  </from>
                  <to>
                    <xdr:col>2</xdr:col>
                    <xdr:colOff>1479550</xdr:colOff>
                    <xdr:row>13</xdr:row>
                    <xdr:rowOff>342900</xdr:rowOff>
                  </to>
                </anchor>
              </controlPr>
            </control>
          </mc:Choice>
        </mc:AlternateContent>
        <mc:AlternateContent xmlns:mc="http://schemas.openxmlformats.org/markup-compatibility/2006">
          <mc:Choice Requires="x14">
            <control shapeId="13346" r:id="rId19" name="Option Button 34">
              <controlPr defaultSize="0" autoFill="0" autoLine="0" autoPict="0" altText="Partially pooled">
                <anchor moveWithCells="1">
                  <from>
                    <xdr:col>2</xdr:col>
                    <xdr:colOff>336550</xdr:colOff>
                    <xdr:row>14</xdr:row>
                    <xdr:rowOff>107950</xdr:rowOff>
                  </from>
                  <to>
                    <xdr:col>2</xdr:col>
                    <xdr:colOff>1441450</xdr:colOff>
                    <xdr:row>14</xdr:row>
                    <xdr:rowOff>336550</xdr:rowOff>
                  </to>
                </anchor>
              </controlPr>
            </control>
          </mc:Choice>
        </mc:AlternateContent>
        <mc:AlternateContent xmlns:mc="http://schemas.openxmlformats.org/markup-compatibility/2006">
          <mc:Choice Requires="x14">
            <control shapeId="13347" r:id="rId20" name="Group Box 35">
              <controlPr defaultSize="0" autoFill="0" autoPict="0">
                <anchor moveWithCells="1">
                  <from>
                    <xdr:col>2</xdr:col>
                    <xdr:colOff>0</xdr:colOff>
                    <xdr:row>11</xdr:row>
                    <xdr:rowOff>0</xdr:rowOff>
                  </from>
                  <to>
                    <xdr:col>3</xdr:col>
                    <xdr:colOff>0</xdr:colOff>
                    <xdr:row>15</xdr:row>
                    <xdr:rowOff>0</xdr:rowOff>
                  </to>
                </anchor>
              </controlPr>
            </control>
          </mc:Choice>
        </mc:AlternateContent>
        <mc:AlternateContent xmlns:mc="http://schemas.openxmlformats.org/markup-compatibility/2006">
          <mc:Choice Requires="x14">
            <control shapeId="13336" r:id="rId21" name="Option Button 24">
              <controlPr defaultSize="0" autoFill="0" autoLine="0" autoPict="0" altText="No">
                <anchor moveWithCells="1">
                  <from>
                    <xdr:col>3</xdr:col>
                    <xdr:colOff>527050</xdr:colOff>
                    <xdr:row>9</xdr:row>
                    <xdr:rowOff>374650</xdr:rowOff>
                  </from>
                  <to>
                    <xdr:col>3</xdr:col>
                    <xdr:colOff>1104900</xdr:colOff>
                    <xdr:row>9</xdr:row>
                    <xdr:rowOff>641350</xdr:rowOff>
                  </to>
                </anchor>
              </controlPr>
            </control>
          </mc:Choice>
        </mc:AlternateContent>
        <mc:AlternateContent xmlns:mc="http://schemas.openxmlformats.org/markup-compatibility/2006">
          <mc:Choice Requires="x14">
            <control shapeId="13337" r:id="rId22" name="Group Box 25">
              <controlPr defaultSize="0" autoFill="0" autoPict="0">
                <anchor moveWithCells="1">
                  <from>
                    <xdr:col>2</xdr:col>
                    <xdr:colOff>0</xdr:colOff>
                    <xdr:row>9</xdr:row>
                    <xdr:rowOff>184150</xdr:rowOff>
                  </from>
                  <to>
                    <xdr:col>4</xdr:col>
                    <xdr:colOff>0</xdr:colOff>
                    <xdr:row>9</xdr:row>
                    <xdr:rowOff>831850</xdr:rowOff>
                  </to>
                </anchor>
              </controlPr>
            </control>
          </mc:Choice>
        </mc:AlternateContent>
        <mc:AlternateContent xmlns:mc="http://schemas.openxmlformats.org/markup-compatibility/2006">
          <mc:Choice Requires="x14">
            <control shapeId="13349" r:id="rId23" name="Option Button 37">
              <controlPr defaultSize="0" autoFill="0" autoLine="0" autoPict="0" altText="Yes">
                <anchor moveWithCells="1">
                  <from>
                    <xdr:col>2</xdr:col>
                    <xdr:colOff>527050</xdr:colOff>
                    <xdr:row>9</xdr:row>
                    <xdr:rowOff>412750</xdr:rowOff>
                  </from>
                  <to>
                    <xdr:col>2</xdr:col>
                    <xdr:colOff>755650</xdr:colOff>
                    <xdr:row>9</xdr:row>
                    <xdr:rowOff>679450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A481-6681-4D2D-8736-1CDCC1BA415B}">
  <sheetPr codeName="Sheet17">
    <tabColor rgb="FFD4CEDE"/>
  </sheetPr>
  <dimension ref="A1:L531"/>
  <sheetViews>
    <sheetView zoomScaleNormal="100" workbookViewId="0"/>
  </sheetViews>
  <sheetFormatPr defaultColWidth="0" defaultRowHeight="15.5" zeroHeight="1" x14ac:dyDescent="0.35"/>
  <cols>
    <col min="1" max="1" width="84.26953125" style="452" customWidth="1"/>
    <col min="2" max="2" width="38.26953125" style="587" customWidth="1"/>
    <col min="3" max="3" width="18.7265625" style="588" customWidth="1"/>
    <col min="4" max="4" width="18.7265625" style="589" customWidth="1"/>
    <col min="5" max="5" width="12.54296875" style="589" bestFit="1" customWidth="1"/>
    <col min="6" max="6" width="10.453125" style="589" bestFit="1" customWidth="1"/>
    <col min="7" max="8" width="12.54296875" style="589" bestFit="1" customWidth="1"/>
    <col min="9" max="9" width="10.54296875" style="589" bestFit="1" customWidth="1"/>
    <col min="10" max="12" width="12.54296875" style="590" bestFit="1" customWidth="1"/>
    <col min="13" max="16384" width="11.54296875" style="33" hidden="1"/>
  </cols>
  <sheetData>
    <row r="1" spans="1:12" ht="60" customHeight="1" x14ac:dyDescent="0.7">
      <c r="A1" s="490" t="s">
        <v>1511</v>
      </c>
      <c r="B1" s="533"/>
      <c r="C1" s="534"/>
      <c r="D1" s="535"/>
      <c r="E1" s="535"/>
      <c r="F1" s="535"/>
      <c r="G1" s="535"/>
      <c r="H1" s="535"/>
      <c r="I1" s="536"/>
      <c r="J1" s="536"/>
      <c r="K1" s="536"/>
      <c r="L1" s="536"/>
    </row>
    <row r="2" spans="1:12" ht="30" customHeight="1" x14ac:dyDescent="0.35">
      <c r="A2" s="582" t="s">
        <v>0</v>
      </c>
      <c r="B2" s="539"/>
      <c r="C2" s="540"/>
      <c r="D2" s="541"/>
      <c r="E2" s="541"/>
      <c r="F2" s="541"/>
      <c r="G2" s="541"/>
      <c r="H2" s="541"/>
      <c r="I2" s="541"/>
      <c r="J2" s="541"/>
      <c r="K2" s="536"/>
      <c r="L2" s="536"/>
    </row>
    <row r="3" spans="1:12" ht="44.25" customHeight="1" x14ac:dyDescent="0.35">
      <c r="A3" s="125" t="s">
        <v>1658</v>
      </c>
      <c r="B3" s="536"/>
      <c r="C3" s="537"/>
      <c r="D3" s="537"/>
      <c r="E3" s="537"/>
      <c r="F3" s="537"/>
      <c r="G3" s="537"/>
      <c r="H3" s="537"/>
      <c r="I3" s="536"/>
      <c r="J3" s="536"/>
      <c r="K3" s="536"/>
      <c r="L3" s="536"/>
    </row>
    <row r="4" spans="1:12" ht="155" x14ac:dyDescent="0.35">
      <c r="A4" s="491" t="s">
        <v>1722</v>
      </c>
      <c r="B4" s="538"/>
      <c r="C4" s="537"/>
      <c r="D4" s="537"/>
      <c r="E4" s="537"/>
      <c r="F4" s="537"/>
      <c r="G4" s="537"/>
      <c r="H4" s="537"/>
      <c r="I4" s="536"/>
      <c r="J4" s="536"/>
      <c r="K4" s="536"/>
      <c r="L4" s="536"/>
    </row>
    <row r="5" spans="1:12" ht="22.5" customHeight="1" x14ac:dyDescent="0.35">
      <c r="A5" s="262" t="str">
        <f t="shared" ref="A5:A21" si="0">IFERROR(LEFT(B5,IF(LEFT(B5,3)="800",FIND("(",B5,1)-2,FIND("-",B5,1)-2)),"")</f>
        <v/>
      </c>
      <c r="B5" s="538"/>
      <c r="C5" s="537"/>
      <c r="D5" s="537"/>
      <c r="E5" s="537"/>
      <c r="F5" s="537"/>
      <c r="G5" s="537"/>
      <c r="H5" s="537"/>
      <c r="I5" s="536"/>
      <c r="J5" s="536"/>
      <c r="K5" s="536"/>
      <c r="L5" s="536"/>
    </row>
    <row r="6" spans="1:12" x14ac:dyDescent="0.35">
      <c r="A6" s="262" t="str">
        <f t="shared" si="0"/>
        <v/>
      </c>
      <c r="B6" s="542"/>
      <c r="C6" s="543"/>
      <c r="D6" s="536"/>
      <c r="E6" s="536"/>
      <c r="F6" s="536"/>
      <c r="G6" s="536"/>
      <c r="H6" s="536"/>
      <c r="I6" s="536"/>
      <c r="J6" s="536"/>
      <c r="K6" s="536"/>
      <c r="L6" s="536"/>
    </row>
    <row r="7" spans="1:12" x14ac:dyDescent="0.35">
      <c r="A7" s="262" t="str">
        <f t="shared" si="0"/>
        <v/>
      </c>
      <c r="B7" s="542"/>
      <c r="C7" s="536"/>
      <c r="D7" s="536"/>
      <c r="E7" s="536"/>
      <c r="F7" s="536"/>
      <c r="G7" s="536"/>
      <c r="H7" s="536"/>
      <c r="I7" s="536"/>
      <c r="J7" s="536"/>
      <c r="K7" s="536"/>
      <c r="L7" s="536"/>
    </row>
    <row r="8" spans="1:12" x14ac:dyDescent="0.35">
      <c r="A8" s="262" t="str">
        <f t="shared" si="0"/>
        <v/>
      </c>
      <c r="B8" s="542"/>
      <c r="C8" s="536"/>
      <c r="D8" s="536"/>
      <c r="E8" s="536"/>
      <c r="F8" s="536"/>
      <c r="G8" s="536"/>
      <c r="H8" s="536"/>
      <c r="I8" s="536"/>
      <c r="J8" s="536"/>
      <c r="K8" s="536"/>
      <c r="L8" s="536"/>
    </row>
    <row r="9" spans="1:12" x14ac:dyDescent="0.35">
      <c r="A9" s="262" t="str">
        <f t="shared" si="0"/>
        <v/>
      </c>
      <c r="B9" s="542"/>
      <c r="C9" s="544"/>
      <c r="D9" s="536"/>
      <c r="E9" s="536"/>
      <c r="F9" s="536"/>
      <c r="G9" s="536"/>
      <c r="H9" s="536"/>
      <c r="I9" s="536"/>
      <c r="J9" s="536"/>
      <c r="K9" s="536"/>
      <c r="L9" s="536"/>
    </row>
    <row r="10" spans="1:12" x14ac:dyDescent="0.35">
      <c r="A10" s="262" t="str">
        <f t="shared" si="0"/>
        <v/>
      </c>
      <c r="B10" s="545"/>
      <c r="C10" s="537"/>
      <c r="D10" s="537"/>
      <c r="E10" s="537"/>
      <c r="F10" s="537"/>
      <c r="G10" s="537"/>
      <c r="H10" s="537"/>
      <c r="I10" s="536"/>
      <c r="J10" s="536"/>
      <c r="K10" s="536"/>
      <c r="L10" s="536"/>
    </row>
    <row r="11" spans="1:12" x14ac:dyDescent="0.35">
      <c r="A11" s="262" t="str">
        <f t="shared" si="0"/>
        <v/>
      </c>
      <c r="B11" s="539"/>
      <c r="C11" s="537"/>
      <c r="D11" s="537"/>
      <c r="E11" s="537"/>
      <c r="F11" s="537"/>
      <c r="G11" s="537"/>
      <c r="H11" s="537"/>
      <c r="I11" s="536"/>
      <c r="J11" s="536"/>
      <c r="K11" s="536"/>
      <c r="L11" s="536"/>
    </row>
    <row r="12" spans="1:12" x14ac:dyDescent="0.35">
      <c r="A12" s="262" t="str">
        <f t="shared" si="0"/>
        <v/>
      </c>
      <c r="B12" s="545"/>
      <c r="C12" s="537"/>
      <c r="D12" s="537"/>
      <c r="E12" s="537"/>
      <c r="F12" s="537"/>
      <c r="G12" s="537"/>
      <c r="H12" s="537"/>
      <c r="I12" s="536"/>
      <c r="J12" s="536"/>
      <c r="K12" s="536"/>
      <c r="L12" s="536"/>
    </row>
    <row r="13" spans="1:12" x14ac:dyDescent="0.35">
      <c r="A13" s="262" t="str">
        <f t="shared" si="0"/>
        <v/>
      </c>
      <c r="B13" s="542"/>
      <c r="C13" s="536"/>
      <c r="D13" s="536"/>
      <c r="E13" s="536"/>
      <c r="F13" s="536"/>
      <c r="G13" s="536"/>
      <c r="H13" s="536"/>
      <c r="I13" s="536"/>
      <c r="J13" s="536"/>
      <c r="K13" s="536"/>
      <c r="L13" s="536"/>
    </row>
    <row r="14" spans="1:12" x14ac:dyDescent="0.35">
      <c r="A14" s="262" t="str">
        <f t="shared" si="0"/>
        <v/>
      </c>
      <c r="B14" s="546"/>
      <c r="C14" s="536"/>
      <c r="D14" s="536"/>
      <c r="E14" s="536"/>
      <c r="F14" s="536"/>
      <c r="G14" s="536"/>
      <c r="H14" s="536"/>
      <c r="I14" s="536"/>
      <c r="J14" s="536"/>
      <c r="K14" s="536"/>
      <c r="L14" s="536"/>
    </row>
    <row r="15" spans="1:12" s="35" customFormat="1" x14ac:dyDescent="0.35">
      <c r="A15" s="262" t="str">
        <f t="shared" si="0"/>
        <v/>
      </c>
      <c r="B15" s="546"/>
      <c r="C15" s="536"/>
      <c r="D15" s="536"/>
      <c r="E15" s="536"/>
      <c r="F15" s="536"/>
      <c r="G15" s="536"/>
      <c r="H15" s="536"/>
      <c r="I15" s="536"/>
      <c r="J15" s="536"/>
      <c r="K15" s="536"/>
      <c r="L15" s="536"/>
    </row>
    <row r="16" spans="1:12" x14ac:dyDescent="0.35">
      <c r="A16" s="262" t="str">
        <f t="shared" si="0"/>
        <v/>
      </c>
      <c r="B16" s="546"/>
      <c r="C16" s="536"/>
      <c r="D16" s="536"/>
      <c r="E16" s="536"/>
      <c r="F16" s="536"/>
      <c r="G16" s="536"/>
      <c r="H16" s="536"/>
      <c r="I16" s="536"/>
      <c r="J16" s="536"/>
      <c r="K16" s="536"/>
      <c r="L16" s="536"/>
    </row>
    <row r="17" spans="1:12" x14ac:dyDescent="0.35">
      <c r="A17" s="262" t="str">
        <f t="shared" si="0"/>
        <v/>
      </c>
      <c r="B17" s="546"/>
      <c r="C17" s="536"/>
      <c r="D17" s="536"/>
      <c r="E17" s="536"/>
      <c r="F17" s="536"/>
      <c r="G17" s="536"/>
      <c r="H17" s="536"/>
      <c r="I17" s="536"/>
      <c r="J17" s="536"/>
      <c r="K17" s="536"/>
      <c r="L17" s="536"/>
    </row>
    <row r="18" spans="1:12" x14ac:dyDescent="0.35">
      <c r="A18" s="262" t="str">
        <f t="shared" si="0"/>
        <v/>
      </c>
      <c r="B18" s="546"/>
      <c r="C18" s="537"/>
      <c r="D18" s="537"/>
      <c r="E18" s="537"/>
      <c r="F18" s="537"/>
      <c r="G18" s="537"/>
      <c r="H18" s="537"/>
      <c r="I18" s="536"/>
      <c r="J18" s="536"/>
      <c r="K18" s="536"/>
      <c r="L18" s="536"/>
    </row>
    <row r="19" spans="1:12" x14ac:dyDescent="0.35">
      <c r="A19" s="262" t="str">
        <f t="shared" si="0"/>
        <v/>
      </c>
      <c r="B19" s="538"/>
      <c r="C19" s="547"/>
      <c r="D19" s="547"/>
      <c r="E19" s="547"/>
      <c r="F19" s="547"/>
      <c r="G19" s="547"/>
      <c r="H19" s="547"/>
      <c r="I19" s="536"/>
      <c r="J19" s="536"/>
      <c r="K19" s="536"/>
      <c r="L19" s="536"/>
    </row>
    <row r="20" spans="1:12" x14ac:dyDescent="0.35">
      <c r="A20" s="262" t="str">
        <f t="shared" si="0"/>
        <v/>
      </c>
      <c r="B20" s="538"/>
      <c r="C20" s="548"/>
      <c r="D20" s="548"/>
      <c r="E20" s="548"/>
      <c r="F20" s="548"/>
      <c r="G20" s="548"/>
      <c r="H20" s="548"/>
      <c r="I20" s="548"/>
      <c r="J20" s="536"/>
      <c r="K20" s="536"/>
      <c r="L20" s="536"/>
    </row>
    <row r="21" spans="1:12" x14ac:dyDescent="0.35">
      <c r="A21" s="262" t="str">
        <f t="shared" si="0"/>
        <v/>
      </c>
      <c r="B21" s="538"/>
      <c r="C21" s="548"/>
      <c r="D21" s="548"/>
      <c r="E21" s="548"/>
      <c r="F21" s="548"/>
      <c r="G21" s="548"/>
      <c r="H21" s="548"/>
      <c r="I21" s="548"/>
      <c r="J21" s="536"/>
      <c r="K21" s="536"/>
      <c r="L21" s="536"/>
    </row>
    <row r="22" spans="1:12" x14ac:dyDescent="0.35">
      <c r="A22" s="262" t="str">
        <f t="shared" ref="A22:A85" si="1">IFERROR(LEFT(B22,IF(LEFT(B22,3)="800",FIND("(",B22,1)-2,FIND("-",B22,1)-2)),"")</f>
        <v/>
      </c>
      <c r="B22" s="536"/>
      <c r="C22" s="549"/>
      <c r="D22" s="549"/>
      <c r="E22" s="549"/>
      <c r="F22" s="537"/>
      <c r="G22" s="537"/>
      <c r="H22" s="537"/>
      <c r="I22" s="536"/>
      <c r="J22" s="536"/>
      <c r="K22" s="536"/>
      <c r="L22" s="536"/>
    </row>
    <row r="23" spans="1:12" ht="35.15" customHeight="1" x14ac:dyDescent="0.35">
      <c r="A23" s="262" t="str">
        <f t="shared" si="1"/>
        <v/>
      </c>
      <c r="B23" s="550"/>
      <c r="C23" s="541"/>
      <c r="D23" s="541"/>
      <c r="E23" s="541"/>
      <c r="F23" s="541"/>
      <c r="G23" s="541"/>
      <c r="H23" s="541"/>
      <c r="I23" s="541"/>
      <c r="J23" s="541"/>
      <c r="K23" s="541"/>
      <c r="L23" s="541"/>
    </row>
    <row r="24" spans="1:12" ht="21" customHeight="1" x14ac:dyDescent="0.35">
      <c r="A24" s="262" t="str">
        <f t="shared" si="1"/>
        <v/>
      </c>
      <c r="B24" s="542"/>
      <c r="C24" s="543"/>
      <c r="D24" s="543"/>
      <c r="E24" s="543"/>
      <c r="F24" s="543"/>
      <c r="G24" s="543"/>
      <c r="H24" s="543"/>
      <c r="I24" s="543"/>
      <c r="J24" s="543"/>
      <c r="K24" s="543"/>
      <c r="L24" s="543"/>
    </row>
    <row r="25" spans="1:12" ht="18.649999999999999" customHeight="1" x14ac:dyDescent="0.35">
      <c r="A25" s="262" t="str">
        <f t="shared" si="1"/>
        <v/>
      </c>
      <c r="B25" s="539"/>
      <c r="C25" s="537"/>
      <c r="D25" s="537"/>
      <c r="E25" s="537"/>
      <c r="F25" s="537"/>
      <c r="G25" s="537"/>
      <c r="H25" s="537"/>
      <c r="I25" s="536"/>
      <c r="J25" s="536"/>
      <c r="K25" s="536"/>
      <c r="L25" s="536"/>
    </row>
    <row r="26" spans="1:12" x14ac:dyDescent="0.35">
      <c r="A26" s="262" t="str">
        <f t="shared" si="1"/>
        <v/>
      </c>
      <c r="B26" s="545"/>
      <c r="C26" s="537"/>
      <c r="D26" s="537"/>
      <c r="E26" s="537"/>
      <c r="F26" s="537"/>
      <c r="G26" s="537"/>
      <c r="H26" s="537"/>
      <c r="I26" s="536"/>
      <c r="J26" s="536"/>
      <c r="K26" s="536"/>
      <c r="L26" s="536"/>
    </row>
    <row r="27" spans="1:12" x14ac:dyDescent="0.35">
      <c r="A27" s="262" t="str">
        <f t="shared" si="1"/>
        <v/>
      </c>
      <c r="B27" s="551"/>
      <c r="C27" s="537"/>
      <c r="D27" s="537"/>
      <c r="E27" s="537"/>
      <c r="F27" s="537"/>
      <c r="G27" s="537"/>
      <c r="H27" s="537"/>
      <c r="I27" s="536"/>
      <c r="J27" s="536"/>
      <c r="K27" s="536"/>
      <c r="L27" s="536"/>
    </row>
    <row r="28" spans="1:12" x14ac:dyDescent="0.35">
      <c r="A28" s="262" t="str">
        <f t="shared" si="1"/>
        <v/>
      </c>
      <c r="B28" s="538"/>
      <c r="C28" s="547"/>
      <c r="D28" s="547"/>
      <c r="E28" s="547"/>
      <c r="F28" s="547"/>
      <c r="G28" s="547"/>
      <c r="H28" s="547"/>
      <c r="I28" s="547"/>
      <c r="J28" s="547"/>
      <c r="K28" s="547"/>
      <c r="L28" s="547"/>
    </row>
    <row r="29" spans="1:12" x14ac:dyDescent="0.35">
      <c r="A29" s="262" t="str">
        <f t="shared" si="1"/>
        <v/>
      </c>
      <c r="B29" s="538"/>
      <c r="C29" s="548"/>
      <c r="D29" s="548"/>
      <c r="E29" s="548"/>
      <c r="F29" s="548"/>
      <c r="G29" s="548"/>
      <c r="H29" s="548"/>
      <c r="I29" s="548"/>
      <c r="J29" s="548"/>
      <c r="K29" s="548"/>
      <c r="L29" s="548"/>
    </row>
    <row r="30" spans="1:12" x14ac:dyDescent="0.35">
      <c r="A30" s="262" t="str">
        <f t="shared" si="1"/>
        <v/>
      </c>
      <c r="B30" s="538"/>
      <c r="C30" s="548"/>
      <c r="D30" s="548"/>
      <c r="E30" s="548"/>
      <c r="F30" s="548"/>
      <c r="G30" s="548"/>
      <c r="H30" s="548"/>
      <c r="I30" s="548"/>
      <c r="J30" s="548"/>
      <c r="K30" s="548"/>
      <c r="L30" s="548"/>
    </row>
    <row r="31" spans="1:12" x14ac:dyDescent="0.35">
      <c r="A31" s="262" t="str">
        <f t="shared" si="1"/>
        <v/>
      </c>
      <c r="B31" s="541"/>
      <c r="C31" s="549"/>
      <c r="D31" s="549"/>
      <c r="E31" s="549"/>
      <c r="F31" s="549"/>
      <c r="G31" s="549"/>
      <c r="H31" s="549"/>
      <c r="I31" s="549"/>
      <c r="J31" s="549"/>
      <c r="K31" s="549"/>
      <c r="L31" s="549"/>
    </row>
    <row r="32" spans="1:12" ht="27" customHeight="1" x14ac:dyDescent="0.35">
      <c r="A32" s="262" t="str">
        <f t="shared" si="1"/>
        <v/>
      </c>
      <c r="B32" s="536"/>
      <c r="C32" s="549"/>
      <c r="D32" s="549"/>
      <c r="E32" s="549"/>
      <c r="F32" s="549"/>
      <c r="G32" s="549"/>
      <c r="H32" s="549"/>
      <c r="I32" s="549"/>
      <c r="J32" s="549"/>
      <c r="K32" s="549"/>
      <c r="L32" s="549"/>
    </row>
    <row r="33" spans="1:12" x14ac:dyDescent="0.35">
      <c r="A33" s="262" t="str">
        <f t="shared" si="1"/>
        <v/>
      </c>
      <c r="B33" s="536"/>
      <c r="C33" s="549"/>
      <c r="D33" s="549"/>
      <c r="E33" s="549"/>
      <c r="F33" s="549"/>
      <c r="G33" s="549"/>
      <c r="H33" s="549"/>
      <c r="I33" s="549"/>
      <c r="J33" s="549"/>
      <c r="K33" s="549"/>
      <c r="L33" s="549"/>
    </row>
    <row r="34" spans="1:12" x14ac:dyDescent="0.35">
      <c r="A34" s="262" t="str">
        <f t="shared" si="1"/>
        <v/>
      </c>
      <c r="B34" s="541"/>
      <c r="C34" s="549"/>
      <c r="D34" s="549"/>
      <c r="E34" s="549"/>
      <c r="F34" s="549"/>
      <c r="G34" s="549"/>
      <c r="H34" s="549"/>
      <c r="I34" s="549"/>
      <c r="J34" s="549"/>
      <c r="K34" s="549"/>
      <c r="L34" s="549"/>
    </row>
    <row r="35" spans="1:12" x14ac:dyDescent="0.35">
      <c r="A35" s="262" t="str">
        <f t="shared" si="1"/>
        <v/>
      </c>
      <c r="B35" s="541"/>
      <c r="C35" s="549"/>
      <c r="D35" s="549"/>
      <c r="E35" s="549"/>
      <c r="F35" s="549"/>
      <c r="G35" s="549"/>
      <c r="H35" s="549"/>
      <c r="I35" s="549"/>
      <c r="J35" s="549"/>
      <c r="K35" s="549"/>
      <c r="L35" s="549"/>
    </row>
    <row r="36" spans="1:12" x14ac:dyDescent="0.35">
      <c r="A36" s="262" t="str">
        <f t="shared" si="1"/>
        <v/>
      </c>
      <c r="B36" s="541"/>
      <c r="C36" s="549"/>
      <c r="D36" s="549"/>
      <c r="E36" s="549"/>
      <c r="F36" s="549"/>
      <c r="G36" s="549"/>
      <c r="H36" s="549"/>
      <c r="I36" s="549"/>
      <c r="J36" s="549"/>
      <c r="K36" s="549"/>
      <c r="L36" s="549"/>
    </row>
    <row r="37" spans="1:12" x14ac:dyDescent="0.35">
      <c r="A37" s="262" t="str">
        <f t="shared" si="1"/>
        <v/>
      </c>
      <c r="B37" s="541"/>
      <c r="C37" s="549"/>
      <c r="D37" s="549"/>
      <c r="E37" s="549"/>
      <c r="F37" s="549"/>
      <c r="G37" s="549"/>
      <c r="H37" s="549"/>
      <c r="I37" s="549"/>
      <c r="J37" s="549"/>
      <c r="K37" s="549"/>
      <c r="L37" s="549"/>
    </row>
    <row r="38" spans="1:12" x14ac:dyDescent="0.35">
      <c r="A38" s="262" t="str">
        <f t="shared" si="1"/>
        <v/>
      </c>
      <c r="B38" s="541"/>
      <c r="C38" s="549"/>
      <c r="D38" s="549"/>
      <c r="E38" s="549"/>
      <c r="F38" s="549"/>
      <c r="G38" s="549"/>
      <c r="H38" s="549"/>
      <c r="I38" s="549"/>
      <c r="J38" s="549"/>
      <c r="K38" s="549"/>
      <c r="L38" s="549"/>
    </row>
    <row r="39" spans="1:12" x14ac:dyDescent="0.35">
      <c r="A39" s="262" t="str">
        <f t="shared" si="1"/>
        <v/>
      </c>
      <c r="B39" s="541"/>
      <c r="C39" s="549"/>
      <c r="D39" s="549"/>
      <c r="E39" s="549"/>
      <c r="F39" s="549"/>
      <c r="G39" s="549"/>
      <c r="H39" s="549"/>
      <c r="I39" s="549"/>
      <c r="J39" s="549"/>
      <c r="K39" s="549"/>
      <c r="L39" s="549"/>
    </row>
    <row r="40" spans="1:12" x14ac:dyDescent="0.35">
      <c r="A40" s="262" t="str">
        <f t="shared" si="1"/>
        <v/>
      </c>
      <c r="B40" s="541"/>
      <c r="C40" s="549"/>
      <c r="D40" s="549"/>
      <c r="E40" s="549"/>
      <c r="F40" s="549"/>
      <c r="G40" s="549"/>
      <c r="H40" s="549"/>
      <c r="I40" s="549"/>
      <c r="J40" s="549"/>
      <c r="K40" s="549"/>
      <c r="L40" s="549"/>
    </row>
    <row r="41" spans="1:12" x14ac:dyDescent="0.35">
      <c r="A41" s="262" t="str">
        <f t="shared" si="1"/>
        <v/>
      </c>
      <c r="B41" s="541"/>
      <c r="C41" s="549"/>
      <c r="D41" s="549"/>
      <c r="E41" s="549"/>
      <c r="F41" s="549"/>
      <c r="G41" s="549"/>
      <c r="H41" s="549"/>
      <c r="I41" s="549"/>
      <c r="J41" s="549"/>
      <c r="K41" s="549"/>
      <c r="L41" s="549"/>
    </row>
    <row r="42" spans="1:12" x14ac:dyDescent="0.35">
      <c r="A42" s="262" t="str">
        <f t="shared" si="1"/>
        <v/>
      </c>
      <c r="B42" s="541"/>
      <c r="C42" s="549"/>
      <c r="D42" s="549"/>
      <c r="E42" s="549"/>
      <c r="F42" s="549"/>
      <c r="G42" s="549"/>
      <c r="H42" s="549"/>
      <c r="I42" s="549"/>
      <c r="J42" s="549"/>
      <c r="K42" s="549"/>
      <c r="L42" s="549"/>
    </row>
    <row r="43" spans="1:12" x14ac:dyDescent="0.35">
      <c r="A43" s="262" t="str">
        <f t="shared" si="1"/>
        <v/>
      </c>
      <c r="B43" s="541"/>
      <c r="C43" s="549"/>
      <c r="D43" s="549"/>
      <c r="E43" s="549"/>
      <c r="F43" s="549"/>
      <c r="G43" s="549"/>
      <c r="H43" s="549"/>
      <c r="I43" s="536"/>
      <c r="J43" s="536"/>
      <c r="K43" s="536"/>
      <c r="L43" s="536"/>
    </row>
    <row r="44" spans="1:12" x14ac:dyDescent="0.35">
      <c r="A44" s="262" t="str">
        <f t="shared" si="1"/>
        <v/>
      </c>
      <c r="B44" s="550"/>
      <c r="C44" s="536"/>
      <c r="D44" s="536"/>
      <c r="E44" s="536"/>
      <c r="F44" s="536"/>
      <c r="G44" s="536"/>
      <c r="H44" s="536"/>
      <c r="I44" s="536"/>
      <c r="J44" s="536"/>
      <c r="K44" s="536"/>
      <c r="L44" s="536"/>
    </row>
    <row r="45" spans="1:12" ht="38.9" customHeight="1" x14ac:dyDescent="0.35">
      <c r="A45" s="262" t="str">
        <f t="shared" si="1"/>
        <v/>
      </c>
      <c r="B45" s="550"/>
      <c r="C45" s="536"/>
      <c r="D45" s="536"/>
      <c r="E45" s="536"/>
      <c r="F45" s="536"/>
      <c r="G45" s="536"/>
      <c r="H45" s="536"/>
      <c r="I45" s="536"/>
      <c r="J45" s="536"/>
      <c r="K45" s="536"/>
      <c r="L45" s="536"/>
    </row>
    <row r="46" spans="1:12" ht="44.9" customHeight="1" x14ac:dyDescent="0.35">
      <c r="A46" s="262" t="str">
        <f t="shared" si="1"/>
        <v/>
      </c>
      <c r="B46" s="550"/>
      <c r="C46" s="541"/>
      <c r="D46" s="541"/>
      <c r="E46" s="541"/>
      <c r="F46" s="541"/>
      <c r="G46" s="541"/>
      <c r="H46" s="541"/>
      <c r="I46" s="541"/>
      <c r="J46" s="541"/>
      <c r="K46" s="541"/>
      <c r="L46" s="541"/>
    </row>
    <row r="47" spans="1:12" ht="25.4" customHeight="1" x14ac:dyDescent="0.35">
      <c r="A47" s="262" t="str">
        <f t="shared" si="1"/>
        <v/>
      </c>
      <c r="B47" s="552"/>
      <c r="C47" s="537"/>
      <c r="D47" s="537"/>
      <c r="E47" s="537"/>
      <c r="F47" s="537"/>
      <c r="G47" s="537"/>
      <c r="H47" s="537"/>
      <c r="I47" s="536"/>
      <c r="J47" s="536"/>
      <c r="K47" s="536"/>
      <c r="L47" s="536"/>
    </row>
    <row r="48" spans="1:12" ht="22.5" customHeight="1" x14ac:dyDescent="0.35">
      <c r="A48" s="262" t="str">
        <f t="shared" si="1"/>
        <v/>
      </c>
      <c r="B48" s="538"/>
      <c r="C48" s="547"/>
      <c r="D48" s="547"/>
      <c r="E48" s="547"/>
      <c r="F48" s="547"/>
      <c r="G48" s="547"/>
      <c r="H48" s="547"/>
      <c r="I48" s="547"/>
      <c r="J48" s="547"/>
      <c r="K48" s="547"/>
      <c r="L48" s="547"/>
    </row>
    <row r="49" spans="1:12" x14ac:dyDescent="0.35">
      <c r="A49" s="262" t="str">
        <f t="shared" si="1"/>
        <v/>
      </c>
      <c r="B49" s="538"/>
      <c r="C49" s="548"/>
      <c r="D49" s="548"/>
      <c r="E49" s="548"/>
      <c r="F49" s="548"/>
      <c r="G49" s="548"/>
      <c r="H49" s="548"/>
      <c r="I49" s="548"/>
      <c r="J49" s="548"/>
      <c r="K49" s="548"/>
      <c r="L49" s="548"/>
    </row>
    <row r="50" spans="1:12" x14ac:dyDescent="0.35">
      <c r="A50" s="262" t="str">
        <f t="shared" si="1"/>
        <v/>
      </c>
      <c r="B50" s="538"/>
      <c r="C50" s="548"/>
      <c r="D50" s="548"/>
      <c r="E50" s="548"/>
      <c r="F50" s="548"/>
      <c r="G50" s="548"/>
      <c r="H50" s="548"/>
      <c r="I50" s="548"/>
      <c r="J50" s="548"/>
      <c r="K50" s="548"/>
      <c r="L50" s="548"/>
    </row>
    <row r="51" spans="1:12" x14ac:dyDescent="0.35">
      <c r="A51" s="262" t="str">
        <f t="shared" si="1"/>
        <v/>
      </c>
      <c r="B51" s="536"/>
      <c r="C51" s="549"/>
      <c r="D51" s="549"/>
      <c r="E51" s="549"/>
      <c r="F51" s="549"/>
      <c r="G51" s="549"/>
      <c r="H51" s="549"/>
      <c r="I51" s="549"/>
      <c r="J51" s="549"/>
      <c r="K51" s="549"/>
      <c r="L51" s="549"/>
    </row>
    <row r="52" spans="1:12" x14ac:dyDescent="0.35">
      <c r="A52" s="262" t="str">
        <f t="shared" si="1"/>
        <v/>
      </c>
      <c r="B52" s="536"/>
      <c r="C52" s="549"/>
      <c r="D52" s="549"/>
      <c r="E52" s="549"/>
      <c r="F52" s="549"/>
      <c r="G52" s="549"/>
      <c r="H52" s="549"/>
      <c r="I52" s="549"/>
      <c r="J52" s="549"/>
      <c r="K52" s="549"/>
      <c r="L52" s="549"/>
    </row>
    <row r="53" spans="1:12" x14ac:dyDescent="0.35">
      <c r="A53" s="262" t="str">
        <f t="shared" si="1"/>
        <v/>
      </c>
      <c r="B53" s="536"/>
      <c r="C53" s="549"/>
      <c r="D53" s="549"/>
      <c r="E53" s="549"/>
      <c r="F53" s="549"/>
      <c r="G53" s="549"/>
      <c r="H53" s="549"/>
      <c r="I53" s="549"/>
      <c r="J53" s="549"/>
      <c r="K53" s="549"/>
      <c r="L53" s="549"/>
    </row>
    <row r="54" spans="1:12" x14ac:dyDescent="0.35">
      <c r="A54" s="262" t="str">
        <f t="shared" si="1"/>
        <v/>
      </c>
      <c r="B54" s="536"/>
      <c r="C54" s="549"/>
      <c r="D54" s="549"/>
      <c r="E54" s="549"/>
      <c r="F54" s="549"/>
      <c r="G54" s="549"/>
      <c r="H54" s="549"/>
      <c r="I54" s="549"/>
      <c r="J54" s="549"/>
      <c r="K54" s="549"/>
      <c r="L54" s="549"/>
    </row>
    <row r="55" spans="1:12" x14ac:dyDescent="0.35">
      <c r="A55" s="262" t="str">
        <f t="shared" si="1"/>
        <v/>
      </c>
      <c r="B55" s="536"/>
      <c r="C55" s="549"/>
      <c r="D55" s="549"/>
      <c r="E55" s="549"/>
      <c r="F55" s="549"/>
      <c r="G55" s="549"/>
      <c r="H55" s="549"/>
      <c r="I55" s="549"/>
      <c r="J55" s="549"/>
      <c r="K55" s="549"/>
      <c r="L55" s="549"/>
    </row>
    <row r="56" spans="1:12" x14ac:dyDescent="0.35">
      <c r="A56" s="262" t="str">
        <f t="shared" si="1"/>
        <v/>
      </c>
      <c r="B56" s="538"/>
      <c r="C56" s="537"/>
      <c r="D56" s="537"/>
      <c r="E56" s="537"/>
      <c r="F56" s="537"/>
      <c r="G56" s="537"/>
      <c r="H56" s="537"/>
      <c r="I56" s="536"/>
      <c r="J56" s="536"/>
      <c r="K56" s="536"/>
      <c r="L56" s="536"/>
    </row>
    <row r="57" spans="1:12" x14ac:dyDescent="0.35">
      <c r="A57" s="262" t="str">
        <f t="shared" si="1"/>
        <v/>
      </c>
      <c r="B57" s="551"/>
      <c r="C57" s="537"/>
      <c r="D57" s="537"/>
      <c r="E57" s="537"/>
      <c r="F57" s="537"/>
      <c r="G57" s="537"/>
      <c r="H57" s="537"/>
      <c r="I57" s="536"/>
      <c r="J57" s="536"/>
      <c r="K57" s="536"/>
      <c r="L57" s="536"/>
    </row>
    <row r="58" spans="1:12" x14ac:dyDescent="0.35">
      <c r="A58" s="262" t="str">
        <f t="shared" si="1"/>
        <v/>
      </c>
      <c r="B58" s="538"/>
      <c r="C58" s="547"/>
      <c r="D58" s="547"/>
      <c r="E58" s="547"/>
      <c r="F58" s="547"/>
      <c r="G58" s="547"/>
      <c r="H58" s="547"/>
      <c r="I58" s="547"/>
      <c r="J58" s="547"/>
      <c r="K58" s="547"/>
      <c r="L58" s="547"/>
    </row>
    <row r="59" spans="1:12" x14ac:dyDescent="0.35">
      <c r="A59" s="262" t="str">
        <f t="shared" si="1"/>
        <v/>
      </c>
      <c r="B59" s="538"/>
      <c r="C59" s="548"/>
      <c r="D59" s="548"/>
      <c r="E59" s="548"/>
      <c r="F59" s="548"/>
      <c r="G59" s="548"/>
      <c r="H59" s="548"/>
      <c r="I59" s="548"/>
      <c r="J59" s="548"/>
      <c r="K59" s="548"/>
      <c r="L59" s="548"/>
    </row>
    <row r="60" spans="1:12" x14ac:dyDescent="0.35">
      <c r="A60" s="262" t="str">
        <f t="shared" si="1"/>
        <v/>
      </c>
      <c r="B60" s="538"/>
      <c r="C60" s="548"/>
      <c r="D60" s="548"/>
      <c r="E60" s="548"/>
      <c r="F60" s="548"/>
      <c r="G60" s="548"/>
      <c r="H60" s="548"/>
      <c r="I60" s="548"/>
      <c r="J60" s="548"/>
      <c r="K60" s="548"/>
      <c r="L60" s="548"/>
    </row>
    <row r="61" spans="1:12" x14ac:dyDescent="0.35">
      <c r="A61" s="262" t="str">
        <f t="shared" si="1"/>
        <v/>
      </c>
      <c r="B61" s="553"/>
      <c r="C61" s="549"/>
      <c r="D61" s="549"/>
      <c r="E61" s="549"/>
      <c r="F61" s="549"/>
      <c r="G61" s="549"/>
      <c r="H61" s="549"/>
      <c r="I61" s="549"/>
      <c r="J61" s="549"/>
      <c r="K61" s="549"/>
      <c r="L61" s="549"/>
    </row>
    <row r="62" spans="1:12" x14ac:dyDescent="0.35">
      <c r="A62" s="262" t="str">
        <f t="shared" si="1"/>
        <v/>
      </c>
      <c r="B62" s="553"/>
      <c r="C62" s="549"/>
      <c r="D62" s="549"/>
      <c r="E62" s="549"/>
      <c r="F62" s="549"/>
      <c r="G62" s="549"/>
      <c r="H62" s="549"/>
      <c r="I62" s="549"/>
      <c r="J62" s="549"/>
      <c r="K62" s="549"/>
      <c r="L62" s="549"/>
    </row>
    <row r="63" spans="1:12" x14ac:dyDescent="0.35">
      <c r="A63" s="262" t="str">
        <f t="shared" si="1"/>
        <v/>
      </c>
      <c r="B63" s="553"/>
      <c r="C63" s="549"/>
      <c r="D63" s="549"/>
      <c r="E63" s="549"/>
      <c r="F63" s="549"/>
      <c r="G63" s="549"/>
      <c r="H63" s="549"/>
      <c r="I63" s="549"/>
      <c r="J63" s="549"/>
      <c r="K63" s="549"/>
      <c r="L63" s="549"/>
    </row>
    <row r="64" spans="1:12" x14ac:dyDescent="0.35">
      <c r="A64" s="262" t="str">
        <f t="shared" si="1"/>
        <v/>
      </c>
      <c r="B64" s="554"/>
      <c r="C64" s="537"/>
      <c r="D64" s="537"/>
      <c r="E64" s="537"/>
      <c r="F64" s="537"/>
      <c r="G64" s="537"/>
      <c r="H64" s="537"/>
      <c r="I64" s="536"/>
      <c r="J64" s="536"/>
      <c r="K64" s="536"/>
      <c r="L64" s="536"/>
    </row>
    <row r="65" spans="1:12" x14ac:dyDescent="0.35">
      <c r="A65" s="262" t="str">
        <f t="shared" si="1"/>
        <v/>
      </c>
      <c r="B65" s="551"/>
      <c r="C65" s="537"/>
      <c r="D65" s="537"/>
      <c r="E65" s="537"/>
      <c r="F65" s="537"/>
      <c r="G65" s="537"/>
      <c r="H65" s="537"/>
      <c r="I65" s="536"/>
      <c r="J65" s="536"/>
      <c r="K65" s="536"/>
      <c r="L65" s="536"/>
    </row>
    <row r="66" spans="1:12" x14ac:dyDescent="0.35">
      <c r="A66" s="262" t="str">
        <f t="shared" si="1"/>
        <v/>
      </c>
      <c r="B66" s="538"/>
      <c r="C66" s="547"/>
      <c r="D66" s="547"/>
      <c r="E66" s="547"/>
      <c r="F66" s="547"/>
      <c r="G66" s="547"/>
      <c r="H66" s="547"/>
      <c r="I66" s="547"/>
      <c r="J66" s="547"/>
      <c r="K66" s="547"/>
      <c r="L66" s="547"/>
    </row>
    <row r="67" spans="1:12" x14ac:dyDescent="0.35">
      <c r="A67" s="262" t="str">
        <f t="shared" si="1"/>
        <v/>
      </c>
      <c r="B67" s="538"/>
      <c r="C67" s="548"/>
      <c r="D67" s="548"/>
      <c r="E67" s="548"/>
      <c r="F67" s="548"/>
      <c r="G67" s="548"/>
      <c r="H67" s="548"/>
      <c r="I67" s="548"/>
      <c r="J67" s="548"/>
      <c r="K67" s="548"/>
      <c r="L67" s="548"/>
    </row>
    <row r="68" spans="1:12" x14ac:dyDescent="0.35">
      <c r="A68" s="262" t="str">
        <f t="shared" si="1"/>
        <v/>
      </c>
      <c r="B68" s="538"/>
      <c r="C68" s="548"/>
      <c r="D68" s="548"/>
      <c r="E68" s="548"/>
      <c r="F68" s="548"/>
      <c r="G68" s="548"/>
      <c r="H68" s="548"/>
      <c r="I68" s="548"/>
      <c r="J68" s="548"/>
      <c r="K68" s="548"/>
      <c r="L68" s="548"/>
    </row>
    <row r="69" spans="1:12" x14ac:dyDescent="0.35">
      <c r="A69" s="262" t="str">
        <f t="shared" si="1"/>
        <v/>
      </c>
      <c r="B69" s="536"/>
      <c r="C69" s="549"/>
      <c r="D69" s="549"/>
      <c r="E69" s="549"/>
      <c r="F69" s="549"/>
      <c r="G69" s="549"/>
      <c r="H69" s="549"/>
      <c r="I69" s="549"/>
      <c r="J69" s="549"/>
      <c r="K69" s="549"/>
      <c r="L69" s="549"/>
    </row>
    <row r="70" spans="1:12" x14ac:dyDescent="0.35">
      <c r="A70" s="262" t="str">
        <f t="shared" si="1"/>
        <v/>
      </c>
      <c r="B70" s="553"/>
      <c r="C70" s="549"/>
      <c r="D70" s="549"/>
      <c r="E70" s="549"/>
      <c r="F70" s="549"/>
      <c r="G70" s="549"/>
      <c r="H70" s="549"/>
      <c r="I70" s="549"/>
      <c r="J70" s="549"/>
      <c r="K70" s="549"/>
      <c r="L70" s="549"/>
    </row>
    <row r="71" spans="1:12" x14ac:dyDescent="0.35">
      <c r="A71" s="262" t="str">
        <f t="shared" si="1"/>
        <v/>
      </c>
      <c r="B71" s="536"/>
      <c r="C71" s="549"/>
      <c r="D71" s="549"/>
      <c r="E71" s="549"/>
      <c r="F71" s="549"/>
      <c r="G71" s="549"/>
      <c r="H71" s="549"/>
      <c r="I71" s="549"/>
      <c r="J71" s="549"/>
      <c r="K71" s="549"/>
      <c r="L71" s="549"/>
    </row>
    <row r="72" spans="1:12" x14ac:dyDescent="0.35">
      <c r="A72" s="262" t="str">
        <f t="shared" si="1"/>
        <v/>
      </c>
      <c r="B72" s="536"/>
      <c r="C72" s="547"/>
      <c r="D72" s="537"/>
      <c r="E72" s="537"/>
      <c r="F72" s="537"/>
      <c r="G72" s="537"/>
      <c r="H72" s="537"/>
      <c r="I72" s="536"/>
      <c r="J72" s="536"/>
      <c r="K72" s="536"/>
      <c r="L72" s="536"/>
    </row>
    <row r="73" spans="1:12" x14ac:dyDescent="0.35">
      <c r="A73" s="262" t="str">
        <f t="shared" si="1"/>
        <v/>
      </c>
      <c r="B73" s="553"/>
      <c r="C73" s="549"/>
      <c r="D73" s="549"/>
      <c r="E73" s="549"/>
      <c r="F73" s="549"/>
      <c r="G73" s="549"/>
      <c r="H73" s="549"/>
      <c r="I73" s="549"/>
      <c r="J73" s="549"/>
      <c r="K73" s="549"/>
      <c r="L73" s="549"/>
    </row>
    <row r="74" spans="1:12" x14ac:dyDescent="0.35">
      <c r="A74" s="262" t="str">
        <f t="shared" si="1"/>
        <v/>
      </c>
      <c r="B74" s="536"/>
      <c r="C74" s="537"/>
      <c r="D74" s="537"/>
      <c r="E74" s="537"/>
      <c r="F74" s="537"/>
      <c r="G74" s="537"/>
      <c r="H74" s="537"/>
      <c r="I74" s="536"/>
      <c r="J74" s="536"/>
      <c r="K74" s="536"/>
      <c r="L74" s="536"/>
    </row>
    <row r="75" spans="1:12" x14ac:dyDescent="0.35">
      <c r="A75" s="262" t="str">
        <f t="shared" si="1"/>
        <v/>
      </c>
      <c r="B75" s="536"/>
      <c r="C75" s="537"/>
      <c r="D75" s="537"/>
      <c r="E75" s="537"/>
      <c r="F75" s="537"/>
      <c r="G75" s="537"/>
      <c r="H75" s="537"/>
      <c r="I75" s="536"/>
      <c r="J75" s="536"/>
      <c r="K75" s="536"/>
      <c r="L75" s="536"/>
    </row>
    <row r="76" spans="1:12" x14ac:dyDescent="0.35">
      <c r="A76" s="262" t="str">
        <f t="shared" si="1"/>
        <v/>
      </c>
      <c r="B76" s="552"/>
      <c r="C76" s="537"/>
      <c r="D76" s="537"/>
      <c r="E76" s="537"/>
      <c r="F76" s="537"/>
      <c r="G76" s="537"/>
      <c r="H76" s="537"/>
      <c r="I76" s="536"/>
      <c r="J76" s="536"/>
      <c r="K76" s="536"/>
      <c r="L76" s="536"/>
    </row>
    <row r="77" spans="1:12" x14ac:dyDescent="0.35">
      <c r="A77" s="262" t="str">
        <f t="shared" si="1"/>
        <v/>
      </c>
      <c r="B77" s="536"/>
      <c r="C77" s="547"/>
      <c r="D77" s="547"/>
      <c r="E77" s="547"/>
      <c r="F77" s="547"/>
      <c r="G77" s="547"/>
      <c r="H77" s="547"/>
      <c r="I77" s="547"/>
      <c r="J77" s="547"/>
      <c r="K77" s="547"/>
      <c r="L77" s="547"/>
    </row>
    <row r="78" spans="1:12" x14ac:dyDescent="0.35">
      <c r="A78" s="262" t="str">
        <f t="shared" si="1"/>
        <v/>
      </c>
      <c r="B78" s="536"/>
      <c r="C78" s="548"/>
      <c r="D78" s="548"/>
      <c r="E78" s="548"/>
      <c r="F78" s="548"/>
      <c r="G78" s="548"/>
      <c r="H78" s="548"/>
      <c r="I78" s="548"/>
      <c r="J78" s="548"/>
      <c r="K78" s="548"/>
      <c r="L78" s="548"/>
    </row>
    <row r="79" spans="1:12" x14ac:dyDescent="0.35">
      <c r="A79" s="262" t="str">
        <f t="shared" si="1"/>
        <v/>
      </c>
      <c r="B79" s="536"/>
      <c r="C79" s="548"/>
      <c r="D79" s="548"/>
      <c r="E79" s="548"/>
      <c r="F79" s="548"/>
      <c r="G79" s="548"/>
      <c r="H79" s="548"/>
      <c r="I79" s="548"/>
      <c r="J79" s="548"/>
      <c r="K79" s="548"/>
      <c r="L79" s="548"/>
    </row>
    <row r="80" spans="1:12" x14ac:dyDescent="0.35">
      <c r="A80" s="262" t="str">
        <f t="shared" si="1"/>
        <v/>
      </c>
      <c r="B80" s="541"/>
      <c r="C80" s="549"/>
      <c r="D80" s="549"/>
      <c r="E80" s="549"/>
      <c r="F80" s="549"/>
      <c r="G80" s="549"/>
      <c r="H80" s="549"/>
      <c r="I80" s="549"/>
      <c r="J80" s="549"/>
      <c r="K80" s="549"/>
      <c r="L80" s="549"/>
    </row>
    <row r="81" spans="1:12" x14ac:dyDescent="0.35">
      <c r="A81" s="262" t="str">
        <f t="shared" si="1"/>
        <v/>
      </c>
      <c r="B81" s="541"/>
      <c r="C81" s="549"/>
      <c r="D81" s="549"/>
      <c r="E81" s="549"/>
      <c r="F81" s="549"/>
      <c r="G81" s="549"/>
      <c r="H81" s="549"/>
      <c r="I81" s="549"/>
      <c r="J81" s="549"/>
      <c r="K81" s="549"/>
      <c r="L81" s="549"/>
    </row>
    <row r="82" spans="1:12" x14ac:dyDescent="0.35">
      <c r="A82" s="262" t="str">
        <f t="shared" si="1"/>
        <v/>
      </c>
      <c r="B82" s="541"/>
      <c r="C82" s="549"/>
      <c r="D82" s="549"/>
      <c r="E82" s="549"/>
      <c r="F82" s="549"/>
      <c r="G82" s="549"/>
      <c r="H82" s="549"/>
      <c r="I82" s="549"/>
      <c r="J82" s="549"/>
      <c r="K82" s="549"/>
      <c r="L82" s="549"/>
    </row>
    <row r="83" spans="1:12" x14ac:dyDescent="0.35">
      <c r="A83" s="262" t="str">
        <f t="shared" si="1"/>
        <v/>
      </c>
      <c r="B83" s="541"/>
      <c r="C83" s="549"/>
      <c r="D83" s="549"/>
      <c r="E83" s="549"/>
      <c r="F83" s="549"/>
      <c r="G83" s="549"/>
      <c r="H83" s="549"/>
      <c r="I83" s="549"/>
      <c r="J83" s="549"/>
      <c r="K83" s="549"/>
      <c r="L83" s="549"/>
    </row>
    <row r="84" spans="1:12" x14ac:dyDescent="0.35">
      <c r="A84" s="262" t="str">
        <f t="shared" si="1"/>
        <v/>
      </c>
      <c r="B84" s="541"/>
      <c r="C84" s="549"/>
      <c r="D84" s="549"/>
      <c r="E84" s="549"/>
      <c r="F84" s="549"/>
      <c r="G84" s="549"/>
      <c r="H84" s="549"/>
      <c r="I84" s="549"/>
      <c r="J84" s="549"/>
      <c r="K84" s="549"/>
      <c r="L84" s="549"/>
    </row>
    <row r="85" spans="1:12" x14ac:dyDescent="0.35">
      <c r="A85" s="262" t="str">
        <f t="shared" si="1"/>
        <v/>
      </c>
      <c r="B85" s="555"/>
      <c r="C85" s="537"/>
      <c r="D85" s="537"/>
      <c r="E85" s="537"/>
      <c r="F85" s="537"/>
      <c r="G85" s="537"/>
      <c r="H85" s="537"/>
      <c r="I85" s="536"/>
      <c r="J85" s="536"/>
      <c r="K85" s="536"/>
      <c r="L85" s="536"/>
    </row>
    <row r="86" spans="1:12" x14ac:dyDescent="0.35">
      <c r="A86" s="262" t="str">
        <f t="shared" ref="A86:A149" si="2">IFERROR(LEFT(B86,IF(LEFT(B86,3)="800",FIND("(",B86,1)-2,FIND("-",B86,1)-2)),"")</f>
        <v/>
      </c>
      <c r="B86" s="556"/>
      <c r="C86" s="537"/>
      <c r="D86" s="537"/>
      <c r="E86" s="537"/>
      <c r="F86" s="537"/>
      <c r="G86" s="537"/>
      <c r="H86" s="537"/>
      <c r="I86" s="536"/>
      <c r="J86" s="536"/>
      <c r="K86" s="536"/>
      <c r="L86" s="536"/>
    </row>
    <row r="87" spans="1:12" x14ac:dyDescent="0.35">
      <c r="A87" s="262" t="str">
        <f t="shared" si="2"/>
        <v/>
      </c>
      <c r="B87" s="536"/>
      <c r="C87" s="547"/>
      <c r="D87" s="547"/>
      <c r="E87" s="547"/>
      <c r="F87" s="547"/>
      <c r="G87" s="547"/>
      <c r="H87" s="547"/>
      <c r="I87" s="547"/>
      <c r="J87" s="547"/>
      <c r="K87" s="547"/>
      <c r="L87" s="547"/>
    </row>
    <row r="88" spans="1:12" x14ac:dyDescent="0.35">
      <c r="A88" s="262" t="str">
        <f t="shared" si="2"/>
        <v/>
      </c>
      <c r="B88" s="536"/>
      <c r="C88" s="548"/>
      <c r="D88" s="548"/>
      <c r="E88" s="548"/>
      <c r="F88" s="548"/>
      <c r="G88" s="548"/>
      <c r="H88" s="548"/>
      <c r="I88" s="548"/>
      <c r="J88" s="548"/>
      <c r="K88" s="548"/>
      <c r="L88" s="548"/>
    </row>
    <row r="89" spans="1:12" x14ac:dyDescent="0.35">
      <c r="A89" s="262" t="str">
        <f t="shared" si="2"/>
        <v/>
      </c>
      <c r="B89" s="536"/>
      <c r="C89" s="548"/>
      <c r="D89" s="548"/>
      <c r="E89" s="548"/>
      <c r="F89" s="548"/>
      <c r="G89" s="548"/>
      <c r="H89" s="548"/>
      <c r="I89" s="548"/>
      <c r="J89" s="548"/>
      <c r="K89" s="548"/>
      <c r="L89" s="548"/>
    </row>
    <row r="90" spans="1:12" x14ac:dyDescent="0.35">
      <c r="A90" s="262" t="str">
        <f t="shared" si="2"/>
        <v/>
      </c>
      <c r="B90" s="541"/>
      <c r="C90" s="549"/>
      <c r="D90" s="549"/>
      <c r="E90" s="549"/>
      <c r="F90" s="549"/>
      <c r="G90" s="549"/>
      <c r="H90" s="549"/>
      <c r="I90" s="549"/>
      <c r="J90" s="549"/>
      <c r="K90" s="549"/>
      <c r="L90" s="549"/>
    </row>
    <row r="91" spans="1:12" x14ac:dyDescent="0.35">
      <c r="A91" s="262" t="str">
        <f t="shared" si="2"/>
        <v/>
      </c>
      <c r="B91" s="541"/>
      <c r="C91" s="549"/>
      <c r="D91" s="549"/>
      <c r="E91" s="549"/>
      <c r="F91" s="549"/>
      <c r="G91" s="549"/>
      <c r="H91" s="549"/>
      <c r="I91" s="549"/>
      <c r="J91" s="549"/>
      <c r="K91" s="549"/>
      <c r="L91" s="549"/>
    </row>
    <row r="92" spans="1:12" x14ac:dyDescent="0.35">
      <c r="A92" s="262" t="str">
        <f t="shared" si="2"/>
        <v/>
      </c>
      <c r="B92" s="541"/>
      <c r="C92" s="549"/>
      <c r="D92" s="549"/>
      <c r="E92" s="549"/>
      <c r="F92" s="549"/>
      <c r="G92" s="549"/>
      <c r="H92" s="549"/>
      <c r="I92" s="549"/>
      <c r="J92" s="549"/>
      <c r="K92" s="549"/>
      <c r="L92" s="549"/>
    </row>
    <row r="93" spans="1:12" x14ac:dyDescent="0.35">
      <c r="A93" s="262" t="str">
        <f t="shared" si="2"/>
        <v/>
      </c>
      <c r="B93" s="541"/>
      <c r="C93" s="549"/>
      <c r="D93" s="549"/>
      <c r="E93" s="549"/>
      <c r="F93" s="549"/>
      <c r="G93" s="549"/>
      <c r="H93" s="549"/>
      <c r="I93" s="549"/>
      <c r="J93" s="549"/>
      <c r="K93" s="549"/>
      <c r="L93" s="549"/>
    </row>
    <row r="94" spans="1:12" x14ac:dyDescent="0.35">
      <c r="A94" s="262" t="str">
        <f t="shared" si="2"/>
        <v/>
      </c>
      <c r="B94" s="541"/>
      <c r="C94" s="549"/>
      <c r="D94" s="549"/>
      <c r="E94" s="549"/>
      <c r="F94" s="549"/>
      <c r="G94" s="549"/>
      <c r="H94" s="549"/>
      <c r="I94" s="549"/>
      <c r="J94" s="549"/>
      <c r="K94" s="549"/>
      <c r="L94" s="549"/>
    </row>
    <row r="95" spans="1:12" x14ac:dyDescent="0.35">
      <c r="A95" s="262" t="str">
        <f t="shared" si="2"/>
        <v/>
      </c>
      <c r="B95" s="541"/>
      <c r="C95" s="549"/>
      <c r="D95" s="549"/>
      <c r="E95" s="549"/>
      <c r="F95" s="549"/>
      <c r="G95" s="549"/>
      <c r="H95" s="549"/>
      <c r="I95" s="549"/>
      <c r="J95" s="549"/>
      <c r="K95" s="549"/>
      <c r="L95" s="549"/>
    </row>
    <row r="96" spans="1:12" x14ac:dyDescent="0.35">
      <c r="A96" s="262" t="str">
        <f t="shared" si="2"/>
        <v/>
      </c>
      <c r="B96" s="541"/>
      <c r="C96" s="549"/>
      <c r="D96" s="549"/>
      <c r="E96" s="549"/>
      <c r="F96" s="549"/>
      <c r="G96" s="549"/>
      <c r="H96" s="549"/>
      <c r="I96" s="549"/>
      <c r="J96" s="549"/>
      <c r="K96" s="549"/>
      <c r="L96" s="549"/>
    </row>
    <row r="97" spans="1:12" x14ac:dyDescent="0.35">
      <c r="A97" s="262" t="str">
        <f t="shared" si="2"/>
        <v/>
      </c>
      <c r="B97" s="541"/>
      <c r="C97" s="549"/>
      <c r="D97" s="549"/>
      <c r="E97" s="549"/>
      <c r="F97" s="549"/>
      <c r="G97" s="549"/>
      <c r="H97" s="549"/>
      <c r="I97" s="549"/>
      <c r="J97" s="549"/>
      <c r="K97" s="549"/>
      <c r="L97" s="549"/>
    </row>
    <row r="98" spans="1:12" x14ac:dyDescent="0.35">
      <c r="A98" s="262" t="str">
        <f t="shared" si="2"/>
        <v/>
      </c>
      <c r="B98" s="541"/>
      <c r="C98" s="549"/>
      <c r="D98" s="549"/>
      <c r="E98" s="549"/>
      <c r="F98" s="549"/>
      <c r="G98" s="549"/>
      <c r="H98" s="549"/>
      <c r="I98" s="549"/>
      <c r="J98" s="549"/>
      <c r="K98" s="549"/>
      <c r="L98" s="549"/>
    </row>
    <row r="99" spans="1:12" x14ac:dyDescent="0.35">
      <c r="A99" s="262" t="str">
        <f t="shared" si="2"/>
        <v/>
      </c>
      <c r="B99" s="541"/>
      <c r="C99" s="549"/>
      <c r="D99" s="549"/>
      <c r="E99" s="549"/>
      <c r="F99" s="549"/>
      <c r="G99" s="549"/>
      <c r="H99" s="549"/>
      <c r="I99" s="549"/>
      <c r="J99" s="549"/>
      <c r="K99" s="549"/>
      <c r="L99" s="549"/>
    </row>
    <row r="100" spans="1:12" x14ac:dyDescent="0.35">
      <c r="A100" s="262" t="str">
        <f t="shared" si="2"/>
        <v/>
      </c>
      <c r="B100" s="541"/>
      <c r="C100" s="549"/>
      <c r="D100" s="549"/>
      <c r="E100" s="549"/>
      <c r="F100" s="549"/>
      <c r="G100" s="549"/>
      <c r="H100" s="549"/>
      <c r="I100" s="549"/>
      <c r="J100" s="549"/>
      <c r="K100" s="549"/>
      <c r="L100" s="549"/>
    </row>
    <row r="101" spans="1:12" x14ac:dyDescent="0.35">
      <c r="A101" s="262" t="str">
        <f t="shared" si="2"/>
        <v/>
      </c>
      <c r="B101" s="541"/>
      <c r="C101" s="549"/>
      <c r="D101" s="549"/>
      <c r="E101" s="549"/>
      <c r="F101" s="549"/>
      <c r="G101" s="549"/>
      <c r="H101" s="549"/>
      <c r="I101" s="549"/>
      <c r="J101" s="549"/>
      <c r="K101" s="549"/>
      <c r="L101" s="549"/>
    </row>
    <row r="102" spans="1:12" x14ac:dyDescent="0.35">
      <c r="A102" s="262" t="str">
        <f t="shared" si="2"/>
        <v/>
      </c>
      <c r="B102" s="550"/>
      <c r="C102" s="549"/>
      <c r="D102" s="536"/>
      <c r="E102" s="536"/>
      <c r="F102" s="536"/>
      <c r="G102" s="536"/>
      <c r="H102" s="536"/>
      <c r="I102" s="536"/>
      <c r="J102" s="536"/>
      <c r="K102" s="536"/>
      <c r="L102" s="536"/>
    </row>
    <row r="103" spans="1:12" x14ac:dyDescent="0.35">
      <c r="A103" s="262" t="str">
        <f t="shared" si="2"/>
        <v/>
      </c>
      <c r="B103" s="541"/>
      <c r="C103" s="537"/>
      <c r="D103" s="537"/>
      <c r="E103" s="537"/>
      <c r="F103" s="537"/>
      <c r="G103" s="537"/>
      <c r="H103" s="537"/>
      <c r="I103" s="536"/>
      <c r="J103" s="536"/>
      <c r="K103" s="536"/>
      <c r="L103" s="536"/>
    </row>
    <row r="104" spans="1:12" x14ac:dyDescent="0.35">
      <c r="A104" s="262" t="str">
        <f t="shared" si="2"/>
        <v/>
      </c>
      <c r="B104" s="556"/>
      <c r="C104" s="537"/>
      <c r="D104" s="537"/>
      <c r="E104" s="537"/>
      <c r="F104" s="537"/>
      <c r="G104" s="537"/>
      <c r="H104" s="537"/>
      <c r="I104" s="536"/>
      <c r="J104" s="536"/>
      <c r="K104" s="536"/>
      <c r="L104" s="536"/>
    </row>
    <row r="105" spans="1:12" x14ac:dyDescent="0.35">
      <c r="A105" s="262" t="str">
        <f t="shared" si="2"/>
        <v/>
      </c>
      <c r="B105" s="536"/>
      <c r="C105" s="547"/>
      <c r="D105" s="547"/>
      <c r="E105" s="547"/>
      <c r="F105" s="547"/>
      <c r="G105" s="547"/>
      <c r="H105" s="547"/>
      <c r="I105" s="547"/>
      <c r="J105" s="547"/>
      <c r="K105" s="547"/>
      <c r="L105" s="547"/>
    </row>
    <row r="106" spans="1:12" x14ac:dyDescent="0.35">
      <c r="A106" s="262" t="str">
        <f t="shared" si="2"/>
        <v/>
      </c>
      <c r="B106" s="536"/>
      <c r="C106" s="548"/>
      <c r="D106" s="548"/>
      <c r="E106" s="548"/>
      <c r="F106" s="548"/>
      <c r="G106" s="548"/>
      <c r="H106" s="548"/>
      <c r="I106" s="548"/>
      <c r="J106" s="548"/>
      <c r="K106" s="548"/>
      <c r="L106" s="548"/>
    </row>
    <row r="107" spans="1:12" x14ac:dyDescent="0.35">
      <c r="A107" s="262" t="str">
        <f t="shared" si="2"/>
        <v/>
      </c>
      <c r="B107" s="536"/>
      <c r="C107" s="548"/>
      <c r="D107" s="548"/>
      <c r="E107" s="548"/>
      <c r="F107" s="548"/>
      <c r="G107" s="548"/>
      <c r="H107" s="548"/>
      <c r="I107" s="548"/>
      <c r="J107" s="548"/>
      <c r="K107" s="548"/>
      <c r="L107" s="548"/>
    </row>
    <row r="108" spans="1:12" x14ac:dyDescent="0.35">
      <c r="A108" s="262" t="str">
        <f t="shared" si="2"/>
        <v/>
      </c>
      <c r="B108" s="536"/>
      <c r="C108" s="549"/>
      <c r="D108" s="549"/>
      <c r="E108" s="549"/>
      <c r="F108" s="549"/>
      <c r="G108" s="549"/>
      <c r="H108" s="549"/>
      <c r="I108" s="549"/>
      <c r="J108" s="549"/>
      <c r="K108" s="549"/>
      <c r="L108" s="549"/>
    </row>
    <row r="109" spans="1:12" x14ac:dyDescent="0.35">
      <c r="A109" s="262" t="str">
        <f t="shared" si="2"/>
        <v/>
      </c>
      <c r="B109" s="541"/>
      <c r="C109" s="549"/>
      <c r="D109" s="549"/>
      <c r="E109" s="549"/>
      <c r="F109" s="549"/>
      <c r="G109" s="549"/>
      <c r="H109" s="549"/>
      <c r="I109" s="549"/>
      <c r="J109" s="549"/>
      <c r="K109" s="549"/>
      <c r="L109" s="549"/>
    </row>
    <row r="110" spans="1:12" x14ac:dyDescent="0.35">
      <c r="A110" s="262" t="str">
        <f t="shared" si="2"/>
        <v/>
      </c>
      <c r="B110" s="541"/>
      <c r="C110" s="549"/>
      <c r="D110" s="549"/>
      <c r="E110" s="549"/>
      <c r="F110" s="549"/>
      <c r="G110" s="549"/>
      <c r="H110" s="549"/>
      <c r="I110" s="549"/>
      <c r="J110" s="549"/>
      <c r="K110" s="549"/>
      <c r="L110" s="549"/>
    </row>
    <row r="111" spans="1:12" x14ac:dyDescent="0.35">
      <c r="A111" s="262" t="str">
        <f t="shared" si="2"/>
        <v/>
      </c>
      <c r="B111" s="541"/>
      <c r="C111" s="549"/>
      <c r="D111" s="549"/>
      <c r="E111" s="549"/>
      <c r="F111" s="549"/>
      <c r="G111" s="549"/>
      <c r="H111" s="549"/>
      <c r="I111" s="549"/>
      <c r="J111" s="549"/>
      <c r="K111" s="549"/>
      <c r="L111" s="549"/>
    </row>
    <row r="112" spans="1:12" x14ac:dyDescent="0.35">
      <c r="A112" s="262" t="str">
        <f t="shared" si="2"/>
        <v/>
      </c>
      <c r="B112" s="541"/>
      <c r="C112" s="549"/>
      <c r="D112" s="549"/>
      <c r="E112" s="549"/>
      <c r="F112" s="549"/>
      <c r="G112" s="549"/>
      <c r="H112" s="549"/>
      <c r="I112" s="549"/>
      <c r="J112" s="549"/>
      <c r="K112" s="549"/>
      <c r="L112" s="549"/>
    </row>
    <row r="113" spans="1:12" x14ac:dyDescent="0.35">
      <c r="A113" s="262" t="str">
        <f t="shared" si="2"/>
        <v/>
      </c>
      <c r="B113" s="541"/>
      <c r="C113" s="549"/>
      <c r="D113" s="549"/>
      <c r="E113" s="549"/>
      <c r="F113" s="549"/>
      <c r="G113" s="549"/>
      <c r="H113" s="549"/>
      <c r="I113" s="536"/>
      <c r="J113" s="536"/>
      <c r="K113" s="536"/>
      <c r="L113" s="536"/>
    </row>
    <row r="114" spans="1:12" x14ac:dyDescent="0.35">
      <c r="A114" s="262" t="str">
        <f t="shared" si="2"/>
        <v/>
      </c>
      <c r="B114" s="550"/>
      <c r="C114" s="536"/>
      <c r="D114" s="536"/>
      <c r="E114" s="536"/>
      <c r="F114" s="536"/>
      <c r="G114" s="536"/>
      <c r="H114" s="536"/>
      <c r="I114" s="536"/>
      <c r="J114" s="536"/>
      <c r="K114" s="536"/>
      <c r="L114" s="536"/>
    </row>
    <row r="115" spans="1:12" x14ac:dyDescent="0.35">
      <c r="A115" s="262" t="str">
        <f t="shared" si="2"/>
        <v/>
      </c>
      <c r="B115" s="550"/>
      <c r="C115" s="536"/>
      <c r="D115" s="536"/>
      <c r="E115" s="536"/>
      <c r="F115" s="536"/>
      <c r="G115" s="536"/>
      <c r="H115" s="536"/>
      <c r="I115" s="536"/>
      <c r="J115" s="536"/>
      <c r="K115" s="536"/>
      <c r="L115" s="536"/>
    </row>
    <row r="116" spans="1:12" x14ac:dyDescent="0.35">
      <c r="A116" s="262" t="str">
        <f t="shared" si="2"/>
        <v/>
      </c>
      <c r="B116" s="536"/>
      <c r="C116" s="537"/>
      <c r="D116" s="537"/>
      <c r="E116" s="537"/>
      <c r="F116" s="537"/>
      <c r="G116" s="537"/>
      <c r="H116" s="537"/>
      <c r="I116" s="536"/>
      <c r="J116" s="536"/>
      <c r="K116" s="536"/>
      <c r="L116" s="536"/>
    </row>
    <row r="117" spans="1:12" x14ac:dyDescent="0.35">
      <c r="A117" s="262" t="str">
        <f t="shared" si="2"/>
        <v/>
      </c>
      <c r="B117" s="551"/>
      <c r="C117" s="537"/>
      <c r="D117" s="537"/>
      <c r="E117" s="537"/>
      <c r="F117" s="537"/>
      <c r="G117" s="537"/>
      <c r="H117" s="537"/>
      <c r="I117" s="536"/>
      <c r="J117" s="536"/>
      <c r="K117" s="536"/>
      <c r="L117" s="536"/>
    </row>
    <row r="118" spans="1:12" x14ac:dyDescent="0.35">
      <c r="A118" s="262" t="str">
        <f t="shared" si="2"/>
        <v/>
      </c>
      <c r="B118" s="536"/>
      <c r="C118" s="547"/>
      <c r="D118" s="547"/>
      <c r="E118" s="547"/>
      <c r="F118" s="547"/>
      <c r="G118" s="547"/>
      <c r="H118" s="547"/>
      <c r="I118" s="547"/>
      <c r="J118" s="547"/>
      <c r="K118" s="547"/>
      <c r="L118" s="547"/>
    </row>
    <row r="119" spans="1:12" x14ac:dyDescent="0.35">
      <c r="A119" s="262" t="str">
        <f t="shared" si="2"/>
        <v/>
      </c>
      <c r="B119" s="536"/>
      <c r="C119" s="548"/>
      <c r="D119" s="548"/>
      <c r="E119" s="548"/>
      <c r="F119" s="548"/>
      <c r="G119" s="548"/>
      <c r="H119" s="548"/>
      <c r="I119" s="548"/>
      <c r="J119" s="548"/>
      <c r="K119" s="548"/>
      <c r="L119" s="548"/>
    </row>
    <row r="120" spans="1:12" x14ac:dyDescent="0.35">
      <c r="A120" s="262" t="str">
        <f t="shared" si="2"/>
        <v/>
      </c>
      <c r="B120" s="536"/>
      <c r="C120" s="548"/>
      <c r="D120" s="548"/>
      <c r="E120" s="548"/>
      <c r="F120" s="548"/>
      <c r="G120" s="548"/>
      <c r="H120" s="548"/>
      <c r="I120" s="548"/>
      <c r="J120" s="548"/>
      <c r="K120" s="548"/>
      <c r="L120" s="548"/>
    </row>
    <row r="121" spans="1:12" x14ac:dyDescent="0.35">
      <c r="A121" s="262" t="str">
        <f t="shared" si="2"/>
        <v/>
      </c>
      <c r="B121" s="541"/>
      <c r="C121" s="549"/>
      <c r="D121" s="549"/>
      <c r="E121" s="549"/>
      <c r="F121" s="549"/>
      <c r="G121" s="549"/>
      <c r="H121" s="549"/>
      <c r="I121" s="549"/>
      <c r="J121" s="549"/>
      <c r="K121" s="549"/>
      <c r="L121" s="549"/>
    </row>
    <row r="122" spans="1:12" x14ac:dyDescent="0.35">
      <c r="A122" s="262" t="str">
        <f t="shared" si="2"/>
        <v/>
      </c>
      <c r="B122" s="536"/>
      <c r="C122" s="537"/>
      <c r="D122" s="537"/>
      <c r="E122" s="537"/>
      <c r="F122" s="537"/>
      <c r="G122" s="537"/>
      <c r="H122" s="537"/>
      <c r="I122" s="536"/>
      <c r="J122" s="536"/>
      <c r="K122" s="536"/>
      <c r="L122" s="536"/>
    </row>
    <row r="123" spans="1:12" x14ac:dyDescent="0.35">
      <c r="A123" s="262" t="str">
        <f t="shared" si="2"/>
        <v/>
      </c>
      <c r="B123" s="536"/>
      <c r="C123" s="548"/>
      <c r="D123" s="548"/>
      <c r="E123" s="548"/>
      <c r="F123" s="548"/>
      <c r="G123" s="548"/>
      <c r="H123" s="548"/>
      <c r="I123" s="536"/>
      <c r="J123" s="536"/>
      <c r="K123" s="536"/>
      <c r="L123" s="536"/>
    </row>
    <row r="124" spans="1:12" x14ac:dyDescent="0.35">
      <c r="A124" s="262" t="str">
        <f t="shared" si="2"/>
        <v/>
      </c>
      <c r="B124" s="536"/>
      <c r="C124" s="557"/>
      <c r="D124" s="557"/>
      <c r="E124" s="557"/>
      <c r="F124" s="557"/>
      <c r="G124" s="557"/>
      <c r="H124" s="557"/>
      <c r="I124" s="536"/>
      <c r="J124" s="536"/>
      <c r="K124" s="536"/>
      <c r="L124" s="536"/>
    </row>
    <row r="125" spans="1:12" x14ac:dyDescent="0.35">
      <c r="A125" s="262" t="str">
        <f t="shared" si="2"/>
        <v/>
      </c>
      <c r="B125" s="536"/>
      <c r="C125" s="548"/>
      <c r="D125" s="548"/>
      <c r="E125" s="548"/>
      <c r="F125" s="548"/>
      <c r="G125" s="548"/>
      <c r="H125" s="548"/>
      <c r="I125" s="536"/>
      <c r="J125" s="536"/>
      <c r="K125" s="536"/>
      <c r="L125" s="536"/>
    </row>
    <row r="126" spans="1:12" x14ac:dyDescent="0.35">
      <c r="A126" s="262" t="str">
        <f t="shared" si="2"/>
        <v/>
      </c>
      <c r="B126" s="536"/>
      <c r="C126" s="549"/>
      <c r="D126" s="549"/>
      <c r="E126" s="549"/>
      <c r="F126" s="549"/>
      <c r="G126" s="549"/>
      <c r="H126" s="549"/>
      <c r="I126" s="536"/>
      <c r="J126" s="536"/>
      <c r="K126" s="536"/>
      <c r="L126" s="536"/>
    </row>
    <row r="127" spans="1:12" x14ac:dyDescent="0.35">
      <c r="A127" s="262" t="str">
        <f t="shared" si="2"/>
        <v/>
      </c>
      <c r="B127" s="543"/>
      <c r="C127" s="549"/>
      <c r="D127" s="549"/>
      <c r="E127" s="549"/>
      <c r="F127" s="549"/>
      <c r="G127" s="549"/>
      <c r="H127" s="549"/>
      <c r="I127" s="536"/>
      <c r="J127" s="536"/>
      <c r="K127" s="536"/>
      <c r="L127" s="536"/>
    </row>
    <row r="128" spans="1:12" x14ac:dyDescent="0.35">
      <c r="A128" s="262" t="str">
        <f t="shared" si="2"/>
        <v/>
      </c>
      <c r="B128" s="536"/>
      <c r="C128" s="548"/>
      <c r="D128" s="548"/>
      <c r="E128" s="548"/>
      <c r="F128" s="548"/>
      <c r="G128" s="548"/>
      <c r="H128" s="548"/>
      <c r="I128" s="536"/>
      <c r="J128" s="536"/>
      <c r="K128" s="536"/>
      <c r="L128" s="536"/>
    </row>
    <row r="129" spans="1:12" x14ac:dyDescent="0.35">
      <c r="A129" s="262" t="str">
        <f t="shared" si="2"/>
        <v/>
      </c>
      <c r="B129" s="536"/>
      <c r="C129" s="557"/>
      <c r="D129" s="557"/>
      <c r="E129" s="557"/>
      <c r="F129" s="557"/>
      <c r="G129" s="557"/>
      <c r="H129" s="557"/>
      <c r="I129" s="536"/>
      <c r="J129" s="536"/>
      <c r="K129" s="536"/>
      <c r="L129" s="536"/>
    </row>
    <row r="130" spans="1:12" x14ac:dyDescent="0.35">
      <c r="A130" s="262" t="str">
        <f t="shared" si="2"/>
        <v/>
      </c>
      <c r="B130" s="536"/>
      <c r="C130" s="548"/>
      <c r="D130" s="548"/>
      <c r="E130" s="548"/>
      <c r="F130" s="548"/>
      <c r="G130" s="548"/>
      <c r="H130" s="548"/>
      <c r="I130" s="536"/>
      <c r="J130" s="536"/>
      <c r="K130" s="536"/>
      <c r="L130" s="536"/>
    </row>
    <row r="131" spans="1:12" x14ac:dyDescent="0.35">
      <c r="A131" s="262" t="str">
        <f t="shared" si="2"/>
        <v/>
      </c>
      <c r="B131" s="536"/>
      <c r="C131" s="549"/>
      <c r="D131" s="549"/>
      <c r="E131" s="549"/>
      <c r="F131" s="549"/>
      <c r="G131" s="549"/>
      <c r="H131" s="549"/>
      <c r="I131" s="536"/>
      <c r="J131" s="536"/>
      <c r="K131" s="536"/>
      <c r="L131" s="536"/>
    </row>
    <row r="132" spans="1:12" x14ac:dyDescent="0.35">
      <c r="A132" s="262" t="str">
        <f t="shared" si="2"/>
        <v/>
      </c>
      <c r="B132" s="543"/>
      <c r="C132" s="537"/>
      <c r="D132" s="537"/>
      <c r="E132" s="537"/>
      <c r="F132" s="537"/>
      <c r="G132" s="537"/>
      <c r="H132" s="537"/>
      <c r="I132" s="536"/>
      <c r="J132" s="536"/>
      <c r="K132" s="536"/>
      <c r="L132" s="536"/>
    </row>
    <row r="133" spans="1:12" x14ac:dyDescent="0.35">
      <c r="A133" s="262" t="str">
        <f t="shared" si="2"/>
        <v/>
      </c>
      <c r="B133" s="550"/>
      <c r="C133" s="537"/>
      <c r="D133" s="537"/>
      <c r="E133" s="537"/>
      <c r="F133" s="537"/>
      <c r="G133" s="537"/>
      <c r="H133" s="537"/>
      <c r="I133" s="536"/>
      <c r="J133" s="536"/>
      <c r="K133" s="536"/>
      <c r="L133" s="536"/>
    </row>
    <row r="134" spans="1:12" x14ac:dyDescent="0.35">
      <c r="A134" s="262" t="str">
        <f t="shared" si="2"/>
        <v/>
      </c>
      <c r="B134" s="550"/>
      <c r="C134" s="537"/>
      <c r="D134" s="537"/>
      <c r="E134" s="537"/>
      <c r="F134" s="537"/>
      <c r="G134" s="537"/>
      <c r="H134" s="537"/>
      <c r="I134" s="536"/>
      <c r="J134" s="536"/>
      <c r="K134" s="536"/>
      <c r="L134" s="536"/>
    </row>
    <row r="135" spans="1:12" x14ac:dyDescent="0.35">
      <c r="A135" s="262" t="str">
        <f t="shared" si="2"/>
        <v/>
      </c>
      <c r="B135" s="550"/>
      <c r="C135" s="536"/>
      <c r="D135" s="536"/>
      <c r="E135" s="536"/>
      <c r="F135" s="536"/>
      <c r="G135" s="536"/>
      <c r="H135" s="536"/>
      <c r="I135" s="536"/>
      <c r="J135" s="536"/>
      <c r="K135" s="536"/>
      <c r="L135" s="536"/>
    </row>
    <row r="136" spans="1:12" x14ac:dyDescent="0.35">
      <c r="A136" s="262" t="str">
        <f t="shared" si="2"/>
        <v/>
      </c>
      <c r="B136" s="550"/>
      <c r="C136" s="536"/>
      <c r="D136" s="536"/>
      <c r="E136" s="536"/>
      <c r="F136" s="536"/>
      <c r="G136" s="536"/>
      <c r="H136" s="536"/>
      <c r="I136" s="536"/>
      <c r="J136" s="536"/>
      <c r="K136" s="536"/>
      <c r="L136" s="536"/>
    </row>
    <row r="137" spans="1:12" x14ac:dyDescent="0.35">
      <c r="A137" s="262" t="str">
        <f t="shared" si="2"/>
        <v/>
      </c>
      <c r="B137" s="550"/>
      <c r="C137" s="536"/>
      <c r="D137" s="536"/>
      <c r="E137" s="536"/>
      <c r="F137" s="536"/>
      <c r="G137" s="536"/>
      <c r="H137" s="536"/>
      <c r="I137" s="536"/>
      <c r="J137" s="536"/>
      <c r="K137" s="536"/>
      <c r="L137" s="536"/>
    </row>
    <row r="138" spans="1:12" x14ac:dyDescent="0.35">
      <c r="A138" s="262" t="str">
        <f t="shared" si="2"/>
        <v/>
      </c>
      <c r="B138" s="550"/>
      <c r="C138" s="536"/>
      <c r="D138" s="536"/>
      <c r="E138" s="536"/>
      <c r="F138" s="536"/>
      <c r="G138" s="536"/>
      <c r="H138" s="536"/>
      <c r="I138" s="536"/>
      <c r="J138" s="536"/>
      <c r="K138" s="536"/>
      <c r="L138" s="536"/>
    </row>
    <row r="139" spans="1:12" x14ac:dyDescent="0.35">
      <c r="A139" s="262" t="str">
        <f t="shared" si="2"/>
        <v/>
      </c>
      <c r="B139" s="550"/>
      <c r="C139" s="536"/>
      <c r="D139" s="536"/>
      <c r="E139" s="536"/>
      <c r="F139" s="536"/>
      <c r="G139" s="536"/>
      <c r="H139" s="536"/>
      <c r="I139" s="536"/>
      <c r="J139" s="536"/>
      <c r="K139" s="536"/>
      <c r="L139" s="536"/>
    </row>
    <row r="140" spans="1:12" x14ac:dyDescent="0.35">
      <c r="A140" s="262" t="str">
        <f t="shared" si="2"/>
        <v/>
      </c>
      <c r="B140" s="558"/>
      <c r="C140" s="543"/>
      <c r="D140" s="543"/>
      <c r="E140" s="543"/>
      <c r="F140" s="543"/>
      <c r="G140" s="543"/>
      <c r="H140" s="543"/>
      <c r="I140" s="536"/>
      <c r="J140" s="536"/>
      <c r="K140" s="536"/>
      <c r="L140" s="536"/>
    </row>
    <row r="141" spans="1:12" x14ac:dyDescent="0.35">
      <c r="A141" s="262" t="str">
        <f t="shared" si="2"/>
        <v/>
      </c>
      <c r="B141" s="558"/>
      <c r="C141" s="543"/>
      <c r="D141" s="543"/>
      <c r="E141" s="543"/>
      <c r="F141" s="543"/>
      <c r="G141" s="543"/>
      <c r="H141" s="543"/>
      <c r="I141" s="536"/>
      <c r="J141" s="536"/>
      <c r="K141" s="536"/>
      <c r="L141" s="536"/>
    </row>
    <row r="142" spans="1:12" x14ac:dyDescent="0.35">
      <c r="A142" s="262" t="str">
        <f t="shared" si="2"/>
        <v/>
      </c>
      <c r="B142" s="559"/>
      <c r="C142" s="537"/>
      <c r="D142" s="537"/>
      <c r="E142" s="537"/>
      <c r="F142" s="537"/>
      <c r="G142" s="537"/>
      <c r="H142" s="537"/>
      <c r="I142" s="536"/>
      <c r="J142" s="536"/>
      <c r="K142" s="536"/>
      <c r="L142" s="536"/>
    </row>
    <row r="143" spans="1:12" x14ac:dyDescent="0.35">
      <c r="A143" s="262" t="str">
        <f t="shared" si="2"/>
        <v/>
      </c>
      <c r="B143" s="560"/>
      <c r="C143" s="537"/>
      <c r="D143" s="537"/>
      <c r="E143" s="537"/>
      <c r="F143" s="537"/>
      <c r="G143" s="537"/>
      <c r="H143" s="537"/>
      <c r="I143" s="536"/>
      <c r="J143" s="536"/>
      <c r="K143" s="536"/>
      <c r="L143" s="536"/>
    </row>
    <row r="144" spans="1:12" x14ac:dyDescent="0.35">
      <c r="A144" s="262" t="str">
        <f t="shared" si="2"/>
        <v/>
      </c>
      <c r="B144" s="538"/>
      <c r="C144" s="537"/>
      <c r="D144" s="537"/>
      <c r="E144" s="537"/>
      <c r="F144" s="537"/>
      <c r="G144" s="537"/>
      <c r="H144" s="537"/>
      <c r="I144" s="536"/>
      <c r="J144" s="536"/>
      <c r="K144" s="536"/>
      <c r="L144" s="536"/>
    </row>
    <row r="145" spans="1:12" x14ac:dyDescent="0.35">
      <c r="A145" s="262" t="str">
        <f t="shared" si="2"/>
        <v/>
      </c>
      <c r="B145" s="552"/>
      <c r="C145" s="537"/>
      <c r="D145" s="537"/>
      <c r="E145" s="537"/>
      <c r="F145" s="537"/>
      <c r="G145" s="537"/>
      <c r="H145" s="537"/>
      <c r="I145" s="536"/>
      <c r="J145" s="536"/>
      <c r="K145" s="536"/>
      <c r="L145" s="536"/>
    </row>
    <row r="146" spans="1:12" x14ac:dyDescent="0.35">
      <c r="A146" s="262" t="str">
        <f t="shared" si="2"/>
        <v/>
      </c>
      <c r="B146" s="538"/>
      <c r="C146" s="547"/>
      <c r="D146" s="547"/>
      <c r="E146" s="547"/>
      <c r="F146" s="547"/>
      <c r="G146" s="547"/>
      <c r="H146" s="547"/>
      <c r="I146" s="547"/>
      <c r="J146" s="547"/>
      <c r="K146" s="547"/>
      <c r="L146" s="547"/>
    </row>
    <row r="147" spans="1:12" x14ac:dyDescent="0.35">
      <c r="A147" s="262" t="str">
        <f t="shared" si="2"/>
        <v/>
      </c>
      <c r="B147" s="536"/>
      <c r="C147" s="548"/>
      <c r="D147" s="548"/>
      <c r="E147" s="548"/>
      <c r="F147" s="548"/>
      <c r="G147" s="548"/>
      <c r="H147" s="548"/>
      <c r="I147" s="548"/>
      <c r="J147" s="548"/>
      <c r="K147" s="548"/>
      <c r="L147" s="548"/>
    </row>
    <row r="148" spans="1:12" x14ac:dyDescent="0.35">
      <c r="A148" s="262" t="str">
        <f t="shared" si="2"/>
        <v/>
      </c>
      <c r="B148" s="536"/>
      <c r="C148" s="548"/>
      <c r="D148" s="548"/>
      <c r="E148" s="548"/>
      <c r="F148" s="548"/>
      <c r="G148" s="548"/>
      <c r="H148" s="548"/>
      <c r="I148" s="548"/>
      <c r="J148" s="548"/>
      <c r="K148" s="548"/>
      <c r="L148" s="548"/>
    </row>
    <row r="149" spans="1:12" x14ac:dyDescent="0.35">
      <c r="A149" s="262" t="str">
        <f t="shared" si="2"/>
        <v/>
      </c>
      <c r="B149" s="536"/>
      <c r="C149" s="549"/>
      <c r="D149" s="549"/>
      <c r="E149" s="549"/>
      <c r="F149" s="549"/>
      <c r="G149" s="549"/>
      <c r="H149" s="549"/>
      <c r="I149" s="549"/>
      <c r="J149" s="549"/>
      <c r="K149" s="549"/>
      <c r="L149" s="549"/>
    </row>
    <row r="150" spans="1:12" x14ac:dyDescent="0.35">
      <c r="A150" s="262" t="str">
        <f t="shared" ref="A150:A213" si="3">IFERROR(LEFT(B150,IF(LEFT(B150,3)="800",FIND("(",B150,1)-2,FIND("-",B150,1)-2)),"")</f>
        <v/>
      </c>
      <c r="B150" s="553"/>
      <c r="C150" s="549"/>
      <c r="D150" s="549"/>
      <c r="E150" s="549"/>
      <c r="F150" s="549"/>
      <c r="G150" s="549"/>
      <c r="H150" s="549"/>
      <c r="I150" s="549"/>
      <c r="J150" s="549"/>
      <c r="K150" s="549"/>
      <c r="L150" s="549"/>
    </row>
    <row r="151" spans="1:12" x14ac:dyDescent="0.35">
      <c r="A151" s="262" t="str">
        <f t="shared" si="3"/>
        <v/>
      </c>
      <c r="B151" s="536"/>
      <c r="C151" s="549"/>
      <c r="D151" s="549"/>
      <c r="E151" s="549"/>
      <c r="F151" s="549"/>
      <c r="G151" s="549"/>
      <c r="H151" s="549"/>
      <c r="I151" s="549"/>
      <c r="J151" s="549"/>
      <c r="K151" s="549"/>
      <c r="L151" s="549"/>
    </row>
    <row r="152" spans="1:12" x14ac:dyDescent="0.35">
      <c r="A152" s="262" t="str">
        <f t="shared" si="3"/>
        <v/>
      </c>
      <c r="B152" s="536"/>
      <c r="C152" s="549"/>
      <c r="D152" s="549"/>
      <c r="E152" s="549"/>
      <c r="F152" s="549"/>
      <c r="G152" s="549"/>
      <c r="H152" s="549"/>
      <c r="I152" s="549"/>
      <c r="J152" s="549"/>
      <c r="K152" s="549"/>
      <c r="L152" s="549"/>
    </row>
    <row r="153" spans="1:12" x14ac:dyDescent="0.35">
      <c r="A153" s="262" t="str">
        <f t="shared" si="3"/>
        <v/>
      </c>
      <c r="B153" s="536"/>
      <c r="C153" s="549"/>
      <c r="D153" s="549"/>
      <c r="E153" s="549"/>
      <c r="F153" s="549"/>
      <c r="G153" s="549"/>
      <c r="H153" s="549"/>
      <c r="I153" s="549"/>
      <c r="J153" s="549"/>
      <c r="K153" s="549"/>
      <c r="L153" s="549"/>
    </row>
    <row r="154" spans="1:12" x14ac:dyDescent="0.35">
      <c r="A154" s="262" t="str">
        <f t="shared" si="3"/>
        <v/>
      </c>
      <c r="B154" s="538"/>
      <c r="C154" s="537"/>
      <c r="D154" s="537"/>
      <c r="E154" s="537"/>
      <c r="F154" s="537"/>
      <c r="G154" s="537"/>
      <c r="H154" s="537"/>
      <c r="I154" s="536"/>
      <c r="J154" s="536"/>
      <c r="K154" s="536"/>
      <c r="L154" s="536"/>
    </row>
    <row r="155" spans="1:12" x14ac:dyDescent="0.35">
      <c r="A155" s="262" t="str">
        <f t="shared" si="3"/>
        <v/>
      </c>
      <c r="B155" s="552"/>
      <c r="C155" s="537"/>
      <c r="D155" s="537"/>
      <c r="E155" s="537"/>
      <c r="F155" s="537"/>
      <c r="G155" s="537"/>
      <c r="H155" s="537"/>
      <c r="I155" s="536"/>
      <c r="J155" s="536"/>
      <c r="K155" s="536"/>
      <c r="L155" s="536"/>
    </row>
    <row r="156" spans="1:12" x14ac:dyDescent="0.35">
      <c r="A156" s="262" t="str">
        <f t="shared" si="3"/>
        <v/>
      </c>
      <c r="B156" s="536"/>
      <c r="C156" s="547"/>
      <c r="D156" s="547"/>
      <c r="E156" s="547"/>
      <c r="F156" s="547"/>
      <c r="G156" s="547"/>
      <c r="H156" s="547"/>
      <c r="I156" s="547"/>
      <c r="J156" s="547"/>
      <c r="K156" s="547"/>
      <c r="L156" s="547"/>
    </row>
    <row r="157" spans="1:12" x14ac:dyDescent="0.35">
      <c r="A157" s="262" t="str">
        <f t="shared" si="3"/>
        <v/>
      </c>
      <c r="B157" s="536"/>
      <c r="C157" s="548"/>
      <c r="D157" s="548"/>
      <c r="E157" s="548"/>
      <c r="F157" s="548"/>
      <c r="G157" s="548"/>
      <c r="H157" s="548"/>
      <c r="I157" s="548"/>
      <c r="J157" s="548"/>
      <c r="K157" s="548"/>
      <c r="L157" s="548"/>
    </row>
    <row r="158" spans="1:12" x14ac:dyDescent="0.35">
      <c r="A158" s="262" t="str">
        <f t="shared" si="3"/>
        <v/>
      </c>
      <c r="B158" s="536"/>
      <c r="C158" s="548"/>
      <c r="D158" s="548"/>
      <c r="E158" s="548"/>
      <c r="F158" s="548"/>
      <c r="G158" s="548"/>
      <c r="H158" s="548"/>
      <c r="I158" s="548"/>
      <c r="J158" s="548"/>
      <c r="K158" s="548"/>
      <c r="L158" s="548"/>
    </row>
    <row r="159" spans="1:12" x14ac:dyDescent="0.35">
      <c r="A159" s="262" t="str">
        <f t="shared" si="3"/>
        <v/>
      </c>
      <c r="B159" s="541"/>
      <c r="C159" s="549"/>
      <c r="D159" s="549"/>
      <c r="E159" s="549"/>
      <c r="F159" s="549"/>
      <c r="G159" s="549"/>
      <c r="H159" s="549"/>
      <c r="I159" s="549"/>
      <c r="J159" s="549"/>
      <c r="K159" s="549"/>
      <c r="L159" s="549"/>
    </row>
    <row r="160" spans="1:12" x14ac:dyDescent="0.35">
      <c r="A160" s="262" t="str">
        <f t="shared" si="3"/>
        <v/>
      </c>
      <c r="B160" s="541"/>
      <c r="C160" s="549"/>
      <c r="D160" s="549"/>
      <c r="E160" s="549"/>
      <c r="F160" s="549"/>
      <c r="G160" s="549"/>
      <c r="H160" s="549"/>
      <c r="I160" s="549"/>
      <c r="J160" s="549"/>
      <c r="K160" s="549"/>
      <c r="L160" s="549"/>
    </row>
    <row r="161" spans="1:12" x14ac:dyDescent="0.35">
      <c r="A161" s="262" t="str">
        <f t="shared" si="3"/>
        <v/>
      </c>
      <c r="B161" s="541"/>
      <c r="C161" s="549"/>
      <c r="D161" s="549"/>
      <c r="E161" s="549"/>
      <c r="F161" s="549"/>
      <c r="G161" s="549"/>
      <c r="H161" s="549"/>
      <c r="I161" s="549"/>
      <c r="J161" s="549"/>
      <c r="K161" s="549"/>
      <c r="L161" s="549"/>
    </row>
    <row r="162" spans="1:12" x14ac:dyDescent="0.35">
      <c r="A162" s="262" t="str">
        <f t="shared" si="3"/>
        <v/>
      </c>
      <c r="B162" s="541"/>
      <c r="C162" s="549"/>
      <c r="D162" s="549"/>
      <c r="E162" s="549"/>
      <c r="F162" s="549"/>
      <c r="G162" s="549"/>
      <c r="H162" s="549"/>
      <c r="I162" s="549"/>
      <c r="J162" s="549"/>
      <c r="K162" s="549"/>
      <c r="L162" s="549"/>
    </row>
    <row r="163" spans="1:12" x14ac:dyDescent="0.35">
      <c r="A163" s="262" t="str">
        <f t="shared" si="3"/>
        <v/>
      </c>
      <c r="B163" s="541"/>
      <c r="C163" s="549"/>
      <c r="D163" s="549"/>
      <c r="E163" s="549"/>
      <c r="F163" s="549"/>
      <c r="G163" s="549"/>
      <c r="H163" s="549"/>
      <c r="I163" s="549"/>
      <c r="J163" s="549"/>
      <c r="K163" s="549"/>
      <c r="L163" s="549"/>
    </row>
    <row r="164" spans="1:12" x14ac:dyDescent="0.35">
      <c r="A164" s="262" t="str">
        <f t="shared" si="3"/>
        <v/>
      </c>
      <c r="B164" s="541"/>
      <c r="C164" s="549"/>
      <c r="D164" s="549"/>
      <c r="E164" s="549"/>
      <c r="F164" s="549"/>
      <c r="G164" s="549"/>
      <c r="H164" s="549"/>
      <c r="I164" s="549"/>
      <c r="J164" s="549"/>
      <c r="K164" s="549"/>
      <c r="L164" s="549"/>
    </row>
    <row r="165" spans="1:12" x14ac:dyDescent="0.35">
      <c r="A165" s="262" t="str">
        <f t="shared" si="3"/>
        <v/>
      </c>
      <c r="B165" s="541"/>
      <c r="C165" s="549"/>
      <c r="D165" s="549"/>
      <c r="E165" s="549"/>
      <c r="F165" s="549"/>
      <c r="G165" s="549"/>
      <c r="H165" s="549"/>
      <c r="I165" s="536"/>
      <c r="J165" s="536"/>
      <c r="K165" s="536"/>
      <c r="L165" s="536"/>
    </row>
    <row r="166" spans="1:12" x14ac:dyDescent="0.35">
      <c r="A166" s="262" t="str">
        <f t="shared" si="3"/>
        <v/>
      </c>
      <c r="B166" s="550"/>
      <c r="C166" s="536"/>
      <c r="D166" s="536"/>
      <c r="E166" s="536"/>
      <c r="F166" s="536"/>
      <c r="G166" s="536"/>
      <c r="H166" s="536"/>
      <c r="I166" s="536"/>
      <c r="J166" s="536"/>
      <c r="K166" s="536"/>
      <c r="L166" s="536"/>
    </row>
    <row r="167" spans="1:12" x14ac:dyDescent="0.35">
      <c r="A167" s="262" t="str">
        <f t="shared" si="3"/>
        <v/>
      </c>
      <c r="B167" s="550"/>
      <c r="C167" s="536"/>
      <c r="D167" s="536"/>
      <c r="E167" s="536"/>
      <c r="F167" s="536"/>
      <c r="G167" s="536"/>
      <c r="H167" s="536"/>
      <c r="I167" s="536"/>
      <c r="J167" s="536"/>
      <c r="K167" s="536"/>
      <c r="L167" s="536"/>
    </row>
    <row r="168" spans="1:12" x14ac:dyDescent="0.35">
      <c r="A168" s="262" t="str">
        <f t="shared" si="3"/>
        <v/>
      </c>
      <c r="B168" s="550"/>
      <c r="C168" s="536"/>
      <c r="D168" s="536"/>
      <c r="E168" s="536"/>
      <c r="F168" s="536"/>
      <c r="G168" s="536"/>
      <c r="H168" s="536"/>
      <c r="I168" s="536"/>
      <c r="J168" s="536"/>
      <c r="K168" s="536"/>
      <c r="L168" s="536"/>
    </row>
    <row r="169" spans="1:12" x14ac:dyDescent="0.35">
      <c r="A169" s="262" t="str">
        <f t="shared" si="3"/>
        <v/>
      </c>
      <c r="B169" s="536"/>
      <c r="C169" s="537"/>
      <c r="D169" s="537"/>
      <c r="E169" s="537"/>
      <c r="F169" s="537"/>
      <c r="G169" s="537"/>
      <c r="H169" s="537"/>
      <c r="I169" s="536"/>
      <c r="J169" s="536"/>
      <c r="K169" s="536"/>
      <c r="L169" s="536"/>
    </row>
    <row r="170" spans="1:12" x14ac:dyDescent="0.35">
      <c r="A170" s="262" t="str">
        <f t="shared" si="3"/>
        <v/>
      </c>
      <c r="B170" s="551"/>
      <c r="C170" s="537"/>
      <c r="D170" s="537"/>
      <c r="E170" s="537"/>
      <c r="F170" s="537"/>
      <c r="G170" s="537"/>
      <c r="H170" s="537"/>
      <c r="I170" s="536"/>
      <c r="J170" s="536"/>
      <c r="K170" s="536"/>
      <c r="L170" s="536"/>
    </row>
    <row r="171" spans="1:12" x14ac:dyDescent="0.35">
      <c r="A171" s="262" t="str">
        <f t="shared" si="3"/>
        <v/>
      </c>
      <c r="B171" s="536"/>
      <c r="C171" s="547"/>
      <c r="D171" s="547"/>
      <c r="E171" s="547"/>
      <c r="F171" s="547"/>
      <c r="G171" s="547"/>
      <c r="H171" s="547"/>
      <c r="I171" s="547"/>
      <c r="J171" s="547"/>
      <c r="K171" s="547"/>
      <c r="L171" s="547"/>
    </row>
    <row r="172" spans="1:12" x14ac:dyDescent="0.35">
      <c r="A172" s="262" t="str">
        <f t="shared" si="3"/>
        <v/>
      </c>
      <c r="B172" s="536"/>
      <c r="C172" s="548"/>
      <c r="D172" s="548"/>
      <c r="E172" s="548"/>
      <c r="F172" s="548"/>
      <c r="G172" s="548"/>
      <c r="H172" s="548"/>
      <c r="I172" s="548"/>
      <c r="J172" s="548"/>
      <c r="K172" s="548"/>
      <c r="L172" s="548"/>
    </row>
    <row r="173" spans="1:12" x14ac:dyDescent="0.35">
      <c r="A173" s="262" t="str">
        <f t="shared" si="3"/>
        <v/>
      </c>
      <c r="B173" s="536"/>
      <c r="C173" s="548"/>
      <c r="D173" s="548"/>
      <c r="E173" s="548"/>
      <c r="F173" s="548"/>
      <c r="G173" s="548"/>
      <c r="H173" s="548"/>
      <c r="I173" s="548"/>
      <c r="J173" s="548"/>
      <c r="K173" s="548"/>
      <c r="L173" s="548"/>
    </row>
    <row r="174" spans="1:12" x14ac:dyDescent="0.35">
      <c r="A174" s="262" t="str">
        <f t="shared" si="3"/>
        <v/>
      </c>
      <c r="B174" s="553"/>
      <c r="C174" s="549"/>
      <c r="D174" s="549"/>
      <c r="E174" s="549"/>
      <c r="F174" s="549"/>
      <c r="G174" s="549"/>
      <c r="H174" s="549"/>
      <c r="I174" s="549"/>
      <c r="J174" s="549"/>
      <c r="K174" s="549"/>
      <c r="L174" s="549"/>
    </row>
    <row r="175" spans="1:12" x14ac:dyDescent="0.35">
      <c r="A175" s="262" t="str">
        <f t="shared" si="3"/>
        <v/>
      </c>
      <c r="B175" s="553"/>
      <c r="C175" s="549"/>
      <c r="D175" s="549"/>
      <c r="E175" s="549"/>
      <c r="F175" s="549"/>
      <c r="G175" s="549"/>
      <c r="H175" s="549"/>
      <c r="I175" s="549"/>
      <c r="J175" s="549"/>
      <c r="K175" s="549"/>
      <c r="L175" s="549"/>
    </row>
    <row r="176" spans="1:12" x14ac:dyDescent="0.35">
      <c r="A176" s="262" t="str">
        <f t="shared" si="3"/>
        <v/>
      </c>
      <c r="B176" s="536"/>
      <c r="C176" s="549"/>
      <c r="D176" s="549"/>
      <c r="E176" s="549"/>
      <c r="F176" s="549"/>
      <c r="G176" s="549"/>
      <c r="H176" s="549"/>
      <c r="I176" s="549"/>
      <c r="J176" s="549"/>
      <c r="K176" s="549"/>
      <c r="L176" s="549"/>
    </row>
    <row r="177" spans="1:12" x14ac:dyDescent="0.35">
      <c r="A177" s="262" t="str">
        <f t="shared" si="3"/>
        <v/>
      </c>
      <c r="B177" s="536"/>
      <c r="C177" s="537"/>
      <c r="D177" s="537"/>
      <c r="E177" s="537"/>
      <c r="F177" s="537"/>
      <c r="G177" s="537"/>
      <c r="H177" s="537"/>
      <c r="I177" s="536"/>
      <c r="J177" s="536"/>
      <c r="K177" s="536"/>
      <c r="L177" s="536"/>
    </row>
    <row r="178" spans="1:12" x14ac:dyDescent="0.35">
      <c r="A178" s="262" t="str">
        <f t="shared" si="3"/>
        <v/>
      </c>
      <c r="B178" s="552"/>
      <c r="C178" s="537"/>
      <c r="D178" s="537"/>
      <c r="E178" s="537"/>
      <c r="F178" s="537"/>
      <c r="G178" s="537"/>
      <c r="H178" s="537"/>
      <c r="I178" s="536"/>
      <c r="J178" s="536"/>
      <c r="K178" s="536"/>
      <c r="L178" s="536"/>
    </row>
    <row r="179" spans="1:12" x14ac:dyDescent="0.35">
      <c r="A179" s="262" t="str">
        <f t="shared" si="3"/>
        <v/>
      </c>
      <c r="B179" s="536"/>
      <c r="C179" s="547"/>
      <c r="D179" s="547"/>
      <c r="E179" s="547"/>
      <c r="F179" s="547"/>
      <c r="G179" s="547"/>
      <c r="H179" s="547"/>
      <c r="I179" s="547"/>
      <c r="J179" s="547"/>
      <c r="K179" s="547"/>
      <c r="L179" s="547"/>
    </row>
    <row r="180" spans="1:12" x14ac:dyDescent="0.35">
      <c r="A180" s="262" t="str">
        <f t="shared" si="3"/>
        <v/>
      </c>
      <c r="B180" s="536"/>
      <c r="C180" s="548"/>
      <c r="D180" s="548"/>
      <c r="E180" s="548"/>
      <c r="F180" s="548"/>
      <c r="G180" s="548"/>
      <c r="H180" s="548"/>
      <c r="I180" s="548"/>
      <c r="J180" s="548"/>
      <c r="K180" s="548"/>
      <c r="L180" s="548"/>
    </row>
    <row r="181" spans="1:12" x14ac:dyDescent="0.35">
      <c r="A181" s="262" t="str">
        <f t="shared" si="3"/>
        <v/>
      </c>
      <c r="B181" s="536"/>
      <c r="C181" s="548"/>
      <c r="D181" s="548"/>
      <c r="E181" s="548"/>
      <c r="F181" s="548"/>
      <c r="G181" s="548"/>
      <c r="H181" s="548"/>
      <c r="I181" s="548"/>
      <c r="J181" s="548"/>
      <c r="K181" s="548"/>
      <c r="L181" s="548"/>
    </row>
    <row r="182" spans="1:12" x14ac:dyDescent="0.35">
      <c r="A182" s="262" t="str">
        <f t="shared" si="3"/>
        <v/>
      </c>
      <c r="B182" s="553"/>
      <c r="C182" s="549"/>
      <c r="D182" s="549"/>
      <c r="E182" s="549"/>
      <c r="F182" s="549"/>
      <c r="G182" s="549"/>
      <c r="H182" s="549"/>
      <c r="I182" s="549"/>
      <c r="J182" s="549"/>
      <c r="K182" s="549"/>
      <c r="L182" s="549"/>
    </row>
    <row r="183" spans="1:12" x14ac:dyDescent="0.35">
      <c r="A183" s="262" t="str">
        <f t="shared" si="3"/>
        <v/>
      </c>
      <c r="B183" s="536"/>
      <c r="C183" s="549"/>
      <c r="D183" s="549"/>
      <c r="E183" s="549"/>
      <c r="F183" s="549"/>
      <c r="G183" s="549"/>
      <c r="H183" s="549"/>
      <c r="I183" s="549"/>
      <c r="J183" s="549"/>
      <c r="K183" s="549"/>
      <c r="L183" s="549"/>
    </row>
    <row r="184" spans="1:12" x14ac:dyDescent="0.35">
      <c r="A184" s="262" t="str">
        <f t="shared" si="3"/>
        <v/>
      </c>
      <c r="B184" s="536"/>
      <c r="C184" s="549"/>
      <c r="D184" s="549"/>
      <c r="E184" s="549"/>
      <c r="F184" s="549"/>
      <c r="G184" s="549"/>
      <c r="H184" s="549"/>
      <c r="I184" s="536"/>
      <c r="J184" s="536"/>
      <c r="K184" s="536"/>
      <c r="L184" s="536"/>
    </row>
    <row r="185" spans="1:12" x14ac:dyDescent="0.35">
      <c r="A185" s="262" t="str">
        <f t="shared" si="3"/>
        <v/>
      </c>
      <c r="B185" s="550"/>
      <c r="C185" s="536"/>
      <c r="D185" s="536"/>
      <c r="E185" s="536"/>
      <c r="F185" s="536"/>
      <c r="G185" s="536"/>
      <c r="H185" s="536"/>
      <c r="I185" s="536"/>
      <c r="J185" s="536"/>
      <c r="K185" s="536"/>
      <c r="L185" s="536"/>
    </row>
    <row r="186" spans="1:12" x14ac:dyDescent="0.35">
      <c r="A186" s="262" t="str">
        <f t="shared" si="3"/>
        <v/>
      </c>
      <c r="B186" s="536"/>
      <c r="C186" s="537"/>
      <c r="D186" s="537"/>
      <c r="E186" s="537"/>
      <c r="F186" s="537"/>
      <c r="G186" s="537"/>
      <c r="H186" s="537"/>
      <c r="I186" s="536"/>
      <c r="J186" s="536"/>
      <c r="K186" s="536"/>
      <c r="L186" s="536"/>
    </row>
    <row r="187" spans="1:12" x14ac:dyDescent="0.35">
      <c r="A187" s="262" t="str">
        <f t="shared" si="3"/>
        <v/>
      </c>
      <c r="B187" s="552"/>
      <c r="C187" s="537"/>
      <c r="D187" s="537"/>
      <c r="E187" s="537"/>
      <c r="F187" s="537"/>
      <c r="G187" s="537"/>
      <c r="H187" s="537"/>
      <c r="I187" s="536"/>
      <c r="J187" s="536"/>
      <c r="K187" s="536"/>
      <c r="L187" s="536"/>
    </row>
    <row r="188" spans="1:12" x14ac:dyDescent="0.35">
      <c r="A188" s="262" t="str">
        <f t="shared" si="3"/>
        <v/>
      </c>
      <c r="B188" s="536"/>
      <c r="C188" s="547"/>
      <c r="D188" s="547"/>
      <c r="E188" s="547"/>
      <c r="F188" s="547"/>
      <c r="G188" s="547"/>
      <c r="H188" s="547"/>
      <c r="I188" s="547"/>
      <c r="J188" s="547"/>
      <c r="K188" s="547"/>
      <c r="L188" s="547"/>
    </row>
    <row r="189" spans="1:12" x14ac:dyDescent="0.35">
      <c r="A189" s="262" t="str">
        <f t="shared" si="3"/>
        <v/>
      </c>
      <c r="B189" s="536"/>
      <c r="C189" s="548"/>
      <c r="D189" s="548"/>
      <c r="E189" s="548"/>
      <c r="F189" s="548"/>
      <c r="G189" s="548"/>
      <c r="H189" s="548"/>
      <c r="I189" s="548"/>
      <c r="J189" s="548"/>
      <c r="K189" s="548"/>
      <c r="L189" s="548"/>
    </row>
    <row r="190" spans="1:12" x14ac:dyDescent="0.35">
      <c r="A190" s="262" t="str">
        <f t="shared" si="3"/>
        <v/>
      </c>
      <c r="B190" s="536"/>
      <c r="C190" s="548"/>
      <c r="D190" s="548"/>
      <c r="E190" s="548"/>
      <c r="F190" s="548"/>
      <c r="G190" s="548"/>
      <c r="H190" s="548"/>
      <c r="I190" s="548"/>
      <c r="J190" s="548"/>
      <c r="K190" s="548"/>
      <c r="L190" s="548"/>
    </row>
    <row r="191" spans="1:12" x14ac:dyDescent="0.35">
      <c r="A191" s="262" t="str">
        <f t="shared" si="3"/>
        <v/>
      </c>
      <c r="B191" s="536"/>
      <c r="C191" s="549"/>
      <c r="D191" s="549"/>
      <c r="E191" s="549"/>
      <c r="F191" s="549"/>
      <c r="G191" s="549"/>
      <c r="H191" s="549"/>
      <c r="I191" s="549"/>
      <c r="J191" s="549"/>
      <c r="K191" s="549"/>
      <c r="L191" s="549"/>
    </row>
    <row r="192" spans="1:12" x14ac:dyDescent="0.35">
      <c r="A192" s="262" t="str">
        <f t="shared" si="3"/>
        <v/>
      </c>
      <c r="B192" s="536"/>
      <c r="C192" s="549"/>
      <c r="D192" s="549"/>
      <c r="E192" s="549"/>
      <c r="F192" s="549"/>
      <c r="G192" s="549"/>
      <c r="H192" s="549"/>
      <c r="I192" s="549"/>
      <c r="J192" s="549"/>
      <c r="K192" s="549"/>
      <c r="L192" s="549"/>
    </row>
    <row r="193" spans="1:12" x14ac:dyDescent="0.35">
      <c r="A193" s="262" t="str">
        <f t="shared" si="3"/>
        <v/>
      </c>
      <c r="B193" s="536"/>
      <c r="C193" s="549"/>
      <c r="D193" s="549"/>
      <c r="E193" s="549"/>
      <c r="F193" s="549"/>
      <c r="G193" s="549"/>
      <c r="H193" s="549"/>
      <c r="I193" s="549"/>
      <c r="J193" s="549"/>
      <c r="K193" s="549"/>
      <c r="L193" s="549"/>
    </row>
    <row r="194" spans="1:12" x14ac:dyDescent="0.35">
      <c r="A194" s="262" t="str">
        <f t="shared" si="3"/>
        <v/>
      </c>
      <c r="B194" s="536"/>
      <c r="C194" s="549"/>
      <c r="D194" s="549"/>
      <c r="E194" s="549"/>
      <c r="F194" s="549"/>
      <c r="G194" s="549"/>
      <c r="H194" s="549"/>
      <c r="I194" s="549"/>
      <c r="J194" s="549"/>
      <c r="K194" s="549"/>
      <c r="L194" s="549"/>
    </row>
    <row r="195" spans="1:12" x14ac:dyDescent="0.35">
      <c r="A195" s="262" t="str">
        <f t="shared" si="3"/>
        <v/>
      </c>
      <c r="B195" s="536"/>
      <c r="C195" s="549"/>
      <c r="D195" s="549"/>
      <c r="E195" s="549"/>
      <c r="F195" s="549"/>
      <c r="G195" s="549"/>
      <c r="H195" s="549"/>
      <c r="I195" s="549"/>
      <c r="J195" s="549"/>
      <c r="K195" s="549"/>
      <c r="L195" s="549"/>
    </row>
    <row r="196" spans="1:12" x14ac:dyDescent="0.35">
      <c r="A196" s="262" t="str">
        <f t="shared" si="3"/>
        <v/>
      </c>
      <c r="B196" s="536"/>
      <c r="C196" s="549"/>
      <c r="D196" s="549"/>
      <c r="E196" s="549"/>
      <c r="F196" s="549"/>
      <c r="G196" s="549"/>
      <c r="H196" s="549"/>
      <c r="I196" s="549"/>
      <c r="J196" s="549"/>
      <c r="K196" s="549"/>
      <c r="L196" s="549"/>
    </row>
    <row r="197" spans="1:12" x14ac:dyDescent="0.35">
      <c r="A197" s="262" t="str">
        <f t="shared" si="3"/>
        <v/>
      </c>
      <c r="B197" s="536"/>
      <c r="C197" s="549"/>
      <c r="D197" s="549"/>
      <c r="E197" s="549"/>
      <c r="F197" s="549"/>
      <c r="G197" s="549"/>
      <c r="H197" s="549"/>
      <c r="I197" s="549"/>
      <c r="J197" s="549"/>
      <c r="K197" s="549"/>
      <c r="L197" s="549"/>
    </row>
    <row r="198" spans="1:12" x14ac:dyDescent="0.35">
      <c r="A198" s="262" t="str">
        <f t="shared" si="3"/>
        <v/>
      </c>
      <c r="B198" s="536"/>
      <c r="C198" s="549"/>
      <c r="D198" s="549"/>
      <c r="E198" s="549"/>
      <c r="F198" s="549"/>
      <c r="G198" s="549"/>
      <c r="H198" s="549"/>
      <c r="I198" s="549"/>
      <c r="J198" s="549"/>
      <c r="K198" s="549"/>
      <c r="L198" s="549"/>
    </row>
    <row r="199" spans="1:12" x14ac:dyDescent="0.35">
      <c r="A199" s="262" t="str">
        <f t="shared" si="3"/>
        <v/>
      </c>
      <c r="B199" s="536"/>
      <c r="C199" s="549"/>
      <c r="D199" s="549"/>
      <c r="E199" s="549"/>
      <c r="F199" s="549"/>
      <c r="G199" s="549"/>
      <c r="H199" s="549"/>
      <c r="I199" s="549"/>
      <c r="J199" s="549"/>
      <c r="K199" s="549"/>
      <c r="L199" s="549"/>
    </row>
    <row r="200" spans="1:12" x14ac:dyDescent="0.35">
      <c r="A200" s="262" t="str">
        <f t="shared" si="3"/>
        <v/>
      </c>
      <c r="B200" s="536"/>
      <c r="C200" s="549"/>
      <c r="D200" s="549"/>
      <c r="E200" s="549"/>
      <c r="F200" s="549"/>
      <c r="G200" s="549"/>
      <c r="H200" s="549"/>
      <c r="I200" s="549"/>
      <c r="J200" s="549"/>
      <c r="K200" s="549"/>
      <c r="L200" s="549"/>
    </row>
    <row r="201" spans="1:12" x14ac:dyDescent="0.35">
      <c r="A201" s="262" t="str">
        <f t="shared" si="3"/>
        <v/>
      </c>
      <c r="B201" s="536"/>
      <c r="C201" s="549"/>
      <c r="D201" s="549"/>
      <c r="E201" s="549"/>
      <c r="F201" s="549"/>
      <c r="G201" s="549"/>
      <c r="H201" s="549"/>
      <c r="I201" s="549"/>
      <c r="J201" s="549"/>
      <c r="K201" s="549"/>
      <c r="L201" s="549"/>
    </row>
    <row r="202" spans="1:12" x14ac:dyDescent="0.35">
      <c r="A202" s="262" t="str">
        <f t="shared" si="3"/>
        <v/>
      </c>
      <c r="B202" s="536"/>
      <c r="C202" s="549"/>
      <c r="D202" s="549"/>
      <c r="E202" s="549"/>
      <c r="F202" s="549"/>
      <c r="G202" s="549"/>
      <c r="H202" s="549"/>
      <c r="I202" s="549"/>
      <c r="J202" s="549"/>
      <c r="K202" s="549"/>
      <c r="L202" s="549"/>
    </row>
    <row r="203" spans="1:12" x14ac:dyDescent="0.35">
      <c r="A203" s="262" t="str">
        <f t="shared" si="3"/>
        <v/>
      </c>
      <c r="B203" s="536"/>
      <c r="C203" s="549"/>
      <c r="D203" s="549"/>
      <c r="E203" s="549"/>
      <c r="F203" s="549"/>
      <c r="G203" s="549"/>
      <c r="H203" s="549"/>
      <c r="I203" s="549"/>
      <c r="J203" s="549"/>
      <c r="K203" s="549"/>
      <c r="L203" s="549"/>
    </row>
    <row r="204" spans="1:12" x14ac:dyDescent="0.35">
      <c r="A204" s="262" t="str">
        <f t="shared" si="3"/>
        <v/>
      </c>
      <c r="B204" s="536"/>
      <c r="C204" s="549"/>
      <c r="D204" s="549"/>
      <c r="E204" s="549"/>
      <c r="F204" s="549"/>
      <c r="G204" s="549"/>
      <c r="H204" s="549"/>
      <c r="I204" s="549"/>
      <c r="J204" s="549"/>
      <c r="K204" s="549"/>
      <c r="L204" s="549"/>
    </row>
    <row r="205" spans="1:12" x14ac:dyDescent="0.35">
      <c r="A205" s="262" t="str">
        <f t="shared" si="3"/>
        <v/>
      </c>
      <c r="B205" s="536"/>
      <c r="C205" s="537"/>
      <c r="D205" s="537"/>
      <c r="E205" s="537"/>
      <c r="F205" s="537"/>
      <c r="G205" s="537"/>
      <c r="H205" s="537"/>
      <c r="I205" s="536"/>
      <c r="J205" s="536"/>
      <c r="K205" s="536"/>
      <c r="L205" s="536"/>
    </row>
    <row r="206" spans="1:12" x14ac:dyDescent="0.35">
      <c r="A206" s="262" t="str">
        <f t="shared" si="3"/>
        <v/>
      </c>
      <c r="B206" s="551"/>
      <c r="C206" s="537"/>
      <c r="D206" s="537"/>
      <c r="E206" s="537"/>
      <c r="F206" s="537"/>
      <c r="G206" s="537"/>
      <c r="H206" s="537"/>
      <c r="I206" s="536"/>
      <c r="J206" s="536"/>
      <c r="K206" s="536"/>
      <c r="L206" s="536"/>
    </row>
    <row r="207" spans="1:12" x14ac:dyDescent="0.35">
      <c r="A207" s="262" t="str">
        <f t="shared" si="3"/>
        <v/>
      </c>
      <c r="B207" s="536"/>
      <c r="C207" s="547"/>
      <c r="D207" s="547"/>
      <c r="E207" s="547"/>
      <c r="F207" s="547"/>
      <c r="G207" s="547"/>
      <c r="H207" s="547"/>
      <c r="I207" s="547"/>
      <c r="J207" s="547"/>
      <c r="K207" s="547"/>
      <c r="L207" s="547"/>
    </row>
    <row r="208" spans="1:12" x14ac:dyDescent="0.35">
      <c r="A208" s="262" t="str">
        <f t="shared" si="3"/>
        <v/>
      </c>
      <c r="B208" s="536"/>
      <c r="C208" s="548"/>
      <c r="D208" s="548"/>
      <c r="E208" s="548"/>
      <c r="F208" s="548"/>
      <c r="G208" s="548"/>
      <c r="H208" s="548"/>
      <c r="I208" s="548"/>
      <c r="J208" s="548"/>
      <c r="K208" s="548"/>
      <c r="L208" s="548"/>
    </row>
    <row r="209" spans="1:12" x14ac:dyDescent="0.35">
      <c r="A209" s="262" t="str">
        <f t="shared" si="3"/>
        <v/>
      </c>
      <c r="B209" s="536"/>
      <c r="C209" s="548"/>
      <c r="D209" s="548"/>
      <c r="E209" s="548"/>
      <c r="F209" s="548"/>
      <c r="G209" s="548"/>
      <c r="H209" s="548"/>
      <c r="I209" s="548"/>
      <c r="J209" s="548"/>
      <c r="K209" s="548"/>
      <c r="L209" s="548"/>
    </row>
    <row r="210" spans="1:12" x14ac:dyDescent="0.35">
      <c r="A210" s="262" t="str">
        <f t="shared" si="3"/>
        <v/>
      </c>
      <c r="B210" s="536"/>
      <c r="C210" s="549"/>
      <c r="D210" s="549"/>
      <c r="E210" s="549"/>
      <c r="F210" s="549"/>
      <c r="G210" s="549"/>
      <c r="H210" s="549"/>
      <c r="I210" s="549"/>
      <c r="J210" s="549"/>
      <c r="K210" s="549"/>
      <c r="L210" s="549"/>
    </row>
    <row r="211" spans="1:12" x14ac:dyDescent="0.35">
      <c r="A211" s="262" t="str">
        <f t="shared" si="3"/>
        <v/>
      </c>
      <c r="B211" s="536"/>
      <c r="C211" s="537"/>
      <c r="D211" s="537"/>
      <c r="E211" s="537"/>
      <c r="F211" s="537"/>
      <c r="G211" s="537"/>
      <c r="H211" s="537"/>
      <c r="I211" s="536"/>
      <c r="J211" s="536"/>
      <c r="K211" s="536"/>
      <c r="L211" s="536"/>
    </row>
    <row r="212" spans="1:12" x14ac:dyDescent="0.35">
      <c r="A212" s="262" t="str">
        <f t="shared" si="3"/>
        <v/>
      </c>
      <c r="B212" s="536"/>
      <c r="C212" s="549"/>
      <c r="D212" s="549"/>
      <c r="E212" s="549"/>
      <c r="F212" s="549"/>
      <c r="G212" s="537"/>
      <c r="H212" s="537"/>
      <c r="I212" s="536"/>
      <c r="J212" s="536"/>
      <c r="K212" s="536"/>
      <c r="L212" s="536"/>
    </row>
    <row r="213" spans="1:12" x14ac:dyDescent="0.35">
      <c r="A213" s="262" t="str">
        <f t="shared" si="3"/>
        <v/>
      </c>
      <c r="B213" s="536"/>
      <c r="C213" s="548"/>
      <c r="D213" s="548"/>
      <c r="E213" s="548"/>
      <c r="F213" s="548"/>
      <c r="G213" s="548"/>
      <c r="H213" s="548"/>
      <c r="I213" s="536"/>
      <c r="J213" s="536"/>
      <c r="K213" s="536"/>
      <c r="L213" s="536"/>
    </row>
    <row r="214" spans="1:12" x14ac:dyDescent="0.35">
      <c r="A214" s="262" t="str">
        <f t="shared" ref="A214:A277" si="4">IFERROR(LEFT(B214,IF(LEFT(B214,3)="800",FIND("(",B214,1)-2,FIND("-",B214,1)-2)),"")</f>
        <v/>
      </c>
      <c r="B214" s="536"/>
      <c r="C214" s="548"/>
      <c r="D214" s="548"/>
      <c r="E214" s="548"/>
      <c r="F214" s="548"/>
      <c r="G214" s="548"/>
      <c r="H214" s="548"/>
      <c r="I214" s="536"/>
      <c r="J214" s="536"/>
      <c r="K214" s="536"/>
      <c r="L214" s="536"/>
    </row>
    <row r="215" spans="1:12" x14ac:dyDescent="0.35">
      <c r="A215" s="262" t="str">
        <f t="shared" si="4"/>
        <v/>
      </c>
      <c r="B215" s="536"/>
      <c r="C215" s="548"/>
      <c r="D215" s="548"/>
      <c r="E215" s="548"/>
      <c r="F215" s="548"/>
      <c r="G215" s="548"/>
      <c r="H215" s="548"/>
      <c r="I215" s="536"/>
      <c r="J215" s="536"/>
      <c r="K215" s="536"/>
      <c r="L215" s="536"/>
    </row>
    <row r="216" spans="1:12" x14ac:dyDescent="0.35">
      <c r="A216" s="262" t="str">
        <f t="shared" si="4"/>
        <v/>
      </c>
      <c r="B216" s="536"/>
      <c r="C216" s="549"/>
      <c r="D216" s="549"/>
      <c r="E216" s="549"/>
      <c r="F216" s="549"/>
      <c r="G216" s="549"/>
      <c r="H216" s="549"/>
      <c r="I216" s="536"/>
      <c r="J216" s="536"/>
      <c r="K216" s="536"/>
      <c r="L216" s="536"/>
    </row>
    <row r="217" spans="1:12" x14ac:dyDescent="0.35">
      <c r="A217" s="262" t="str">
        <f t="shared" si="4"/>
        <v/>
      </c>
      <c r="B217" s="536"/>
      <c r="C217" s="537"/>
      <c r="D217" s="537"/>
      <c r="E217" s="537"/>
      <c r="F217" s="537"/>
      <c r="G217" s="537"/>
      <c r="H217" s="537"/>
      <c r="I217" s="536"/>
      <c r="J217" s="536"/>
      <c r="K217" s="536"/>
      <c r="L217" s="536"/>
    </row>
    <row r="218" spans="1:12" x14ac:dyDescent="0.35">
      <c r="A218" s="262" t="str">
        <f t="shared" si="4"/>
        <v/>
      </c>
      <c r="B218" s="536"/>
      <c r="C218" s="549"/>
      <c r="D218" s="549"/>
      <c r="E218" s="549"/>
      <c r="F218" s="549"/>
      <c r="G218" s="537"/>
      <c r="H218" s="537"/>
      <c r="I218" s="536"/>
      <c r="J218" s="536"/>
      <c r="K218" s="536"/>
      <c r="L218" s="536"/>
    </row>
    <row r="219" spans="1:12" x14ac:dyDescent="0.35">
      <c r="A219" s="262" t="str">
        <f t="shared" si="4"/>
        <v/>
      </c>
      <c r="B219" s="536"/>
      <c r="C219" s="548"/>
      <c r="D219" s="548"/>
      <c r="E219" s="548"/>
      <c r="F219" s="548"/>
      <c r="G219" s="548"/>
      <c r="H219" s="548"/>
      <c r="I219" s="536"/>
      <c r="J219" s="536"/>
      <c r="K219" s="536"/>
      <c r="L219" s="536"/>
    </row>
    <row r="220" spans="1:12" x14ac:dyDescent="0.35">
      <c r="A220" s="262" t="str">
        <f t="shared" si="4"/>
        <v/>
      </c>
      <c r="B220" s="536"/>
      <c r="C220" s="548"/>
      <c r="D220" s="548"/>
      <c r="E220" s="548"/>
      <c r="F220" s="548"/>
      <c r="G220" s="548"/>
      <c r="H220" s="548"/>
      <c r="I220" s="536"/>
      <c r="J220" s="536"/>
      <c r="K220" s="536"/>
      <c r="L220" s="536"/>
    </row>
    <row r="221" spans="1:12" x14ac:dyDescent="0.35">
      <c r="A221" s="262" t="str">
        <f t="shared" si="4"/>
        <v/>
      </c>
      <c r="B221" s="536"/>
      <c r="C221" s="548"/>
      <c r="D221" s="548"/>
      <c r="E221" s="548"/>
      <c r="F221" s="548"/>
      <c r="G221" s="548"/>
      <c r="H221" s="548"/>
      <c r="I221" s="536"/>
      <c r="J221" s="536"/>
      <c r="K221" s="536"/>
      <c r="L221" s="536"/>
    </row>
    <row r="222" spans="1:12" x14ac:dyDescent="0.35">
      <c r="A222" s="262" t="str">
        <f t="shared" si="4"/>
        <v/>
      </c>
      <c r="B222" s="536"/>
      <c r="C222" s="549"/>
      <c r="D222" s="549"/>
      <c r="E222" s="549"/>
      <c r="F222" s="549"/>
      <c r="G222" s="549"/>
      <c r="H222" s="549"/>
      <c r="I222" s="536"/>
      <c r="J222" s="536"/>
      <c r="K222" s="536"/>
      <c r="L222" s="536"/>
    </row>
    <row r="223" spans="1:12" x14ac:dyDescent="0.35">
      <c r="A223" s="262" t="str">
        <f t="shared" si="4"/>
        <v/>
      </c>
      <c r="B223" s="536"/>
      <c r="C223" s="549"/>
      <c r="D223" s="549"/>
      <c r="E223" s="549"/>
      <c r="F223" s="549"/>
      <c r="G223" s="549"/>
      <c r="H223" s="549"/>
      <c r="I223" s="536"/>
      <c r="J223" s="536"/>
      <c r="K223" s="536"/>
      <c r="L223" s="536"/>
    </row>
    <row r="224" spans="1:12" x14ac:dyDescent="0.35">
      <c r="A224" s="262" t="str">
        <f t="shared" si="4"/>
        <v/>
      </c>
      <c r="B224" s="550"/>
      <c r="C224" s="536"/>
      <c r="D224" s="536"/>
      <c r="E224" s="536"/>
      <c r="F224" s="536"/>
      <c r="G224" s="536"/>
      <c r="H224" s="536"/>
      <c r="I224" s="536"/>
      <c r="J224" s="536"/>
      <c r="K224" s="536"/>
      <c r="L224" s="536"/>
    </row>
    <row r="225" spans="1:12" x14ac:dyDescent="0.35">
      <c r="A225" s="262" t="str">
        <f t="shared" si="4"/>
        <v/>
      </c>
      <c r="B225" s="536"/>
      <c r="C225" s="537"/>
      <c r="D225" s="537"/>
      <c r="E225" s="537"/>
      <c r="F225" s="537"/>
      <c r="G225" s="537"/>
      <c r="H225" s="537"/>
      <c r="I225" s="536"/>
      <c r="J225" s="536"/>
      <c r="K225" s="536"/>
      <c r="L225" s="536"/>
    </row>
    <row r="226" spans="1:12" x14ac:dyDescent="0.35">
      <c r="A226" s="262" t="str">
        <f t="shared" si="4"/>
        <v/>
      </c>
      <c r="B226" s="552"/>
      <c r="C226" s="537"/>
      <c r="D226" s="537"/>
      <c r="E226" s="537"/>
      <c r="F226" s="537"/>
      <c r="G226" s="537"/>
      <c r="H226" s="537"/>
      <c r="I226" s="536"/>
      <c r="J226" s="536"/>
      <c r="K226" s="536"/>
      <c r="L226" s="536"/>
    </row>
    <row r="227" spans="1:12" x14ac:dyDescent="0.35">
      <c r="A227" s="262" t="str">
        <f t="shared" si="4"/>
        <v/>
      </c>
      <c r="B227" s="536"/>
      <c r="C227" s="547"/>
      <c r="D227" s="547"/>
      <c r="E227" s="547"/>
      <c r="F227" s="547"/>
      <c r="G227" s="547"/>
      <c r="H227" s="547"/>
      <c r="I227" s="547"/>
      <c r="J227" s="547"/>
      <c r="K227" s="547"/>
      <c r="L227" s="547"/>
    </row>
    <row r="228" spans="1:12" x14ac:dyDescent="0.35">
      <c r="A228" s="262" t="str">
        <f t="shared" si="4"/>
        <v/>
      </c>
      <c r="B228" s="536"/>
      <c r="C228" s="548"/>
      <c r="D228" s="548"/>
      <c r="E228" s="548"/>
      <c r="F228" s="548"/>
      <c r="G228" s="548"/>
      <c r="H228" s="548"/>
      <c r="I228" s="548"/>
      <c r="J228" s="548"/>
      <c r="K228" s="548"/>
      <c r="L228" s="548"/>
    </row>
    <row r="229" spans="1:12" x14ac:dyDescent="0.35">
      <c r="A229" s="262" t="str">
        <f t="shared" si="4"/>
        <v/>
      </c>
      <c r="B229" s="536"/>
      <c r="C229" s="548"/>
      <c r="D229" s="548"/>
      <c r="E229" s="548"/>
      <c r="F229" s="548"/>
      <c r="G229" s="548"/>
      <c r="H229" s="548"/>
      <c r="I229" s="548"/>
      <c r="J229" s="548"/>
      <c r="K229" s="548"/>
      <c r="L229" s="548"/>
    </row>
    <row r="230" spans="1:12" x14ac:dyDescent="0.35">
      <c r="A230" s="262" t="str">
        <f t="shared" si="4"/>
        <v/>
      </c>
      <c r="B230" s="536"/>
      <c r="C230" s="549"/>
      <c r="D230" s="549"/>
      <c r="E230" s="549"/>
      <c r="F230" s="549"/>
      <c r="G230" s="549"/>
      <c r="H230" s="549"/>
      <c r="I230" s="549"/>
      <c r="J230" s="549"/>
      <c r="K230" s="549"/>
      <c r="L230" s="549"/>
    </row>
    <row r="231" spans="1:12" x14ac:dyDescent="0.35">
      <c r="A231" s="262" t="str">
        <f t="shared" si="4"/>
        <v/>
      </c>
      <c r="B231" s="536"/>
      <c r="C231" s="549"/>
      <c r="D231" s="549"/>
      <c r="E231" s="549"/>
      <c r="F231" s="549"/>
      <c r="G231" s="549"/>
      <c r="H231" s="549"/>
      <c r="I231" s="549"/>
      <c r="J231" s="549"/>
      <c r="K231" s="549"/>
      <c r="L231" s="549"/>
    </row>
    <row r="232" spans="1:12" x14ac:dyDescent="0.35">
      <c r="A232" s="262" t="str">
        <f t="shared" si="4"/>
        <v/>
      </c>
      <c r="B232" s="536"/>
      <c r="C232" s="549"/>
      <c r="D232" s="549"/>
      <c r="E232" s="549"/>
      <c r="F232" s="549"/>
      <c r="G232" s="549"/>
      <c r="H232" s="549"/>
      <c r="I232" s="549"/>
      <c r="J232" s="549"/>
      <c r="K232" s="549"/>
      <c r="L232" s="549"/>
    </row>
    <row r="233" spans="1:12" x14ac:dyDescent="0.35">
      <c r="A233" s="262" t="str">
        <f t="shared" si="4"/>
        <v/>
      </c>
      <c r="B233" s="536"/>
      <c r="C233" s="537"/>
      <c r="D233" s="537"/>
      <c r="E233" s="537"/>
      <c r="F233" s="537"/>
      <c r="G233" s="537"/>
      <c r="H233" s="537"/>
      <c r="I233" s="536"/>
      <c r="J233" s="536"/>
      <c r="K233" s="536"/>
      <c r="L233" s="536"/>
    </row>
    <row r="234" spans="1:12" x14ac:dyDescent="0.35">
      <c r="A234" s="262" t="str">
        <f t="shared" si="4"/>
        <v/>
      </c>
      <c r="B234" s="539"/>
      <c r="C234" s="537"/>
      <c r="D234" s="537"/>
      <c r="E234" s="537"/>
      <c r="F234" s="537"/>
      <c r="G234" s="537"/>
      <c r="H234" s="537"/>
      <c r="I234" s="536"/>
      <c r="J234" s="536"/>
      <c r="K234" s="536"/>
      <c r="L234" s="536"/>
    </row>
    <row r="235" spans="1:12" x14ac:dyDescent="0.35">
      <c r="A235" s="262" t="str">
        <f t="shared" si="4"/>
        <v/>
      </c>
      <c r="B235" s="538"/>
      <c r="C235" s="537"/>
      <c r="D235" s="537"/>
      <c r="E235" s="537"/>
      <c r="F235" s="537"/>
      <c r="G235" s="537"/>
      <c r="H235" s="537"/>
      <c r="I235" s="536"/>
      <c r="J235" s="536"/>
      <c r="K235" s="536"/>
      <c r="L235" s="536"/>
    </row>
    <row r="236" spans="1:12" x14ac:dyDescent="0.35">
      <c r="A236" s="262" t="str">
        <f t="shared" si="4"/>
        <v/>
      </c>
      <c r="B236" s="551"/>
      <c r="C236" s="537"/>
      <c r="D236" s="537"/>
      <c r="E236" s="537"/>
      <c r="F236" s="537"/>
      <c r="G236" s="537"/>
      <c r="H236" s="537"/>
      <c r="I236" s="536"/>
      <c r="J236" s="536"/>
      <c r="K236" s="536"/>
      <c r="L236" s="536"/>
    </row>
    <row r="237" spans="1:12" x14ac:dyDescent="0.35">
      <c r="A237" s="262" t="str">
        <f t="shared" si="4"/>
        <v/>
      </c>
      <c r="B237" s="536"/>
      <c r="C237" s="547"/>
      <c r="D237" s="547"/>
      <c r="E237" s="547"/>
      <c r="F237" s="547"/>
      <c r="G237" s="547"/>
      <c r="H237" s="547"/>
      <c r="I237" s="547"/>
      <c r="J237" s="536"/>
      <c r="K237" s="536"/>
      <c r="L237" s="536"/>
    </row>
    <row r="238" spans="1:12" x14ac:dyDescent="0.35">
      <c r="A238" s="262" t="str">
        <f t="shared" si="4"/>
        <v/>
      </c>
      <c r="B238" s="536"/>
      <c r="C238" s="561"/>
      <c r="D238" s="561"/>
      <c r="E238" s="561"/>
      <c r="F238" s="561"/>
      <c r="G238" s="561"/>
      <c r="H238" s="561"/>
      <c r="I238" s="561"/>
      <c r="J238" s="536"/>
      <c r="K238" s="536"/>
      <c r="L238" s="536"/>
    </row>
    <row r="239" spans="1:12" x14ac:dyDescent="0.35">
      <c r="A239" s="262" t="str">
        <f t="shared" si="4"/>
        <v/>
      </c>
      <c r="B239" s="536"/>
      <c r="C239" s="549"/>
      <c r="D239" s="549"/>
      <c r="E239" s="549"/>
      <c r="F239" s="549"/>
      <c r="G239" s="549"/>
      <c r="H239" s="549"/>
      <c r="I239" s="549"/>
      <c r="J239" s="536"/>
      <c r="K239" s="536"/>
      <c r="L239" s="536"/>
    </row>
    <row r="240" spans="1:12" x14ac:dyDescent="0.35">
      <c r="A240" s="262" t="str">
        <f t="shared" si="4"/>
        <v/>
      </c>
      <c r="B240" s="536"/>
      <c r="C240" s="549"/>
      <c r="D240" s="549"/>
      <c r="E240" s="549"/>
      <c r="F240" s="549"/>
      <c r="G240" s="549"/>
      <c r="H240" s="549"/>
      <c r="I240" s="549"/>
      <c r="J240" s="536"/>
      <c r="K240" s="536"/>
      <c r="L240" s="536"/>
    </row>
    <row r="241" spans="1:12" x14ac:dyDescent="0.35">
      <c r="A241" s="262" t="str">
        <f t="shared" si="4"/>
        <v/>
      </c>
      <c r="B241" s="536"/>
      <c r="C241" s="549"/>
      <c r="D241" s="549"/>
      <c r="E241" s="549"/>
      <c r="F241" s="549"/>
      <c r="G241" s="549"/>
      <c r="H241" s="549"/>
      <c r="I241" s="536"/>
      <c r="J241" s="536"/>
      <c r="K241" s="536"/>
      <c r="L241" s="536"/>
    </row>
    <row r="242" spans="1:12" x14ac:dyDescent="0.35">
      <c r="A242" s="262" t="str">
        <f t="shared" si="4"/>
        <v/>
      </c>
      <c r="B242" s="550"/>
      <c r="C242" s="536"/>
      <c r="D242" s="536"/>
      <c r="E242" s="536"/>
      <c r="F242" s="536"/>
      <c r="G242" s="536"/>
      <c r="H242" s="536"/>
      <c r="I242" s="536"/>
      <c r="J242" s="536"/>
      <c r="K242" s="536"/>
      <c r="L242" s="536"/>
    </row>
    <row r="243" spans="1:12" x14ac:dyDescent="0.35">
      <c r="A243" s="262" t="str">
        <f t="shared" si="4"/>
        <v/>
      </c>
      <c r="B243" s="550"/>
      <c r="C243" s="536"/>
      <c r="D243" s="536"/>
      <c r="E243" s="536"/>
      <c r="F243" s="536"/>
      <c r="G243" s="536"/>
      <c r="H243" s="536"/>
      <c r="I243" s="536"/>
      <c r="J243" s="536"/>
      <c r="K243" s="536"/>
      <c r="L243" s="536"/>
    </row>
    <row r="244" spans="1:12" x14ac:dyDescent="0.35">
      <c r="A244" s="262" t="str">
        <f t="shared" si="4"/>
        <v/>
      </c>
      <c r="B244" s="536"/>
      <c r="C244" s="537"/>
      <c r="D244" s="537"/>
      <c r="E244" s="537"/>
      <c r="F244" s="537"/>
      <c r="G244" s="537"/>
      <c r="H244" s="537"/>
      <c r="I244" s="536"/>
      <c r="J244" s="536"/>
      <c r="K244" s="536"/>
      <c r="L244" s="536"/>
    </row>
    <row r="245" spans="1:12" x14ac:dyDescent="0.35">
      <c r="A245" s="262" t="str">
        <f t="shared" si="4"/>
        <v/>
      </c>
      <c r="B245" s="551"/>
      <c r="C245" s="537"/>
      <c r="D245" s="537"/>
      <c r="E245" s="537"/>
      <c r="F245" s="537"/>
      <c r="G245" s="537"/>
      <c r="H245" s="537"/>
      <c r="I245" s="536"/>
      <c r="J245" s="536"/>
      <c r="K245" s="536"/>
      <c r="L245" s="536"/>
    </row>
    <row r="246" spans="1:12" x14ac:dyDescent="0.35">
      <c r="A246" s="262" t="str">
        <f t="shared" si="4"/>
        <v/>
      </c>
      <c r="B246" s="538"/>
      <c r="C246" s="547"/>
      <c r="D246" s="547"/>
      <c r="E246" s="547"/>
      <c r="F246" s="547"/>
      <c r="G246" s="547"/>
      <c r="H246" s="547"/>
      <c r="I246" s="547"/>
      <c r="J246" s="547"/>
      <c r="K246" s="547"/>
      <c r="L246" s="547"/>
    </row>
    <row r="247" spans="1:12" x14ac:dyDescent="0.35">
      <c r="A247" s="262" t="str">
        <f t="shared" si="4"/>
        <v/>
      </c>
      <c r="B247" s="536"/>
      <c r="C247" s="548"/>
      <c r="D247" s="548"/>
      <c r="E247" s="548"/>
      <c r="F247" s="548"/>
      <c r="G247" s="548"/>
      <c r="H247" s="548"/>
      <c r="I247" s="548"/>
      <c r="J247" s="548"/>
      <c r="K247" s="548"/>
      <c r="L247" s="548"/>
    </row>
    <row r="248" spans="1:12" x14ac:dyDescent="0.35">
      <c r="A248" s="262" t="str">
        <f t="shared" si="4"/>
        <v/>
      </c>
      <c r="B248" s="536"/>
      <c r="C248" s="548"/>
      <c r="D248" s="548"/>
      <c r="E248" s="548"/>
      <c r="F248" s="548"/>
      <c r="G248" s="548"/>
      <c r="H248" s="548"/>
      <c r="I248" s="548"/>
      <c r="J248" s="548"/>
      <c r="K248" s="548"/>
      <c r="L248" s="548"/>
    </row>
    <row r="249" spans="1:12" x14ac:dyDescent="0.35">
      <c r="A249" s="262" t="str">
        <f t="shared" si="4"/>
        <v/>
      </c>
      <c r="B249" s="536"/>
      <c r="C249" s="549"/>
      <c r="D249" s="549"/>
      <c r="E249" s="549"/>
      <c r="F249" s="549"/>
      <c r="G249" s="549"/>
      <c r="H249" s="549"/>
      <c r="I249" s="549"/>
      <c r="J249" s="549"/>
      <c r="K249" s="549"/>
      <c r="L249" s="549"/>
    </row>
    <row r="250" spans="1:12" x14ac:dyDescent="0.35">
      <c r="A250" s="262" t="str">
        <f t="shared" si="4"/>
        <v/>
      </c>
      <c r="B250" s="536"/>
      <c r="C250" s="549"/>
      <c r="D250" s="549"/>
      <c r="E250" s="549"/>
      <c r="F250" s="549"/>
      <c r="G250" s="549"/>
      <c r="H250" s="549"/>
      <c r="I250" s="549"/>
      <c r="J250" s="549"/>
      <c r="K250" s="549"/>
      <c r="L250" s="549"/>
    </row>
    <row r="251" spans="1:12" x14ac:dyDescent="0.35">
      <c r="A251" s="262" t="str">
        <f t="shared" si="4"/>
        <v/>
      </c>
      <c r="B251" s="536"/>
      <c r="C251" s="549"/>
      <c r="D251" s="549"/>
      <c r="E251" s="549"/>
      <c r="F251" s="549"/>
      <c r="G251" s="549"/>
      <c r="H251" s="549"/>
      <c r="I251" s="536"/>
      <c r="J251" s="536"/>
      <c r="K251" s="536"/>
      <c r="L251" s="536"/>
    </row>
    <row r="252" spans="1:12" x14ac:dyDescent="0.35">
      <c r="A252" s="262" t="str">
        <f t="shared" si="4"/>
        <v/>
      </c>
      <c r="B252" s="550"/>
      <c r="C252" s="536"/>
      <c r="D252" s="536"/>
      <c r="E252" s="536"/>
      <c r="F252" s="536"/>
      <c r="G252" s="536"/>
      <c r="H252" s="536"/>
      <c r="I252" s="536"/>
      <c r="J252" s="536"/>
      <c r="K252" s="536"/>
      <c r="L252" s="536"/>
    </row>
    <row r="253" spans="1:12" x14ac:dyDescent="0.35">
      <c r="A253" s="262" t="str">
        <f t="shared" si="4"/>
        <v/>
      </c>
      <c r="B253" s="536"/>
      <c r="C253" s="537"/>
      <c r="D253" s="537"/>
      <c r="E253" s="537"/>
      <c r="F253" s="537"/>
      <c r="G253" s="537"/>
      <c r="H253" s="537"/>
      <c r="I253" s="536"/>
      <c r="J253" s="536"/>
      <c r="K253" s="536"/>
      <c r="L253" s="536"/>
    </row>
    <row r="254" spans="1:12" x14ac:dyDescent="0.35">
      <c r="A254" s="262" t="str">
        <f t="shared" si="4"/>
        <v/>
      </c>
      <c r="B254" s="551"/>
      <c r="C254" s="537"/>
      <c r="D254" s="537"/>
      <c r="E254" s="537"/>
      <c r="F254" s="537"/>
      <c r="G254" s="537"/>
      <c r="H254" s="537"/>
      <c r="I254" s="536"/>
      <c r="J254" s="536"/>
      <c r="K254" s="536"/>
      <c r="L254" s="536"/>
    </row>
    <row r="255" spans="1:12" x14ac:dyDescent="0.35">
      <c r="A255" s="262" t="str">
        <f t="shared" si="4"/>
        <v/>
      </c>
      <c r="B255" s="536"/>
      <c r="C255" s="547"/>
      <c r="D255" s="547"/>
      <c r="E255" s="547"/>
      <c r="F255" s="547"/>
      <c r="G255" s="547"/>
      <c r="H255" s="547"/>
      <c r="I255" s="547"/>
      <c r="J255" s="536"/>
      <c r="K255" s="536"/>
      <c r="L255" s="536"/>
    </row>
    <row r="256" spans="1:12" x14ac:dyDescent="0.35">
      <c r="A256" s="262" t="str">
        <f t="shared" si="4"/>
        <v/>
      </c>
      <c r="B256" s="536"/>
      <c r="C256" s="561"/>
      <c r="D256" s="561"/>
      <c r="E256" s="561"/>
      <c r="F256" s="561"/>
      <c r="G256" s="561"/>
      <c r="H256" s="561"/>
      <c r="I256" s="561"/>
      <c r="J256" s="536"/>
      <c r="K256" s="536"/>
      <c r="L256" s="536"/>
    </row>
    <row r="257" spans="1:12" x14ac:dyDescent="0.35">
      <c r="A257" s="262" t="str">
        <f t="shared" si="4"/>
        <v/>
      </c>
      <c r="B257" s="536"/>
      <c r="C257" s="549"/>
      <c r="D257" s="549"/>
      <c r="E257" s="549"/>
      <c r="F257" s="549"/>
      <c r="G257" s="549"/>
      <c r="H257" s="549"/>
      <c r="I257" s="549"/>
      <c r="J257" s="536"/>
      <c r="K257" s="536"/>
      <c r="L257" s="536"/>
    </row>
    <row r="258" spans="1:12" x14ac:dyDescent="0.35">
      <c r="A258" s="262" t="str">
        <f t="shared" si="4"/>
        <v/>
      </c>
      <c r="B258" s="536"/>
      <c r="C258" s="549"/>
      <c r="D258" s="549"/>
      <c r="E258" s="549"/>
      <c r="F258" s="549"/>
      <c r="G258" s="549"/>
      <c r="H258" s="549"/>
      <c r="I258" s="536"/>
      <c r="J258" s="536"/>
      <c r="K258" s="536"/>
      <c r="L258" s="536"/>
    </row>
    <row r="259" spans="1:12" x14ac:dyDescent="0.35">
      <c r="A259" s="262" t="str">
        <f t="shared" si="4"/>
        <v/>
      </c>
      <c r="B259" s="536"/>
      <c r="C259" s="547"/>
      <c r="D259" s="547"/>
      <c r="E259" s="547"/>
      <c r="F259" s="547"/>
      <c r="G259" s="547"/>
      <c r="H259" s="547"/>
      <c r="I259" s="536"/>
      <c r="J259" s="536"/>
      <c r="K259" s="536"/>
      <c r="L259" s="536"/>
    </row>
    <row r="260" spans="1:12" x14ac:dyDescent="0.35">
      <c r="A260" s="262" t="str">
        <f t="shared" si="4"/>
        <v/>
      </c>
      <c r="B260" s="536"/>
      <c r="C260" s="547"/>
      <c r="D260" s="547"/>
      <c r="E260" s="547"/>
      <c r="F260" s="547"/>
      <c r="G260" s="547"/>
      <c r="H260" s="547"/>
      <c r="I260" s="536"/>
      <c r="J260" s="536"/>
      <c r="K260" s="536"/>
      <c r="L260" s="536"/>
    </row>
    <row r="261" spans="1:12" x14ac:dyDescent="0.35">
      <c r="A261" s="262" t="str">
        <f t="shared" si="4"/>
        <v/>
      </c>
      <c r="B261" s="536"/>
      <c r="C261" s="549"/>
      <c r="D261" s="549"/>
      <c r="E261" s="549"/>
      <c r="F261" s="549"/>
      <c r="G261" s="549"/>
      <c r="H261" s="549"/>
      <c r="I261" s="536"/>
      <c r="J261" s="536"/>
      <c r="K261" s="536"/>
      <c r="L261" s="536"/>
    </row>
    <row r="262" spans="1:12" x14ac:dyDescent="0.35">
      <c r="A262" s="262" t="str">
        <f t="shared" si="4"/>
        <v/>
      </c>
      <c r="B262" s="536"/>
      <c r="C262" s="549"/>
      <c r="D262" s="549"/>
      <c r="E262" s="549"/>
      <c r="F262" s="549"/>
      <c r="G262" s="549"/>
      <c r="H262" s="549"/>
      <c r="I262" s="536"/>
      <c r="J262" s="536"/>
      <c r="K262" s="536"/>
      <c r="L262" s="536"/>
    </row>
    <row r="263" spans="1:12" x14ac:dyDescent="0.35">
      <c r="A263" s="262" t="str">
        <f t="shared" si="4"/>
        <v/>
      </c>
      <c r="B263" s="550"/>
      <c r="C263" s="536"/>
      <c r="D263" s="536"/>
      <c r="E263" s="536"/>
      <c r="F263" s="536"/>
      <c r="G263" s="536"/>
      <c r="H263" s="536"/>
      <c r="I263" s="536"/>
      <c r="J263" s="536"/>
      <c r="K263" s="536"/>
      <c r="L263" s="536"/>
    </row>
    <row r="264" spans="1:12" x14ac:dyDescent="0.35">
      <c r="A264" s="262" t="str">
        <f t="shared" si="4"/>
        <v/>
      </c>
      <c r="B264" s="536"/>
      <c r="C264" s="537"/>
      <c r="D264" s="537"/>
      <c r="E264" s="537"/>
      <c r="F264" s="537"/>
      <c r="G264" s="537"/>
      <c r="H264" s="537"/>
      <c r="I264" s="536"/>
      <c r="J264" s="536"/>
      <c r="K264" s="536"/>
      <c r="L264" s="536"/>
    </row>
    <row r="265" spans="1:12" x14ac:dyDescent="0.35">
      <c r="A265" s="262" t="str">
        <f t="shared" si="4"/>
        <v/>
      </c>
      <c r="B265" s="551"/>
      <c r="C265" s="537"/>
      <c r="D265" s="537"/>
      <c r="E265" s="537"/>
      <c r="F265" s="537"/>
      <c r="G265" s="537"/>
      <c r="H265" s="537"/>
      <c r="I265" s="536"/>
      <c r="J265" s="536"/>
      <c r="K265" s="536"/>
      <c r="L265" s="536"/>
    </row>
    <row r="266" spans="1:12" ht="15" customHeight="1" x14ac:dyDescent="0.35">
      <c r="A266" s="262" t="str">
        <f t="shared" si="4"/>
        <v/>
      </c>
      <c r="B266" s="536"/>
      <c r="C266" s="547"/>
      <c r="D266" s="547"/>
      <c r="E266" s="547"/>
      <c r="F266" s="547"/>
      <c r="G266" s="547"/>
      <c r="H266" s="547"/>
      <c r="I266" s="536"/>
      <c r="J266" s="536"/>
      <c r="K266" s="536"/>
      <c r="L266" s="536"/>
    </row>
    <row r="267" spans="1:12" x14ac:dyDescent="0.35">
      <c r="A267" s="262" t="str">
        <f t="shared" si="4"/>
        <v/>
      </c>
      <c r="B267" s="536"/>
      <c r="C267" s="561"/>
      <c r="D267" s="561"/>
      <c r="E267" s="561"/>
      <c r="F267" s="561"/>
      <c r="G267" s="561"/>
      <c r="H267" s="561"/>
      <c r="I267" s="536"/>
      <c r="J267" s="536"/>
      <c r="K267" s="536"/>
      <c r="L267" s="536"/>
    </row>
    <row r="268" spans="1:12" x14ac:dyDescent="0.35">
      <c r="A268" s="262" t="str">
        <f t="shared" si="4"/>
        <v/>
      </c>
      <c r="B268" s="536"/>
      <c r="C268" s="549"/>
      <c r="D268" s="549"/>
      <c r="E268" s="549"/>
      <c r="F268" s="549"/>
      <c r="G268" s="549"/>
      <c r="H268" s="549"/>
      <c r="I268" s="536"/>
      <c r="J268" s="536"/>
      <c r="K268" s="536"/>
      <c r="L268" s="536"/>
    </row>
    <row r="269" spans="1:12" x14ac:dyDescent="0.35">
      <c r="A269" s="262" t="str">
        <f t="shared" si="4"/>
        <v/>
      </c>
      <c r="B269" s="536"/>
      <c r="C269" s="549"/>
      <c r="D269" s="549"/>
      <c r="E269" s="549"/>
      <c r="F269" s="549"/>
      <c r="G269" s="549"/>
      <c r="H269" s="549"/>
      <c r="I269" s="536"/>
      <c r="J269" s="536"/>
      <c r="K269" s="536"/>
      <c r="L269" s="536"/>
    </row>
    <row r="270" spans="1:12" x14ac:dyDescent="0.35">
      <c r="A270" s="262" t="str">
        <f t="shared" si="4"/>
        <v/>
      </c>
      <c r="B270" s="536"/>
      <c r="C270" s="547"/>
      <c r="D270" s="547"/>
      <c r="E270" s="547"/>
      <c r="F270" s="547"/>
      <c r="G270" s="547"/>
      <c r="H270" s="547"/>
      <c r="I270" s="536"/>
      <c r="J270" s="536"/>
      <c r="K270" s="536"/>
      <c r="L270" s="536"/>
    </row>
    <row r="271" spans="1:12" x14ac:dyDescent="0.35">
      <c r="A271" s="262" t="str">
        <f t="shared" si="4"/>
        <v/>
      </c>
      <c r="B271" s="536"/>
      <c r="C271" s="547"/>
      <c r="D271" s="547"/>
      <c r="E271" s="547"/>
      <c r="F271" s="547"/>
      <c r="G271" s="547"/>
      <c r="H271" s="547"/>
      <c r="I271" s="536"/>
      <c r="J271" s="536"/>
      <c r="K271" s="536"/>
      <c r="L271" s="536"/>
    </row>
    <row r="272" spans="1:12" x14ac:dyDescent="0.35">
      <c r="A272" s="262" t="str">
        <f t="shared" si="4"/>
        <v/>
      </c>
      <c r="B272" s="536"/>
      <c r="C272" s="549"/>
      <c r="D272" s="549"/>
      <c r="E272" s="549"/>
      <c r="F272" s="549"/>
      <c r="G272" s="549"/>
      <c r="H272" s="549"/>
      <c r="I272" s="536"/>
      <c r="J272" s="536"/>
      <c r="K272" s="536"/>
      <c r="L272" s="536"/>
    </row>
    <row r="273" spans="1:12" x14ac:dyDescent="0.35">
      <c r="A273" s="262" t="str">
        <f t="shared" si="4"/>
        <v/>
      </c>
      <c r="B273" s="536"/>
      <c r="C273" s="549"/>
      <c r="D273" s="549"/>
      <c r="E273" s="549"/>
      <c r="F273" s="549"/>
      <c r="G273" s="549"/>
      <c r="H273" s="549"/>
      <c r="I273" s="536"/>
      <c r="J273" s="536"/>
      <c r="K273" s="536"/>
      <c r="L273" s="536"/>
    </row>
    <row r="274" spans="1:12" x14ac:dyDescent="0.35">
      <c r="A274" s="262" t="str">
        <f t="shared" si="4"/>
        <v/>
      </c>
      <c r="B274" s="536"/>
      <c r="C274" s="547"/>
      <c r="D274" s="547"/>
      <c r="E274" s="547"/>
      <c r="F274" s="547"/>
      <c r="G274" s="547"/>
      <c r="H274" s="547"/>
      <c r="I274" s="536"/>
      <c r="J274" s="536"/>
      <c r="K274" s="536"/>
      <c r="L274" s="536"/>
    </row>
    <row r="275" spans="1:12" x14ac:dyDescent="0.35">
      <c r="A275" s="262" t="str">
        <f t="shared" si="4"/>
        <v/>
      </c>
      <c r="B275" s="536"/>
      <c r="C275" s="561"/>
      <c r="D275" s="561"/>
      <c r="E275" s="561"/>
      <c r="F275" s="561"/>
      <c r="G275" s="561"/>
      <c r="H275" s="561"/>
      <c r="I275" s="536"/>
      <c r="J275" s="536"/>
      <c r="K275" s="536"/>
      <c r="L275" s="536"/>
    </row>
    <row r="276" spans="1:12" x14ac:dyDescent="0.35">
      <c r="A276" s="262" t="str">
        <f t="shared" si="4"/>
        <v/>
      </c>
      <c r="B276" s="536"/>
      <c r="C276" s="548"/>
      <c r="D276" s="548"/>
      <c r="E276" s="548"/>
      <c r="F276" s="548"/>
      <c r="G276" s="548"/>
      <c r="H276" s="548"/>
      <c r="I276" s="536"/>
      <c r="J276" s="536"/>
      <c r="K276" s="536"/>
      <c r="L276" s="536"/>
    </row>
    <row r="277" spans="1:12" x14ac:dyDescent="0.35">
      <c r="A277" s="262" t="str">
        <f t="shared" si="4"/>
        <v/>
      </c>
      <c r="B277" s="536"/>
      <c r="C277" s="549"/>
      <c r="D277" s="549"/>
      <c r="E277" s="549"/>
      <c r="F277" s="549"/>
      <c r="G277" s="549"/>
      <c r="H277" s="549"/>
      <c r="I277" s="536"/>
      <c r="J277" s="536"/>
      <c r="K277" s="536"/>
      <c r="L277" s="536"/>
    </row>
    <row r="278" spans="1:12" x14ac:dyDescent="0.35">
      <c r="A278" s="262" t="str">
        <f t="shared" ref="A278:A299" si="5">IFERROR(LEFT(B278,IF(LEFT(B278,3)="800",FIND("(",B278,1)-2,FIND("-",B278,1)-2)),"")</f>
        <v/>
      </c>
      <c r="B278" s="550"/>
      <c r="C278" s="536"/>
      <c r="D278" s="536"/>
      <c r="E278" s="536"/>
      <c r="F278" s="536"/>
      <c r="G278" s="536"/>
      <c r="H278" s="536"/>
      <c r="I278" s="536"/>
      <c r="J278" s="536"/>
      <c r="K278" s="536"/>
      <c r="L278" s="536"/>
    </row>
    <row r="279" spans="1:12" x14ac:dyDescent="0.35">
      <c r="A279" s="262" t="str">
        <f t="shared" si="5"/>
        <v/>
      </c>
      <c r="B279" s="550"/>
      <c r="C279" s="536"/>
      <c r="D279" s="536"/>
      <c r="E279" s="536"/>
      <c r="F279" s="536"/>
      <c r="G279" s="536"/>
      <c r="H279" s="536"/>
      <c r="I279" s="536"/>
      <c r="J279" s="536"/>
      <c r="K279" s="536"/>
      <c r="L279" s="536"/>
    </row>
    <row r="280" spans="1:12" x14ac:dyDescent="0.35">
      <c r="A280" s="262" t="str">
        <f t="shared" si="5"/>
        <v/>
      </c>
      <c r="B280" s="538"/>
      <c r="C280" s="537"/>
      <c r="D280" s="537"/>
      <c r="E280" s="537"/>
      <c r="F280" s="537"/>
      <c r="G280" s="537"/>
      <c r="H280" s="537"/>
      <c r="I280" s="536"/>
      <c r="J280" s="536"/>
      <c r="K280" s="536"/>
      <c r="L280" s="536"/>
    </row>
    <row r="281" spans="1:12" x14ac:dyDescent="0.35">
      <c r="A281" s="262" t="str">
        <f t="shared" si="5"/>
        <v/>
      </c>
      <c r="B281" s="551"/>
      <c r="C281" s="537"/>
      <c r="D281" s="537"/>
      <c r="E281" s="537"/>
      <c r="F281" s="537"/>
      <c r="G281" s="537"/>
      <c r="H281" s="537"/>
      <c r="I281" s="536"/>
      <c r="J281" s="536"/>
      <c r="K281" s="536"/>
      <c r="L281" s="536"/>
    </row>
    <row r="282" spans="1:12" x14ac:dyDescent="0.35">
      <c r="A282" s="262" t="str">
        <f t="shared" si="5"/>
        <v/>
      </c>
      <c r="B282" s="538"/>
      <c r="C282" s="547"/>
      <c r="D282" s="547"/>
      <c r="E282" s="547"/>
      <c r="F282" s="547"/>
      <c r="G282" s="547"/>
      <c r="H282" s="547"/>
      <c r="I282" s="547"/>
      <c r="J282" s="547"/>
      <c r="K282" s="547"/>
      <c r="L282" s="547"/>
    </row>
    <row r="283" spans="1:12" x14ac:dyDescent="0.35">
      <c r="A283" s="262" t="str">
        <f t="shared" si="5"/>
        <v/>
      </c>
      <c r="B283" s="536"/>
      <c r="C283" s="548"/>
      <c r="D283" s="548"/>
      <c r="E283" s="548"/>
      <c r="F283" s="548"/>
      <c r="G283" s="548"/>
      <c r="H283" s="548"/>
      <c r="I283" s="548"/>
      <c r="J283" s="548"/>
      <c r="K283" s="548"/>
      <c r="L283" s="548"/>
    </row>
    <row r="284" spans="1:12" x14ac:dyDescent="0.35">
      <c r="A284" s="262" t="str">
        <f t="shared" si="5"/>
        <v/>
      </c>
      <c r="B284" s="536"/>
      <c r="C284" s="548"/>
      <c r="D284" s="548"/>
      <c r="E284" s="548"/>
      <c r="F284" s="548"/>
      <c r="G284" s="548"/>
      <c r="H284" s="548"/>
      <c r="I284" s="548"/>
      <c r="J284" s="548"/>
      <c r="K284" s="548"/>
      <c r="L284" s="548"/>
    </row>
    <row r="285" spans="1:12" x14ac:dyDescent="0.35">
      <c r="A285" s="262" t="str">
        <f t="shared" si="5"/>
        <v/>
      </c>
      <c r="B285" s="536"/>
      <c r="C285" s="549"/>
      <c r="D285" s="549"/>
      <c r="E285" s="549"/>
      <c r="F285" s="549"/>
      <c r="G285" s="549"/>
      <c r="H285" s="549"/>
      <c r="I285" s="549"/>
      <c r="J285" s="549"/>
      <c r="K285" s="549"/>
      <c r="L285" s="549"/>
    </row>
    <row r="286" spans="1:12" x14ac:dyDescent="0.35">
      <c r="A286" s="262" t="str">
        <f t="shared" si="5"/>
        <v/>
      </c>
      <c r="B286" s="536"/>
      <c r="C286" s="549"/>
      <c r="D286" s="549"/>
      <c r="E286" s="549"/>
      <c r="F286" s="549"/>
      <c r="G286" s="549"/>
      <c r="H286" s="549"/>
      <c r="I286" s="549"/>
      <c r="J286" s="549"/>
      <c r="K286" s="549"/>
      <c r="L286" s="549"/>
    </row>
    <row r="287" spans="1:12" x14ac:dyDescent="0.35">
      <c r="A287" s="262" t="str">
        <f t="shared" si="5"/>
        <v/>
      </c>
      <c r="B287" s="536"/>
      <c r="C287" s="549"/>
      <c r="D287" s="549"/>
      <c r="E287" s="549"/>
      <c r="F287" s="549"/>
      <c r="G287" s="549"/>
      <c r="H287" s="549"/>
      <c r="I287" s="549"/>
      <c r="J287" s="549"/>
      <c r="K287" s="549"/>
      <c r="L287" s="549"/>
    </row>
    <row r="288" spans="1:12" x14ac:dyDescent="0.35">
      <c r="A288" s="262" t="str">
        <f t="shared" si="5"/>
        <v/>
      </c>
      <c r="B288" s="538"/>
      <c r="C288" s="537"/>
      <c r="D288" s="537"/>
      <c r="E288" s="537"/>
      <c r="F288" s="537"/>
      <c r="G288" s="537"/>
      <c r="H288" s="537"/>
      <c r="I288" s="536"/>
      <c r="J288" s="536"/>
      <c r="K288" s="536"/>
      <c r="L288" s="536"/>
    </row>
    <row r="289" spans="1:12" x14ac:dyDescent="0.35">
      <c r="A289" s="262" t="str">
        <f t="shared" si="5"/>
        <v/>
      </c>
      <c r="B289" s="552"/>
      <c r="C289" s="537"/>
      <c r="D289" s="537"/>
      <c r="E289" s="537"/>
      <c r="F289" s="537"/>
      <c r="G289" s="537"/>
      <c r="H289" s="537"/>
      <c r="I289" s="536"/>
      <c r="J289" s="536"/>
      <c r="K289" s="536"/>
      <c r="L289" s="536"/>
    </row>
    <row r="290" spans="1:12" x14ac:dyDescent="0.35">
      <c r="A290" s="262" t="str">
        <f t="shared" si="5"/>
        <v/>
      </c>
      <c r="B290" s="538"/>
      <c r="C290" s="547"/>
      <c r="D290" s="547"/>
      <c r="E290" s="547"/>
      <c r="F290" s="547"/>
      <c r="G290" s="547"/>
      <c r="H290" s="547"/>
      <c r="I290" s="547"/>
      <c r="J290" s="547"/>
      <c r="K290" s="547"/>
      <c r="L290" s="547"/>
    </row>
    <row r="291" spans="1:12" x14ac:dyDescent="0.35">
      <c r="A291" s="262" t="str">
        <f t="shared" si="5"/>
        <v/>
      </c>
      <c r="B291" s="538"/>
      <c r="C291" s="548"/>
      <c r="D291" s="548"/>
      <c r="E291" s="548"/>
      <c r="F291" s="548"/>
      <c r="G291" s="548"/>
      <c r="H291" s="548"/>
      <c r="I291" s="548"/>
      <c r="J291" s="548"/>
      <c r="K291" s="548"/>
      <c r="L291" s="548"/>
    </row>
    <row r="292" spans="1:12" x14ac:dyDescent="0.35">
      <c r="A292" s="262" t="str">
        <f t="shared" si="5"/>
        <v/>
      </c>
      <c r="B292" s="538"/>
      <c r="C292" s="548"/>
      <c r="D292" s="548"/>
      <c r="E292" s="548"/>
      <c r="F292" s="548"/>
      <c r="G292" s="548"/>
      <c r="H292" s="548"/>
      <c r="I292" s="548"/>
      <c r="J292" s="548"/>
      <c r="K292" s="548"/>
      <c r="L292" s="548"/>
    </row>
    <row r="293" spans="1:12" ht="15" customHeight="1" x14ac:dyDescent="0.35">
      <c r="A293" s="262" t="str">
        <f t="shared" si="5"/>
        <v/>
      </c>
      <c r="B293" s="536"/>
      <c r="C293" s="549"/>
      <c r="D293" s="549"/>
      <c r="E293" s="549"/>
      <c r="F293" s="549"/>
      <c r="G293" s="549"/>
      <c r="H293" s="549"/>
      <c r="I293" s="549"/>
      <c r="J293" s="549"/>
      <c r="K293" s="549"/>
      <c r="L293" s="549"/>
    </row>
    <row r="294" spans="1:12" x14ac:dyDescent="0.35">
      <c r="A294" s="262" t="str">
        <f t="shared" si="5"/>
        <v/>
      </c>
      <c r="B294" s="536"/>
      <c r="C294" s="549"/>
      <c r="D294" s="549"/>
      <c r="E294" s="549"/>
      <c r="F294" s="549"/>
      <c r="G294" s="549"/>
      <c r="H294" s="549"/>
      <c r="I294" s="549"/>
      <c r="J294" s="549"/>
      <c r="K294" s="549"/>
      <c r="L294" s="549"/>
    </row>
    <row r="295" spans="1:12" x14ac:dyDescent="0.35">
      <c r="A295" s="262" t="str">
        <f t="shared" si="5"/>
        <v/>
      </c>
      <c r="B295" s="536"/>
      <c r="C295" s="549"/>
      <c r="D295" s="549"/>
      <c r="E295" s="549"/>
      <c r="F295" s="549"/>
      <c r="G295" s="549"/>
      <c r="H295" s="549"/>
      <c r="I295" s="549"/>
      <c r="J295" s="549"/>
      <c r="K295" s="549"/>
      <c r="L295" s="549"/>
    </row>
    <row r="296" spans="1:12" x14ac:dyDescent="0.35">
      <c r="A296" s="262" t="str">
        <f t="shared" si="5"/>
        <v/>
      </c>
      <c r="B296" s="536"/>
      <c r="C296" s="549"/>
      <c r="D296" s="549"/>
      <c r="E296" s="549"/>
      <c r="F296" s="549"/>
      <c r="G296" s="549"/>
      <c r="H296" s="549"/>
      <c r="I296" s="549"/>
      <c r="J296" s="549"/>
      <c r="K296" s="549"/>
      <c r="L296" s="549"/>
    </row>
    <row r="297" spans="1:12" x14ac:dyDescent="0.35">
      <c r="A297" s="262" t="str">
        <f t="shared" si="5"/>
        <v/>
      </c>
      <c r="B297" s="536"/>
      <c r="C297" s="549"/>
      <c r="D297" s="549"/>
      <c r="E297" s="549"/>
      <c r="F297" s="549"/>
      <c r="G297" s="549"/>
      <c r="H297" s="549"/>
      <c r="I297" s="549"/>
      <c r="J297" s="549"/>
      <c r="K297" s="549"/>
      <c r="L297" s="549"/>
    </row>
    <row r="298" spans="1:12" x14ac:dyDescent="0.35">
      <c r="A298" s="262" t="str">
        <f t="shared" si="5"/>
        <v/>
      </c>
      <c r="B298" s="536"/>
      <c r="C298" s="549"/>
      <c r="D298" s="549"/>
      <c r="E298" s="549"/>
      <c r="F298" s="549"/>
      <c r="G298" s="549"/>
      <c r="H298" s="549"/>
      <c r="I298" s="549"/>
      <c r="J298" s="549"/>
      <c r="K298" s="549"/>
      <c r="L298" s="549"/>
    </row>
    <row r="299" spans="1:12" x14ac:dyDescent="0.35">
      <c r="A299" s="531" t="str">
        <f t="shared" si="5"/>
        <v/>
      </c>
      <c r="B299" s="536"/>
      <c r="C299" s="549"/>
      <c r="D299" s="549"/>
      <c r="E299" s="549"/>
      <c r="F299" s="549"/>
      <c r="G299" s="549"/>
      <c r="H299" s="549"/>
      <c r="I299" s="549"/>
      <c r="J299" s="549"/>
      <c r="K299" s="549"/>
      <c r="L299" s="549"/>
    </row>
    <row r="300" spans="1:12" x14ac:dyDescent="0.35">
      <c r="A300" s="262"/>
      <c r="B300" s="536"/>
      <c r="C300" s="549"/>
      <c r="D300" s="549"/>
      <c r="E300" s="549"/>
      <c r="F300" s="549"/>
      <c r="G300" s="549"/>
      <c r="H300" s="549"/>
      <c r="I300" s="549"/>
      <c r="J300" s="549"/>
      <c r="K300" s="549"/>
      <c r="L300" s="549"/>
    </row>
    <row r="301" spans="1:12" x14ac:dyDescent="0.35">
      <c r="A301" s="262"/>
      <c r="B301" s="538"/>
      <c r="C301" s="537"/>
      <c r="D301" s="537"/>
      <c r="E301" s="537"/>
      <c r="F301" s="537"/>
      <c r="G301" s="537"/>
      <c r="H301" s="537"/>
      <c r="I301" s="536"/>
      <c r="J301" s="536"/>
      <c r="K301" s="536"/>
      <c r="L301" s="536"/>
    </row>
    <row r="302" spans="1:12" x14ac:dyDescent="0.35">
      <c r="A302" s="262"/>
      <c r="B302" s="560"/>
      <c r="C302" s="537"/>
      <c r="D302" s="537"/>
      <c r="E302" s="537"/>
      <c r="F302" s="537"/>
      <c r="G302" s="537"/>
      <c r="H302" s="537"/>
      <c r="I302" s="536"/>
      <c r="J302" s="536"/>
      <c r="K302" s="536"/>
      <c r="L302" s="536"/>
    </row>
    <row r="303" spans="1:12" x14ac:dyDescent="0.35">
      <c r="A303" s="262"/>
      <c r="B303" s="552"/>
      <c r="C303" s="537"/>
      <c r="D303" s="537"/>
      <c r="E303" s="537"/>
      <c r="F303" s="537"/>
      <c r="G303" s="537"/>
      <c r="H303" s="537"/>
      <c r="I303" s="536"/>
      <c r="J303" s="562"/>
      <c r="K303" s="562"/>
      <c r="L303" s="562"/>
    </row>
    <row r="304" spans="1:12" x14ac:dyDescent="0.35">
      <c r="A304" s="262"/>
      <c r="B304" s="552"/>
      <c r="C304" s="537"/>
      <c r="D304" s="537"/>
      <c r="E304" s="537"/>
      <c r="F304" s="537"/>
      <c r="G304" s="537"/>
      <c r="H304" s="537"/>
      <c r="I304" s="536"/>
      <c r="J304" s="536"/>
      <c r="K304" s="536"/>
      <c r="L304" s="536"/>
    </row>
    <row r="305" spans="1:12" x14ac:dyDescent="0.35">
      <c r="A305" s="262"/>
      <c r="B305" s="538"/>
      <c r="C305" s="547"/>
      <c r="D305" s="547"/>
      <c r="E305" s="547"/>
      <c r="F305" s="547"/>
      <c r="G305" s="547"/>
      <c r="H305" s="547"/>
      <c r="I305" s="547"/>
      <c r="J305" s="536"/>
      <c r="K305" s="536"/>
      <c r="L305" s="536"/>
    </row>
    <row r="306" spans="1:12" x14ac:dyDescent="0.35">
      <c r="A306" s="262"/>
      <c r="B306" s="538"/>
      <c r="C306" s="561"/>
      <c r="D306" s="561"/>
      <c r="E306" s="561"/>
      <c r="F306" s="561"/>
      <c r="G306" s="561"/>
      <c r="H306" s="561"/>
      <c r="I306" s="561"/>
      <c r="J306" s="536"/>
      <c r="K306" s="536"/>
      <c r="L306" s="536"/>
    </row>
    <row r="307" spans="1:12" x14ac:dyDescent="0.35">
      <c r="A307" s="262"/>
      <c r="B307" s="536"/>
      <c r="C307" s="549"/>
      <c r="D307" s="549"/>
      <c r="E307" s="549"/>
      <c r="F307" s="549"/>
      <c r="G307" s="549"/>
      <c r="H307" s="549"/>
      <c r="I307" s="549"/>
      <c r="J307" s="536"/>
      <c r="K307" s="536"/>
      <c r="L307" s="536"/>
    </row>
    <row r="308" spans="1:12" x14ac:dyDescent="0.35">
      <c r="A308" s="262"/>
      <c r="B308" s="536"/>
      <c r="C308" s="549"/>
      <c r="D308" s="549"/>
      <c r="E308" s="549"/>
      <c r="F308" s="549"/>
      <c r="G308" s="549"/>
      <c r="H308" s="549"/>
      <c r="I308" s="549"/>
      <c r="J308" s="536"/>
      <c r="K308" s="536"/>
      <c r="L308" s="536"/>
    </row>
    <row r="309" spans="1:12" x14ac:dyDescent="0.35">
      <c r="A309" s="262"/>
      <c r="B309" s="536"/>
      <c r="C309" s="549"/>
      <c r="D309" s="549"/>
      <c r="E309" s="549"/>
      <c r="F309" s="549"/>
      <c r="G309" s="549"/>
      <c r="H309" s="549"/>
      <c r="I309" s="549"/>
      <c r="J309" s="536"/>
      <c r="K309" s="536"/>
      <c r="L309" s="536"/>
    </row>
    <row r="310" spans="1:12" ht="21.75" customHeight="1" x14ac:dyDescent="0.35">
      <c r="A310" s="262"/>
      <c r="B310" s="536"/>
      <c r="C310" s="549"/>
      <c r="D310" s="549"/>
      <c r="E310" s="549"/>
      <c r="F310" s="549"/>
      <c r="G310" s="549"/>
      <c r="H310" s="537"/>
      <c r="I310" s="536"/>
      <c r="J310" s="536"/>
      <c r="K310" s="536"/>
      <c r="L310" s="536"/>
    </row>
    <row r="311" spans="1:12" ht="22.5" customHeight="1" x14ac:dyDescent="0.35">
      <c r="A311" s="262"/>
      <c r="B311" s="550"/>
      <c r="C311" s="536"/>
      <c r="D311" s="536"/>
      <c r="E311" s="536"/>
      <c r="F311" s="536"/>
      <c r="G311" s="536"/>
      <c r="H311" s="536"/>
      <c r="I311" s="536"/>
      <c r="J311" s="536"/>
      <c r="K311" s="536"/>
      <c r="L311" s="536"/>
    </row>
    <row r="312" spans="1:12" x14ac:dyDescent="0.35">
      <c r="A312" s="262"/>
      <c r="B312" s="550"/>
      <c r="C312" s="536"/>
      <c r="D312" s="536"/>
      <c r="E312" s="536"/>
      <c r="F312" s="536"/>
      <c r="G312" s="536"/>
      <c r="H312" s="536"/>
      <c r="I312" s="536"/>
      <c r="J312" s="536"/>
      <c r="K312" s="536"/>
      <c r="L312" s="536"/>
    </row>
    <row r="313" spans="1:12" x14ac:dyDescent="0.35">
      <c r="A313" s="262"/>
      <c r="B313" s="550"/>
      <c r="C313" s="536"/>
      <c r="D313" s="536"/>
      <c r="E313" s="536"/>
      <c r="F313" s="536"/>
      <c r="G313" s="536"/>
      <c r="H313" s="536"/>
      <c r="I313" s="536"/>
      <c r="J313" s="536"/>
      <c r="K313" s="536"/>
      <c r="L313" s="536"/>
    </row>
    <row r="314" spans="1:12" x14ac:dyDescent="0.35">
      <c r="A314" s="262"/>
      <c r="B314" s="536"/>
      <c r="C314" s="537"/>
      <c r="D314" s="537"/>
      <c r="E314" s="537"/>
      <c r="F314" s="537"/>
      <c r="G314" s="537"/>
      <c r="H314" s="537"/>
      <c r="I314" s="536"/>
      <c r="J314" s="536"/>
      <c r="K314" s="536"/>
      <c r="L314" s="536"/>
    </row>
    <row r="315" spans="1:12" x14ac:dyDescent="0.35">
      <c r="A315" s="262"/>
      <c r="B315" s="536"/>
      <c r="C315" s="537"/>
      <c r="D315" s="537"/>
      <c r="E315" s="537"/>
      <c r="F315" s="537"/>
      <c r="G315" s="537"/>
      <c r="H315" s="537"/>
      <c r="I315" s="536"/>
      <c r="J315" s="536"/>
      <c r="K315" s="536"/>
      <c r="L315" s="536"/>
    </row>
    <row r="316" spans="1:12" x14ac:dyDescent="0.35">
      <c r="A316" s="262"/>
      <c r="B316" s="563"/>
      <c r="C316" s="543"/>
      <c r="D316" s="537"/>
      <c r="E316" s="537"/>
      <c r="F316" s="537"/>
      <c r="G316" s="537"/>
      <c r="H316" s="537"/>
      <c r="I316" s="536"/>
      <c r="J316" s="536"/>
      <c r="K316" s="536"/>
      <c r="L316" s="536"/>
    </row>
    <row r="317" spans="1:12" x14ac:dyDescent="0.35">
      <c r="A317" s="262"/>
      <c r="B317" s="536"/>
      <c r="C317" s="537"/>
      <c r="D317" s="537"/>
      <c r="E317" s="537"/>
      <c r="F317" s="537"/>
      <c r="G317" s="537"/>
      <c r="H317" s="537"/>
      <c r="I317" s="536"/>
      <c r="J317" s="536"/>
      <c r="K317" s="536"/>
      <c r="L317" s="536"/>
    </row>
    <row r="318" spans="1:12" ht="15.75" customHeight="1" x14ac:dyDescent="0.35">
      <c r="A318" s="262"/>
      <c r="B318" s="556"/>
      <c r="C318" s="537"/>
      <c r="D318" s="537"/>
      <c r="E318" s="537"/>
      <c r="F318" s="537"/>
      <c r="G318" s="537"/>
      <c r="H318" s="537"/>
      <c r="I318" s="536"/>
      <c r="J318" s="536"/>
      <c r="K318" s="536"/>
      <c r="L318" s="536"/>
    </row>
    <row r="319" spans="1:12" x14ac:dyDescent="0.35">
      <c r="A319" s="262"/>
      <c r="B319" s="536"/>
      <c r="C319" s="547"/>
      <c r="D319" s="547"/>
      <c r="E319" s="547"/>
      <c r="F319" s="547"/>
      <c r="G319" s="547"/>
      <c r="H319" s="547"/>
      <c r="I319" s="547"/>
      <c r="J319" s="564"/>
      <c r="K319" s="564"/>
      <c r="L319" s="564"/>
    </row>
    <row r="320" spans="1:12" x14ac:dyDescent="0.35">
      <c r="A320" s="262"/>
      <c r="B320" s="536"/>
      <c r="C320" s="561"/>
      <c r="D320" s="561"/>
      <c r="E320" s="561"/>
      <c r="F320" s="561"/>
      <c r="G320" s="561"/>
      <c r="H320" s="561"/>
      <c r="I320" s="561"/>
      <c r="J320" s="564"/>
      <c r="K320" s="564"/>
      <c r="L320" s="564"/>
    </row>
    <row r="321" spans="1:12" ht="15.75" customHeight="1" x14ac:dyDescent="0.35">
      <c r="A321" s="262"/>
      <c r="B321" s="536"/>
      <c r="C321" s="565"/>
      <c r="D321" s="565"/>
      <c r="E321" s="565"/>
      <c r="F321" s="565"/>
      <c r="G321" s="565"/>
      <c r="H321" s="565"/>
      <c r="I321" s="565"/>
      <c r="J321" s="562"/>
      <c r="K321" s="562"/>
      <c r="L321" s="562"/>
    </row>
    <row r="322" spans="1:12" ht="15.75" customHeight="1" x14ac:dyDescent="0.35">
      <c r="A322" s="262"/>
      <c r="B322" s="536"/>
      <c r="C322" s="565"/>
      <c r="D322" s="565"/>
      <c r="E322" s="565"/>
      <c r="F322" s="565"/>
      <c r="G322" s="565"/>
      <c r="H322" s="565"/>
      <c r="I322" s="565"/>
      <c r="J322" s="562"/>
      <c r="K322" s="562"/>
      <c r="L322" s="562"/>
    </row>
    <row r="323" spans="1:12" x14ac:dyDescent="0.35">
      <c r="A323" s="262"/>
      <c r="B323" s="536"/>
      <c r="C323" s="565"/>
      <c r="D323" s="565"/>
      <c r="E323" s="565"/>
      <c r="F323" s="565"/>
      <c r="G323" s="565"/>
      <c r="H323" s="565"/>
      <c r="I323" s="565"/>
      <c r="J323" s="562"/>
      <c r="K323" s="562"/>
      <c r="L323" s="562"/>
    </row>
    <row r="324" spans="1:12" ht="15.75" customHeight="1" x14ac:dyDescent="0.35">
      <c r="A324" s="262"/>
      <c r="B324" s="553"/>
      <c r="C324" s="549"/>
      <c r="D324" s="549"/>
      <c r="E324" s="549"/>
      <c r="F324" s="549"/>
      <c r="G324" s="549"/>
      <c r="H324" s="549"/>
      <c r="I324" s="549"/>
      <c r="J324" s="562"/>
      <c r="K324" s="562"/>
      <c r="L324" s="562"/>
    </row>
    <row r="325" spans="1:12" x14ac:dyDescent="0.35">
      <c r="A325" s="262"/>
      <c r="B325" s="553"/>
      <c r="C325" s="549"/>
      <c r="D325" s="549"/>
      <c r="E325" s="549"/>
      <c r="F325" s="549"/>
      <c r="G325" s="549"/>
      <c r="H325" s="566"/>
      <c r="I325" s="566"/>
      <c r="J325" s="562"/>
      <c r="K325" s="562"/>
      <c r="L325" s="562"/>
    </row>
    <row r="326" spans="1:12" x14ac:dyDescent="0.35">
      <c r="A326" s="262"/>
      <c r="B326" s="560"/>
      <c r="C326" s="549"/>
      <c r="D326" s="549"/>
      <c r="E326" s="549"/>
      <c r="F326" s="549"/>
      <c r="G326" s="549"/>
      <c r="H326" s="555"/>
      <c r="I326" s="566"/>
      <c r="J326" s="554"/>
      <c r="K326" s="554"/>
      <c r="L326" s="554"/>
    </row>
    <row r="327" spans="1:12" x14ac:dyDescent="0.35">
      <c r="A327" s="262"/>
      <c r="B327" s="550"/>
      <c r="C327" s="549"/>
      <c r="D327" s="549"/>
      <c r="E327" s="549"/>
      <c r="F327" s="549"/>
      <c r="G327" s="549"/>
      <c r="H327" s="555"/>
      <c r="I327" s="555"/>
      <c r="J327" s="555"/>
      <c r="K327" s="555"/>
      <c r="L327" s="555"/>
    </row>
    <row r="328" spans="1:12" x14ac:dyDescent="0.35">
      <c r="A328" s="262"/>
      <c r="B328" s="552"/>
      <c r="C328" s="549"/>
      <c r="D328" s="549"/>
      <c r="E328" s="549"/>
      <c r="F328" s="549"/>
      <c r="G328" s="549"/>
      <c r="H328" s="555"/>
      <c r="I328" s="555"/>
      <c r="J328" s="555"/>
      <c r="K328" s="555"/>
      <c r="L328" s="555"/>
    </row>
    <row r="329" spans="1:12" ht="15.75" customHeight="1" x14ac:dyDescent="0.35">
      <c r="A329" s="262"/>
      <c r="B329" s="543"/>
      <c r="C329" s="547"/>
      <c r="D329" s="547"/>
      <c r="E329" s="547"/>
      <c r="F329" s="549"/>
      <c r="G329" s="549"/>
      <c r="H329" s="555"/>
      <c r="I329" s="555"/>
      <c r="J329" s="555"/>
      <c r="K329" s="555"/>
      <c r="L329" s="555"/>
    </row>
    <row r="330" spans="1:12" ht="15.75" customHeight="1" x14ac:dyDescent="0.35">
      <c r="A330" s="262"/>
      <c r="B330" s="543"/>
      <c r="C330" s="549"/>
      <c r="D330" s="549"/>
      <c r="E330" s="549"/>
      <c r="F330" s="549"/>
      <c r="G330" s="549"/>
      <c r="H330" s="555"/>
      <c r="I330" s="555"/>
      <c r="J330" s="555"/>
      <c r="K330" s="555"/>
      <c r="L330" s="555"/>
    </row>
    <row r="331" spans="1:12" ht="15.75" customHeight="1" x14ac:dyDescent="0.35">
      <c r="A331" s="262"/>
      <c r="B331" s="543"/>
      <c r="C331" s="549"/>
      <c r="D331" s="549"/>
      <c r="E331" s="549"/>
      <c r="F331" s="549"/>
      <c r="G331" s="549"/>
      <c r="H331" s="555"/>
      <c r="I331" s="555"/>
      <c r="J331" s="555"/>
      <c r="K331" s="555"/>
      <c r="L331" s="555"/>
    </row>
    <row r="332" spans="1:12" ht="23.25" customHeight="1" x14ac:dyDescent="0.35">
      <c r="A332" s="262"/>
      <c r="B332" s="543"/>
      <c r="C332" s="549"/>
      <c r="D332" s="549"/>
      <c r="E332" s="549"/>
      <c r="F332" s="549"/>
      <c r="G332" s="549"/>
      <c r="H332" s="555"/>
      <c r="I332" s="555"/>
      <c r="J332" s="555"/>
      <c r="K332" s="555"/>
      <c r="L332" s="555"/>
    </row>
    <row r="333" spans="1:12" ht="15.75" customHeight="1" x14ac:dyDescent="0.35">
      <c r="A333" s="262"/>
      <c r="B333" s="543"/>
      <c r="C333" s="549"/>
      <c r="D333" s="549"/>
      <c r="E333" s="549"/>
      <c r="F333" s="549"/>
      <c r="G333" s="549"/>
      <c r="H333" s="555"/>
      <c r="I333" s="555"/>
      <c r="J333" s="555"/>
      <c r="K333" s="555"/>
      <c r="L333" s="555"/>
    </row>
    <row r="334" spans="1:12" x14ac:dyDescent="0.35">
      <c r="A334" s="262"/>
      <c r="B334" s="543"/>
      <c r="C334" s="549"/>
      <c r="D334" s="549"/>
      <c r="E334" s="549"/>
      <c r="F334" s="549"/>
      <c r="G334" s="549"/>
      <c r="H334" s="555"/>
      <c r="I334" s="555"/>
      <c r="J334" s="555"/>
      <c r="K334" s="555"/>
      <c r="L334" s="555"/>
    </row>
    <row r="335" spans="1:12" ht="15.75" customHeight="1" x14ac:dyDescent="0.35">
      <c r="A335" s="262"/>
      <c r="B335" s="543"/>
      <c r="C335" s="549"/>
      <c r="D335" s="549"/>
      <c r="E335" s="549"/>
      <c r="F335" s="549"/>
      <c r="G335" s="549"/>
      <c r="H335" s="555"/>
      <c r="I335" s="555"/>
      <c r="J335" s="555"/>
      <c r="K335" s="555"/>
      <c r="L335" s="555"/>
    </row>
    <row r="336" spans="1:12" ht="15.75" customHeight="1" x14ac:dyDescent="0.35">
      <c r="A336" s="262"/>
      <c r="B336" s="543"/>
      <c r="C336" s="549"/>
      <c r="D336" s="549"/>
      <c r="E336" s="549"/>
      <c r="F336" s="549"/>
      <c r="G336" s="549"/>
      <c r="H336" s="555"/>
      <c r="I336" s="555"/>
      <c r="J336" s="555"/>
      <c r="K336" s="555"/>
      <c r="L336" s="555"/>
    </row>
    <row r="337" spans="1:12" x14ac:dyDescent="0.35">
      <c r="A337" s="262"/>
      <c r="B337" s="543"/>
      <c r="C337" s="549"/>
      <c r="D337" s="549"/>
      <c r="E337" s="549"/>
      <c r="F337" s="549"/>
      <c r="G337" s="549"/>
      <c r="H337" s="555"/>
      <c r="I337" s="555"/>
      <c r="J337" s="555"/>
      <c r="K337" s="555"/>
      <c r="L337" s="555"/>
    </row>
    <row r="338" spans="1:12" ht="15.75" customHeight="1" x14ac:dyDescent="0.35">
      <c r="A338" s="262"/>
      <c r="B338" s="543"/>
      <c r="C338" s="549"/>
      <c r="D338" s="549"/>
      <c r="E338" s="549"/>
      <c r="F338" s="549"/>
      <c r="G338" s="549"/>
      <c r="H338" s="555"/>
      <c r="I338" s="555"/>
      <c r="J338" s="555"/>
      <c r="K338" s="555"/>
      <c r="L338" s="555"/>
    </row>
    <row r="339" spans="1:12" x14ac:dyDescent="0.35">
      <c r="A339" s="262"/>
      <c r="B339" s="543"/>
      <c r="C339" s="549"/>
      <c r="D339" s="549"/>
      <c r="E339" s="549"/>
      <c r="F339" s="549"/>
      <c r="G339" s="549"/>
      <c r="H339" s="555"/>
      <c r="I339" s="555"/>
      <c r="J339" s="555"/>
      <c r="K339" s="555"/>
      <c r="L339" s="555"/>
    </row>
    <row r="340" spans="1:12" x14ac:dyDescent="0.35">
      <c r="A340" s="262"/>
      <c r="B340" s="543"/>
      <c r="C340" s="549"/>
      <c r="D340" s="549"/>
      <c r="E340" s="549"/>
      <c r="F340" s="549"/>
      <c r="G340" s="549"/>
      <c r="H340" s="555"/>
      <c r="I340" s="555"/>
      <c r="J340" s="555"/>
      <c r="K340" s="555"/>
      <c r="L340" s="555"/>
    </row>
    <row r="341" spans="1:12" x14ac:dyDescent="0.35">
      <c r="A341" s="262"/>
      <c r="B341" s="543"/>
      <c r="C341" s="549"/>
      <c r="D341" s="549"/>
      <c r="E341" s="549"/>
      <c r="F341" s="549"/>
      <c r="G341" s="549"/>
      <c r="H341" s="555"/>
      <c r="I341" s="555"/>
      <c r="J341" s="555"/>
      <c r="K341" s="555"/>
      <c r="L341" s="555"/>
    </row>
    <row r="342" spans="1:12" x14ac:dyDescent="0.35">
      <c r="A342" s="262"/>
      <c r="B342" s="543"/>
      <c r="C342" s="536"/>
      <c r="D342" s="536"/>
      <c r="E342" s="536"/>
      <c r="F342" s="536"/>
      <c r="G342" s="536"/>
      <c r="H342" s="536"/>
      <c r="I342" s="536"/>
      <c r="J342" s="536"/>
      <c r="K342" s="536"/>
      <c r="L342" s="536"/>
    </row>
    <row r="343" spans="1:12" x14ac:dyDescent="0.35">
      <c r="A343" s="262"/>
      <c r="B343" s="543"/>
      <c r="C343" s="536"/>
      <c r="D343" s="536"/>
      <c r="E343" s="536"/>
      <c r="F343" s="536"/>
      <c r="G343" s="536"/>
      <c r="H343" s="536"/>
      <c r="I343" s="536"/>
      <c r="J343" s="536"/>
      <c r="K343" s="536"/>
      <c r="L343" s="536"/>
    </row>
    <row r="344" spans="1:12" ht="15.75" customHeight="1" x14ac:dyDescent="0.35">
      <c r="A344" s="262"/>
      <c r="B344" s="543"/>
      <c r="C344" s="536"/>
      <c r="D344" s="536"/>
      <c r="E344" s="536"/>
      <c r="F344" s="536"/>
      <c r="G344" s="536"/>
      <c r="H344" s="536"/>
      <c r="I344" s="536"/>
      <c r="J344" s="536"/>
      <c r="K344" s="536"/>
      <c r="L344" s="536"/>
    </row>
    <row r="345" spans="1:12" x14ac:dyDescent="0.35">
      <c r="A345" s="262"/>
      <c r="B345" s="543"/>
      <c r="C345" s="536"/>
      <c r="D345" s="536"/>
      <c r="E345" s="536"/>
      <c r="F345" s="536"/>
      <c r="G345" s="536"/>
      <c r="H345" s="536"/>
      <c r="I345" s="536"/>
      <c r="J345" s="536"/>
      <c r="K345" s="536"/>
      <c r="L345" s="536"/>
    </row>
    <row r="346" spans="1:12" x14ac:dyDescent="0.35">
      <c r="A346" s="262"/>
      <c r="B346" s="543"/>
      <c r="C346" s="549"/>
      <c r="D346" s="549"/>
      <c r="E346" s="549"/>
      <c r="F346" s="549"/>
      <c r="G346" s="549"/>
      <c r="H346" s="555"/>
      <c r="I346" s="555"/>
      <c r="J346" s="555"/>
      <c r="K346" s="555"/>
      <c r="L346" s="555"/>
    </row>
    <row r="347" spans="1:12" x14ac:dyDescent="0.35">
      <c r="A347" s="262"/>
      <c r="B347" s="550"/>
      <c r="C347" s="536"/>
      <c r="D347" s="536"/>
      <c r="E347" s="536"/>
      <c r="F347" s="536"/>
      <c r="G347" s="536"/>
      <c r="H347" s="536"/>
      <c r="I347" s="536"/>
      <c r="J347" s="536"/>
      <c r="K347" s="536"/>
      <c r="L347" s="536"/>
    </row>
    <row r="348" spans="1:12" x14ac:dyDescent="0.35">
      <c r="A348" s="262"/>
      <c r="B348" s="550"/>
      <c r="C348" s="536"/>
      <c r="D348" s="536"/>
      <c r="E348" s="536"/>
      <c r="F348" s="536"/>
      <c r="G348" s="536"/>
      <c r="H348" s="536"/>
      <c r="I348" s="536"/>
      <c r="J348" s="536"/>
      <c r="K348" s="536"/>
      <c r="L348" s="536"/>
    </row>
    <row r="349" spans="1:12" x14ac:dyDescent="0.35">
      <c r="A349" s="262"/>
      <c r="B349" s="543"/>
      <c r="C349" s="549"/>
      <c r="D349" s="549"/>
      <c r="E349" s="549"/>
      <c r="F349" s="549"/>
      <c r="G349" s="549"/>
      <c r="H349" s="555"/>
      <c r="I349" s="555"/>
      <c r="J349" s="555"/>
      <c r="K349" s="555"/>
      <c r="L349" s="555"/>
    </row>
    <row r="350" spans="1:12" x14ac:dyDescent="0.35">
      <c r="A350" s="262"/>
      <c r="B350" s="552"/>
      <c r="C350" s="549"/>
      <c r="D350" s="549"/>
      <c r="E350" s="549"/>
      <c r="F350" s="549"/>
      <c r="G350" s="549"/>
      <c r="H350" s="555"/>
      <c r="I350" s="555"/>
      <c r="J350" s="555"/>
      <c r="K350" s="555"/>
      <c r="L350" s="555"/>
    </row>
    <row r="351" spans="1:12" x14ac:dyDescent="0.35">
      <c r="A351" s="262"/>
      <c r="B351" s="550"/>
      <c r="C351" s="547"/>
      <c r="D351" s="547"/>
      <c r="E351" s="547"/>
      <c r="F351" s="549"/>
      <c r="G351" s="549"/>
      <c r="H351" s="555"/>
      <c r="I351" s="555"/>
      <c r="J351" s="555"/>
      <c r="K351" s="555"/>
      <c r="L351" s="555"/>
    </row>
    <row r="352" spans="1:12" ht="15.75" customHeight="1" x14ac:dyDescent="0.35">
      <c r="A352" s="262"/>
      <c r="B352" s="543"/>
      <c r="C352" s="549"/>
      <c r="D352" s="549"/>
      <c r="E352" s="549"/>
      <c r="F352" s="549"/>
      <c r="G352" s="549"/>
      <c r="H352" s="555"/>
      <c r="I352" s="555"/>
      <c r="J352" s="555"/>
      <c r="K352" s="555"/>
      <c r="L352" s="555"/>
    </row>
    <row r="353" spans="1:12" x14ac:dyDescent="0.35">
      <c r="A353" s="262"/>
      <c r="B353" s="543"/>
      <c r="C353" s="549"/>
      <c r="D353" s="549"/>
      <c r="E353" s="549"/>
      <c r="F353" s="549"/>
      <c r="G353" s="549"/>
      <c r="H353" s="555"/>
      <c r="I353" s="555"/>
      <c r="J353" s="555"/>
      <c r="K353" s="555"/>
      <c r="L353" s="555"/>
    </row>
    <row r="354" spans="1:12" ht="15.75" customHeight="1" x14ac:dyDescent="0.35">
      <c r="A354" s="262"/>
      <c r="B354" s="543"/>
      <c r="C354" s="549"/>
      <c r="D354" s="549"/>
      <c r="E354" s="549"/>
      <c r="F354" s="549"/>
      <c r="G354" s="549"/>
      <c r="H354" s="555"/>
      <c r="I354" s="555"/>
      <c r="J354" s="555"/>
      <c r="K354" s="555"/>
      <c r="L354" s="555"/>
    </row>
    <row r="355" spans="1:12" ht="15.75" customHeight="1" x14ac:dyDescent="0.35">
      <c r="A355" s="262"/>
      <c r="B355" s="543"/>
      <c r="C355" s="549"/>
      <c r="D355" s="549"/>
      <c r="E355" s="549"/>
      <c r="F355" s="549"/>
      <c r="G355" s="549"/>
      <c r="H355" s="555"/>
      <c r="I355" s="555"/>
      <c r="J355" s="555"/>
      <c r="K355" s="555"/>
      <c r="L355" s="555"/>
    </row>
    <row r="356" spans="1:12" ht="15.75" customHeight="1" x14ac:dyDescent="0.35">
      <c r="A356" s="262"/>
      <c r="B356" s="543"/>
      <c r="C356" s="549"/>
      <c r="D356" s="549"/>
      <c r="E356" s="549"/>
      <c r="F356" s="549"/>
      <c r="G356" s="549"/>
      <c r="H356" s="555"/>
      <c r="I356" s="555"/>
      <c r="J356" s="555"/>
      <c r="K356" s="555"/>
      <c r="L356" s="555"/>
    </row>
    <row r="357" spans="1:12" ht="15.75" customHeight="1" x14ac:dyDescent="0.35">
      <c r="A357" s="262"/>
      <c r="B357" s="543"/>
      <c r="C357" s="549"/>
      <c r="D357" s="549"/>
      <c r="E357" s="549"/>
      <c r="F357" s="549"/>
      <c r="G357" s="549"/>
      <c r="H357" s="555"/>
      <c r="I357" s="555"/>
      <c r="J357" s="555"/>
      <c r="K357" s="555"/>
      <c r="L357" s="555"/>
    </row>
    <row r="358" spans="1:12" ht="15.75" customHeight="1" x14ac:dyDescent="0.35">
      <c r="A358" s="262"/>
      <c r="B358" s="550"/>
      <c r="C358" s="536"/>
      <c r="D358" s="536"/>
      <c r="E358" s="536"/>
      <c r="F358" s="536"/>
      <c r="G358" s="536"/>
      <c r="H358" s="536"/>
      <c r="I358" s="536"/>
      <c r="J358" s="536"/>
      <c r="K358" s="536"/>
      <c r="L358" s="536"/>
    </row>
    <row r="359" spans="1:12" x14ac:dyDescent="0.35">
      <c r="A359" s="262"/>
      <c r="B359" s="543"/>
      <c r="C359" s="549"/>
      <c r="D359" s="549"/>
      <c r="E359" s="549"/>
      <c r="F359" s="549"/>
      <c r="G359" s="549"/>
      <c r="H359" s="555"/>
      <c r="I359" s="555"/>
      <c r="J359" s="555"/>
      <c r="K359" s="555"/>
      <c r="L359" s="555"/>
    </row>
    <row r="360" spans="1:12" ht="15.75" customHeight="1" x14ac:dyDescent="0.35">
      <c r="A360" s="262"/>
      <c r="B360" s="552"/>
      <c r="C360" s="549"/>
      <c r="D360" s="549"/>
      <c r="E360" s="549"/>
      <c r="F360" s="549"/>
      <c r="G360" s="549"/>
      <c r="H360" s="555"/>
      <c r="I360" s="555"/>
      <c r="J360" s="555"/>
      <c r="K360" s="555"/>
      <c r="L360" s="555"/>
    </row>
    <row r="361" spans="1:12" x14ac:dyDescent="0.35">
      <c r="A361" s="262"/>
      <c r="B361" s="550"/>
      <c r="C361" s="547"/>
      <c r="D361" s="547"/>
      <c r="E361" s="547"/>
      <c r="F361" s="549"/>
      <c r="G361" s="549"/>
      <c r="H361" s="555"/>
      <c r="I361" s="555"/>
      <c r="J361" s="555"/>
      <c r="K361" s="555"/>
      <c r="L361" s="555"/>
    </row>
    <row r="362" spans="1:12" x14ac:dyDescent="0.35">
      <c r="A362" s="262"/>
      <c r="B362" s="543"/>
      <c r="C362" s="549"/>
      <c r="D362" s="549"/>
      <c r="E362" s="549"/>
      <c r="F362" s="549"/>
      <c r="G362" s="549"/>
      <c r="H362" s="555"/>
      <c r="I362" s="555"/>
      <c r="J362" s="555"/>
      <c r="K362" s="555"/>
      <c r="L362" s="555"/>
    </row>
    <row r="363" spans="1:12" x14ac:dyDescent="0.35">
      <c r="A363" s="262"/>
      <c r="B363" s="543"/>
      <c r="C363" s="549"/>
      <c r="D363" s="549"/>
      <c r="E363" s="549"/>
      <c r="F363" s="549"/>
      <c r="G363" s="549"/>
      <c r="H363" s="555"/>
      <c r="I363" s="555"/>
      <c r="J363" s="555"/>
      <c r="K363" s="555"/>
      <c r="L363" s="555"/>
    </row>
    <row r="364" spans="1:12" x14ac:dyDescent="0.35">
      <c r="A364" s="262"/>
      <c r="B364" s="543"/>
      <c r="C364" s="549"/>
      <c r="D364" s="549"/>
      <c r="E364" s="549"/>
      <c r="F364" s="549"/>
      <c r="G364" s="549"/>
      <c r="H364" s="555"/>
      <c r="I364" s="555"/>
      <c r="J364" s="555"/>
      <c r="K364" s="555"/>
      <c r="L364" s="555"/>
    </row>
    <row r="365" spans="1:12" ht="15.75" customHeight="1" x14ac:dyDescent="0.35">
      <c r="A365" s="262"/>
      <c r="B365" s="543"/>
      <c r="C365" s="549"/>
      <c r="D365" s="549"/>
      <c r="E365" s="549"/>
      <c r="F365" s="549"/>
      <c r="G365" s="549"/>
      <c r="H365" s="555"/>
      <c r="I365" s="555"/>
      <c r="J365" s="555"/>
      <c r="K365" s="555"/>
      <c r="L365" s="555"/>
    </row>
    <row r="366" spans="1:12" ht="15.75" customHeight="1" x14ac:dyDescent="0.35">
      <c r="A366" s="262"/>
      <c r="B366" s="543"/>
      <c r="C366" s="549"/>
      <c r="D366" s="549"/>
      <c r="E366" s="549"/>
      <c r="F366" s="549"/>
      <c r="G366" s="549"/>
      <c r="H366" s="555"/>
      <c r="I366" s="555"/>
      <c r="J366" s="555"/>
      <c r="K366" s="555"/>
      <c r="L366" s="555"/>
    </row>
    <row r="367" spans="1:12" s="236" customFormat="1" ht="15.75" customHeight="1" x14ac:dyDescent="0.35">
      <c r="A367" s="262"/>
      <c r="B367" s="550"/>
      <c r="C367" s="536"/>
      <c r="D367" s="536"/>
      <c r="E367" s="536"/>
      <c r="F367" s="536"/>
      <c r="G367" s="536"/>
      <c r="H367" s="536"/>
      <c r="I367" s="536"/>
      <c r="J367" s="536"/>
      <c r="K367" s="536"/>
      <c r="L367" s="536"/>
    </row>
    <row r="368" spans="1:12" ht="15.75" customHeight="1" x14ac:dyDescent="0.35">
      <c r="A368" s="262"/>
      <c r="B368" s="550"/>
      <c r="C368" s="536"/>
      <c r="D368" s="536"/>
      <c r="E368" s="536"/>
      <c r="F368" s="536"/>
      <c r="G368" s="536"/>
      <c r="H368" s="536"/>
      <c r="I368" s="536"/>
      <c r="J368" s="536"/>
      <c r="K368" s="536"/>
      <c r="L368" s="536"/>
    </row>
    <row r="369" spans="1:12" x14ac:dyDescent="0.35">
      <c r="A369" s="262"/>
      <c r="B369" s="550"/>
      <c r="C369" s="536"/>
      <c r="D369" s="536"/>
      <c r="E369" s="536"/>
      <c r="F369" s="536"/>
      <c r="G369" s="536"/>
      <c r="H369" s="536"/>
      <c r="I369" s="536"/>
      <c r="J369" s="536"/>
      <c r="K369" s="536"/>
      <c r="L369" s="536"/>
    </row>
    <row r="370" spans="1:12" x14ac:dyDescent="0.35">
      <c r="A370" s="262"/>
      <c r="B370" s="550"/>
      <c r="C370" s="536"/>
      <c r="D370" s="536"/>
      <c r="E370" s="536"/>
      <c r="F370" s="536"/>
      <c r="G370" s="536"/>
      <c r="H370" s="536"/>
      <c r="I370" s="536"/>
      <c r="J370" s="536"/>
      <c r="K370" s="536"/>
      <c r="L370" s="536"/>
    </row>
    <row r="371" spans="1:12" x14ac:dyDescent="0.35">
      <c r="A371" s="262"/>
      <c r="B371" s="543"/>
      <c r="C371" s="549"/>
      <c r="D371" s="549"/>
      <c r="E371" s="549"/>
      <c r="F371" s="549"/>
      <c r="G371" s="549"/>
      <c r="H371" s="555"/>
      <c r="I371" s="555"/>
      <c r="J371" s="555"/>
      <c r="K371" s="555"/>
      <c r="L371" s="555"/>
    </row>
    <row r="372" spans="1:12" x14ac:dyDescent="0.35">
      <c r="A372" s="262"/>
      <c r="B372" s="552"/>
      <c r="C372" s="549"/>
      <c r="D372" s="549"/>
      <c r="E372" s="549"/>
      <c r="F372" s="549"/>
      <c r="G372" s="549"/>
      <c r="H372" s="555"/>
      <c r="I372" s="555"/>
      <c r="J372" s="555"/>
      <c r="K372" s="555"/>
      <c r="L372" s="555"/>
    </row>
    <row r="373" spans="1:12" x14ac:dyDescent="0.35">
      <c r="A373" s="262"/>
      <c r="B373" s="550"/>
      <c r="C373" s="547"/>
      <c r="D373" s="547"/>
      <c r="E373" s="547"/>
      <c r="F373" s="549"/>
      <c r="G373" s="549"/>
      <c r="H373" s="555"/>
      <c r="I373" s="555"/>
      <c r="J373" s="555"/>
      <c r="K373" s="555"/>
      <c r="L373" s="555"/>
    </row>
    <row r="374" spans="1:12" ht="15.75" customHeight="1" x14ac:dyDescent="0.35">
      <c r="A374" s="262"/>
      <c r="B374" s="543"/>
      <c r="C374" s="549"/>
      <c r="D374" s="549"/>
      <c r="E374" s="549"/>
      <c r="F374" s="549"/>
      <c r="G374" s="549"/>
      <c r="H374" s="555"/>
      <c r="I374" s="555"/>
      <c r="J374" s="555"/>
      <c r="K374" s="555"/>
      <c r="L374" s="555"/>
    </row>
    <row r="375" spans="1:12" ht="15.75" customHeight="1" x14ac:dyDescent="0.35">
      <c r="A375" s="262"/>
      <c r="B375" s="543"/>
      <c r="C375" s="549"/>
      <c r="D375" s="549"/>
      <c r="E375" s="549"/>
      <c r="F375" s="549"/>
      <c r="G375" s="549"/>
      <c r="H375" s="555"/>
      <c r="I375" s="555"/>
      <c r="J375" s="555"/>
      <c r="K375" s="555"/>
      <c r="L375" s="555"/>
    </row>
    <row r="376" spans="1:12" ht="15.75" customHeight="1" x14ac:dyDescent="0.35">
      <c r="A376" s="262"/>
      <c r="B376" s="543"/>
      <c r="C376" s="549"/>
      <c r="D376" s="549"/>
      <c r="E376" s="549"/>
      <c r="F376" s="549"/>
      <c r="G376" s="549"/>
      <c r="H376" s="555"/>
      <c r="I376" s="555"/>
      <c r="J376" s="555"/>
      <c r="K376" s="555"/>
      <c r="L376" s="555"/>
    </row>
    <row r="377" spans="1:12" ht="15.75" customHeight="1" x14ac:dyDescent="0.35">
      <c r="A377" s="262"/>
      <c r="B377" s="543"/>
      <c r="C377" s="549"/>
      <c r="D377" s="549"/>
      <c r="E377" s="549"/>
      <c r="F377" s="549"/>
      <c r="G377" s="549"/>
      <c r="H377" s="555"/>
      <c r="I377" s="555"/>
      <c r="J377" s="555"/>
      <c r="K377" s="555"/>
      <c r="L377" s="555"/>
    </row>
    <row r="378" spans="1:12" ht="15.75" customHeight="1" x14ac:dyDescent="0.35">
      <c r="A378" s="262"/>
      <c r="B378" s="550"/>
      <c r="C378" s="536"/>
      <c r="D378" s="536"/>
      <c r="E378" s="536"/>
      <c r="F378" s="536"/>
      <c r="G378" s="536"/>
      <c r="H378" s="536"/>
      <c r="I378" s="536"/>
      <c r="J378" s="536"/>
      <c r="K378" s="536"/>
      <c r="L378" s="536"/>
    </row>
    <row r="379" spans="1:12" ht="22.5" customHeight="1" x14ac:dyDescent="0.35">
      <c r="A379" s="262"/>
      <c r="B379" s="550"/>
      <c r="C379" s="536"/>
      <c r="D379" s="536"/>
      <c r="E379" s="536"/>
      <c r="F379" s="536"/>
      <c r="G379" s="536"/>
      <c r="H379" s="536"/>
      <c r="I379" s="536"/>
      <c r="J379" s="536"/>
      <c r="K379" s="536"/>
      <c r="L379" s="536"/>
    </row>
    <row r="380" spans="1:12" x14ac:dyDescent="0.35">
      <c r="A380" s="262"/>
      <c r="B380" s="550"/>
      <c r="C380" s="536"/>
      <c r="D380" s="536"/>
      <c r="E380" s="536"/>
      <c r="F380" s="536"/>
      <c r="G380" s="536"/>
      <c r="H380" s="536"/>
      <c r="I380" s="536"/>
      <c r="J380" s="536"/>
      <c r="K380" s="536"/>
      <c r="L380" s="536"/>
    </row>
    <row r="381" spans="1:12" x14ac:dyDescent="0.35">
      <c r="A381" s="262"/>
      <c r="B381" s="567"/>
      <c r="C381" s="568"/>
      <c r="D381" s="568"/>
      <c r="E381" s="568"/>
      <c r="F381" s="568"/>
      <c r="G381" s="568"/>
      <c r="H381" s="569"/>
      <c r="I381" s="569"/>
      <c r="J381" s="569"/>
      <c r="K381" s="569"/>
      <c r="L381" s="569"/>
    </row>
    <row r="382" spans="1:12" x14ac:dyDescent="0.35">
      <c r="A382" s="262"/>
      <c r="B382" s="563"/>
      <c r="C382" s="563"/>
      <c r="D382" s="563"/>
      <c r="E382" s="563"/>
      <c r="F382" s="563"/>
      <c r="G382" s="563"/>
      <c r="H382" s="563"/>
      <c r="I382" s="563"/>
      <c r="J382" s="563"/>
      <c r="K382" s="563"/>
      <c r="L382" s="563"/>
    </row>
    <row r="383" spans="1:12" x14ac:dyDescent="0.35">
      <c r="A383" s="262"/>
      <c r="B383" s="563"/>
      <c r="C383" s="563"/>
      <c r="D383" s="563"/>
      <c r="E383" s="563"/>
      <c r="F383" s="563"/>
      <c r="G383" s="563"/>
      <c r="H383" s="563"/>
      <c r="I383" s="563"/>
      <c r="J383" s="563"/>
      <c r="K383" s="563"/>
      <c r="L383" s="563"/>
    </row>
    <row r="384" spans="1:12" ht="15.75" customHeight="1" x14ac:dyDescent="0.35">
      <c r="A384" s="262"/>
      <c r="B384" s="563"/>
      <c r="C384" s="563"/>
      <c r="D384" s="570"/>
      <c r="E384" s="570"/>
      <c r="F384" s="570"/>
      <c r="G384" s="570"/>
      <c r="H384" s="570"/>
      <c r="I384" s="570"/>
      <c r="J384" s="570"/>
      <c r="K384" s="570"/>
      <c r="L384" s="570"/>
    </row>
    <row r="385" spans="1:12" x14ac:dyDescent="0.35">
      <c r="A385" s="262"/>
      <c r="B385" s="563"/>
      <c r="C385" s="571"/>
      <c r="D385" s="571"/>
      <c r="E385" s="571"/>
      <c r="F385" s="572"/>
      <c r="G385" s="570"/>
      <c r="H385" s="570"/>
      <c r="I385" s="570"/>
      <c r="J385" s="570"/>
      <c r="K385" s="570"/>
      <c r="L385" s="570"/>
    </row>
    <row r="386" spans="1:12" ht="15.75" customHeight="1" x14ac:dyDescent="0.35">
      <c r="A386" s="262"/>
      <c r="B386" s="563"/>
      <c r="C386" s="568"/>
      <c r="D386" s="568"/>
      <c r="E386" s="568"/>
      <c r="F386" s="563"/>
      <c r="G386" s="570"/>
      <c r="H386" s="570"/>
      <c r="I386" s="570"/>
      <c r="J386" s="570"/>
      <c r="K386" s="570"/>
      <c r="L386" s="570"/>
    </row>
    <row r="387" spans="1:12" x14ac:dyDescent="0.35">
      <c r="A387" s="262"/>
      <c r="B387" s="563"/>
      <c r="C387" s="568"/>
      <c r="D387" s="568"/>
      <c r="E387" s="568"/>
      <c r="F387" s="563"/>
      <c r="G387" s="570"/>
      <c r="H387" s="570"/>
      <c r="I387" s="570"/>
      <c r="J387" s="570"/>
      <c r="K387" s="570"/>
      <c r="L387" s="570"/>
    </row>
    <row r="388" spans="1:12" x14ac:dyDescent="0.35">
      <c r="A388" s="262"/>
      <c r="B388" s="563"/>
      <c r="C388" s="568"/>
      <c r="D388" s="568"/>
      <c r="E388" s="568"/>
      <c r="F388" s="563"/>
      <c r="G388" s="570"/>
      <c r="H388" s="570"/>
      <c r="I388" s="570"/>
      <c r="J388" s="570"/>
      <c r="K388" s="570"/>
      <c r="L388" s="570"/>
    </row>
    <row r="389" spans="1:12" x14ac:dyDescent="0.35">
      <c r="A389" s="262"/>
      <c r="B389" s="563"/>
      <c r="C389" s="568"/>
      <c r="D389" s="568"/>
      <c r="E389" s="568"/>
      <c r="F389" s="563"/>
      <c r="G389" s="570"/>
      <c r="H389" s="570"/>
      <c r="I389" s="570"/>
      <c r="J389" s="570"/>
      <c r="K389" s="570"/>
      <c r="L389" s="570"/>
    </row>
    <row r="390" spans="1:12" x14ac:dyDescent="0.35">
      <c r="A390" s="262"/>
      <c r="B390" s="563"/>
      <c r="C390" s="568"/>
      <c r="D390" s="568"/>
      <c r="E390" s="568"/>
      <c r="F390" s="563"/>
      <c r="G390" s="570"/>
      <c r="H390" s="570"/>
      <c r="I390" s="570"/>
      <c r="J390" s="570"/>
      <c r="K390" s="570"/>
      <c r="L390" s="570"/>
    </row>
    <row r="391" spans="1:12" x14ac:dyDescent="0.35">
      <c r="A391" s="262"/>
      <c r="B391" s="563"/>
      <c r="C391" s="568"/>
      <c r="D391" s="568"/>
      <c r="E391" s="568"/>
      <c r="F391" s="563"/>
      <c r="G391" s="570"/>
      <c r="H391" s="570"/>
      <c r="I391" s="570"/>
      <c r="J391" s="570"/>
      <c r="K391" s="570"/>
      <c r="L391" s="570"/>
    </row>
    <row r="392" spans="1:12" x14ac:dyDescent="0.35">
      <c r="A392" s="262"/>
      <c r="B392" s="543"/>
      <c r="C392" s="568"/>
      <c r="D392" s="568"/>
      <c r="E392" s="568"/>
      <c r="F392" s="563"/>
      <c r="G392" s="570"/>
      <c r="H392" s="570"/>
      <c r="I392" s="570"/>
      <c r="J392" s="570"/>
      <c r="K392" s="570"/>
      <c r="L392" s="570"/>
    </row>
    <row r="393" spans="1:12" x14ac:dyDescent="0.35">
      <c r="A393" s="262"/>
      <c r="B393" s="543"/>
      <c r="C393" s="549"/>
      <c r="D393" s="549"/>
      <c r="E393" s="549"/>
      <c r="F393" s="549"/>
      <c r="G393" s="549"/>
      <c r="H393" s="553"/>
      <c r="I393" s="543"/>
      <c r="J393" s="543"/>
      <c r="K393" s="543"/>
      <c r="L393" s="543"/>
    </row>
    <row r="394" spans="1:12" x14ac:dyDescent="0.35">
      <c r="A394" s="262"/>
      <c r="B394" s="543"/>
      <c r="C394" s="549"/>
      <c r="D394" s="549"/>
      <c r="E394" s="549"/>
      <c r="F394" s="549"/>
      <c r="G394" s="549"/>
      <c r="H394" s="553"/>
      <c r="I394" s="543"/>
      <c r="J394" s="543"/>
      <c r="K394" s="543"/>
      <c r="L394" s="543"/>
    </row>
    <row r="395" spans="1:12" x14ac:dyDescent="0.35">
      <c r="A395" s="262"/>
      <c r="B395" s="543"/>
      <c r="C395" s="549"/>
      <c r="D395" s="549"/>
      <c r="E395" s="549"/>
      <c r="F395" s="549"/>
      <c r="G395" s="549"/>
      <c r="H395" s="553"/>
      <c r="I395" s="543"/>
      <c r="J395" s="543"/>
      <c r="K395" s="543"/>
      <c r="L395" s="543"/>
    </row>
    <row r="396" spans="1:12" x14ac:dyDescent="0.35">
      <c r="A396" s="262"/>
      <c r="B396" s="543"/>
      <c r="C396" s="549"/>
      <c r="D396" s="549"/>
      <c r="E396" s="549"/>
      <c r="F396" s="549"/>
      <c r="G396" s="549"/>
      <c r="H396" s="553"/>
      <c r="I396" s="543"/>
      <c r="J396" s="543"/>
      <c r="K396" s="543"/>
      <c r="L396" s="543"/>
    </row>
    <row r="397" spans="1:12" x14ac:dyDescent="0.35">
      <c r="A397" s="262"/>
      <c r="B397" s="550"/>
      <c r="C397" s="549"/>
      <c r="D397" s="549"/>
      <c r="E397" s="549"/>
      <c r="F397" s="549"/>
      <c r="G397" s="549"/>
      <c r="H397" s="553"/>
      <c r="I397" s="543"/>
      <c r="J397" s="543"/>
      <c r="K397" s="543"/>
      <c r="L397" s="543"/>
    </row>
    <row r="398" spans="1:12" ht="15.75" customHeight="1" x14ac:dyDescent="0.35">
      <c r="A398" s="262"/>
      <c r="B398" s="550"/>
      <c r="C398" s="549"/>
      <c r="D398" s="549"/>
      <c r="E398" s="549"/>
      <c r="F398" s="549"/>
      <c r="G398" s="549"/>
      <c r="H398" s="553"/>
      <c r="I398" s="543"/>
      <c r="J398" s="543"/>
      <c r="K398" s="543"/>
      <c r="L398" s="543"/>
    </row>
    <row r="399" spans="1:12" x14ac:dyDescent="0.35">
      <c r="A399" s="262"/>
      <c r="B399" s="550"/>
      <c r="C399" s="549"/>
      <c r="D399" s="549"/>
      <c r="E399" s="549"/>
      <c r="F399" s="549"/>
      <c r="G399" s="549"/>
      <c r="H399" s="553"/>
      <c r="I399" s="543"/>
      <c r="J399" s="543"/>
      <c r="K399" s="543"/>
      <c r="L399" s="543"/>
    </row>
    <row r="400" spans="1:12" x14ac:dyDescent="0.35">
      <c r="A400" s="262"/>
      <c r="B400" s="550"/>
      <c r="C400" s="549"/>
      <c r="D400" s="549"/>
      <c r="E400" s="549"/>
      <c r="F400" s="549"/>
      <c r="G400" s="549"/>
      <c r="H400" s="553"/>
      <c r="I400" s="543"/>
      <c r="J400" s="543"/>
      <c r="K400" s="543"/>
      <c r="L400" s="543"/>
    </row>
    <row r="401" spans="1:12" x14ac:dyDescent="0.35">
      <c r="A401" s="262"/>
      <c r="B401" s="550"/>
      <c r="C401" s="549"/>
      <c r="D401" s="549"/>
      <c r="E401" s="549"/>
      <c r="F401" s="549"/>
      <c r="G401" s="549"/>
      <c r="H401" s="553"/>
      <c r="I401" s="543"/>
      <c r="J401" s="543"/>
      <c r="K401" s="543"/>
      <c r="L401" s="543"/>
    </row>
    <row r="402" spans="1:12" x14ac:dyDescent="0.35">
      <c r="A402" s="262"/>
      <c r="B402" s="550"/>
      <c r="C402" s="549"/>
      <c r="D402" s="549"/>
      <c r="E402" s="549"/>
      <c r="F402" s="549"/>
      <c r="G402" s="549"/>
      <c r="H402" s="553"/>
      <c r="I402" s="543"/>
      <c r="J402" s="543"/>
      <c r="K402" s="543"/>
      <c r="L402" s="543"/>
    </row>
    <row r="403" spans="1:12" x14ac:dyDescent="0.35">
      <c r="A403" s="262"/>
      <c r="B403" s="550"/>
      <c r="C403" s="549"/>
      <c r="D403" s="549"/>
      <c r="E403" s="549"/>
      <c r="F403" s="549"/>
      <c r="G403" s="549"/>
      <c r="H403" s="553"/>
      <c r="I403" s="543"/>
      <c r="J403" s="543"/>
      <c r="K403" s="543"/>
      <c r="L403" s="543"/>
    </row>
    <row r="404" spans="1:12" x14ac:dyDescent="0.35">
      <c r="A404" s="262"/>
      <c r="B404" s="550"/>
      <c r="C404" s="549"/>
      <c r="D404" s="549"/>
      <c r="E404" s="549"/>
      <c r="F404" s="549"/>
      <c r="G404" s="549"/>
      <c r="H404" s="553"/>
      <c r="I404" s="543"/>
      <c r="J404" s="543"/>
      <c r="K404" s="543"/>
      <c r="L404" s="543"/>
    </row>
    <row r="405" spans="1:12" x14ac:dyDescent="0.35">
      <c r="A405" s="262"/>
      <c r="B405" s="550"/>
      <c r="C405" s="549"/>
      <c r="D405" s="549"/>
      <c r="E405" s="549"/>
      <c r="F405" s="549"/>
      <c r="G405" s="549"/>
      <c r="H405" s="553"/>
      <c r="I405" s="543"/>
      <c r="J405" s="543"/>
      <c r="K405" s="543"/>
      <c r="L405" s="543"/>
    </row>
    <row r="406" spans="1:12" x14ac:dyDescent="0.35">
      <c r="A406" s="262"/>
      <c r="B406" s="550"/>
      <c r="C406" s="549"/>
      <c r="D406" s="549"/>
      <c r="E406" s="549"/>
      <c r="F406" s="549"/>
      <c r="G406" s="549"/>
      <c r="H406" s="553"/>
      <c r="I406" s="543"/>
      <c r="J406" s="543"/>
      <c r="K406" s="543"/>
      <c r="L406" s="543"/>
    </row>
    <row r="407" spans="1:12" x14ac:dyDescent="0.35">
      <c r="A407" s="262"/>
      <c r="B407" s="550"/>
      <c r="C407" s="549"/>
      <c r="D407" s="549"/>
      <c r="E407" s="549"/>
      <c r="F407" s="549"/>
      <c r="G407" s="549"/>
      <c r="H407" s="553"/>
      <c r="I407" s="543"/>
      <c r="J407" s="543"/>
      <c r="K407" s="543"/>
      <c r="L407" s="543"/>
    </row>
    <row r="408" spans="1:12" x14ac:dyDescent="0.35">
      <c r="A408" s="262"/>
      <c r="B408" s="550"/>
      <c r="C408" s="549"/>
      <c r="D408" s="549"/>
      <c r="E408" s="549"/>
      <c r="F408" s="549"/>
      <c r="G408" s="549"/>
      <c r="H408" s="553"/>
      <c r="I408" s="543"/>
      <c r="J408" s="543"/>
      <c r="K408" s="543"/>
      <c r="L408" s="543"/>
    </row>
    <row r="409" spans="1:12" x14ac:dyDescent="0.35">
      <c r="A409" s="262"/>
      <c r="B409" s="550"/>
      <c r="C409" s="549"/>
      <c r="D409" s="549"/>
      <c r="E409" s="549"/>
      <c r="F409" s="549"/>
      <c r="G409" s="549"/>
      <c r="H409" s="553"/>
      <c r="I409" s="543"/>
      <c r="J409" s="543"/>
      <c r="K409" s="543"/>
      <c r="L409" s="543"/>
    </row>
    <row r="410" spans="1:12" x14ac:dyDescent="0.35">
      <c r="A410" s="262"/>
      <c r="B410" s="550"/>
      <c r="C410" s="549"/>
      <c r="D410" s="549"/>
      <c r="E410" s="549"/>
      <c r="F410" s="549"/>
      <c r="G410" s="549"/>
      <c r="H410" s="553"/>
      <c r="I410" s="543"/>
      <c r="J410" s="543"/>
      <c r="K410" s="543"/>
      <c r="L410" s="543"/>
    </row>
    <row r="411" spans="1:12" x14ac:dyDescent="0.35">
      <c r="A411" s="262"/>
      <c r="B411" s="550"/>
      <c r="C411" s="549"/>
      <c r="D411" s="549"/>
      <c r="E411" s="549"/>
      <c r="F411" s="549"/>
      <c r="G411" s="549"/>
      <c r="H411" s="553"/>
      <c r="I411" s="543"/>
      <c r="J411" s="543"/>
      <c r="K411" s="543"/>
      <c r="L411" s="543"/>
    </row>
    <row r="412" spans="1:12" x14ac:dyDescent="0.35">
      <c r="A412" s="262"/>
      <c r="B412" s="550"/>
      <c r="C412" s="549"/>
      <c r="D412" s="549"/>
      <c r="E412" s="549"/>
      <c r="F412" s="549"/>
      <c r="G412" s="549"/>
      <c r="H412" s="553"/>
      <c r="I412" s="543"/>
      <c r="J412" s="543"/>
      <c r="K412" s="543"/>
      <c r="L412" s="543"/>
    </row>
    <row r="413" spans="1:12" x14ac:dyDescent="0.35">
      <c r="A413" s="262"/>
      <c r="B413" s="550"/>
      <c r="C413" s="549"/>
      <c r="D413" s="549"/>
      <c r="E413" s="549"/>
      <c r="F413" s="549"/>
      <c r="G413" s="549"/>
      <c r="H413" s="553"/>
      <c r="I413" s="543"/>
      <c r="J413" s="543"/>
      <c r="K413" s="543"/>
      <c r="L413" s="543"/>
    </row>
    <row r="414" spans="1:12" x14ac:dyDescent="0.35">
      <c r="A414" s="262"/>
      <c r="B414" s="550"/>
      <c r="C414" s="549"/>
      <c r="D414" s="549"/>
      <c r="E414" s="549"/>
      <c r="F414" s="549"/>
      <c r="G414" s="549"/>
      <c r="H414" s="553"/>
      <c r="I414" s="543"/>
      <c r="J414" s="543"/>
      <c r="K414" s="543"/>
      <c r="L414" s="543"/>
    </row>
    <row r="415" spans="1:12" x14ac:dyDescent="0.35">
      <c r="A415" s="262"/>
      <c r="B415" s="550"/>
      <c r="C415" s="549"/>
      <c r="D415" s="549"/>
      <c r="E415" s="549"/>
      <c r="F415" s="549"/>
      <c r="G415" s="549"/>
      <c r="H415" s="553"/>
      <c r="I415" s="543"/>
      <c r="J415" s="543"/>
      <c r="K415" s="543"/>
      <c r="L415" s="543"/>
    </row>
    <row r="416" spans="1:12" x14ac:dyDescent="0.35">
      <c r="A416" s="262"/>
      <c r="B416" s="550"/>
      <c r="C416" s="549"/>
      <c r="D416" s="549"/>
      <c r="E416" s="549"/>
      <c r="F416" s="549"/>
      <c r="G416" s="549"/>
      <c r="H416" s="553"/>
      <c r="I416" s="543"/>
      <c r="J416" s="543"/>
      <c r="K416" s="543"/>
      <c r="L416" s="543"/>
    </row>
    <row r="417" spans="1:12" ht="15" customHeight="1" x14ac:dyDescent="0.35">
      <c r="A417" s="262"/>
      <c r="B417" s="550"/>
      <c r="C417" s="549"/>
      <c r="D417" s="549"/>
      <c r="E417" s="549"/>
      <c r="F417" s="549"/>
      <c r="G417" s="549"/>
      <c r="H417" s="553"/>
      <c r="I417" s="543"/>
      <c r="J417" s="543"/>
      <c r="K417" s="543"/>
      <c r="L417" s="543"/>
    </row>
    <row r="418" spans="1:12" x14ac:dyDescent="0.35">
      <c r="A418" s="262"/>
      <c r="B418" s="550"/>
      <c r="C418" s="549"/>
      <c r="D418" s="549"/>
      <c r="E418" s="549"/>
      <c r="F418" s="549"/>
      <c r="G418" s="549"/>
      <c r="H418" s="553"/>
      <c r="I418" s="543"/>
      <c r="J418" s="543"/>
      <c r="K418" s="543"/>
      <c r="L418" s="543"/>
    </row>
    <row r="419" spans="1:12" x14ac:dyDescent="0.35">
      <c r="A419" s="262"/>
      <c r="B419" s="550"/>
      <c r="C419" s="549"/>
      <c r="D419" s="549"/>
      <c r="E419" s="549"/>
      <c r="F419" s="549"/>
      <c r="G419" s="549"/>
      <c r="H419" s="553"/>
      <c r="I419" s="543"/>
      <c r="J419" s="543"/>
      <c r="K419" s="543"/>
      <c r="L419" s="543"/>
    </row>
    <row r="420" spans="1:12" x14ac:dyDescent="0.35">
      <c r="A420" s="262"/>
      <c r="B420" s="550"/>
      <c r="C420" s="549"/>
      <c r="D420" s="549"/>
      <c r="E420" s="549"/>
      <c r="F420" s="549"/>
      <c r="G420" s="549"/>
      <c r="H420" s="553"/>
      <c r="I420" s="543"/>
      <c r="J420" s="543"/>
      <c r="K420" s="543"/>
      <c r="L420" s="543"/>
    </row>
    <row r="421" spans="1:12" x14ac:dyDescent="0.35">
      <c r="A421" s="262"/>
      <c r="B421" s="550"/>
      <c r="C421" s="549"/>
      <c r="D421" s="549"/>
      <c r="E421" s="549"/>
      <c r="F421" s="549"/>
      <c r="G421" s="549"/>
      <c r="H421" s="553"/>
      <c r="I421" s="543"/>
      <c r="J421" s="543"/>
      <c r="K421" s="543"/>
      <c r="L421" s="543"/>
    </row>
    <row r="422" spans="1:12" ht="15" customHeight="1" x14ac:dyDescent="0.35">
      <c r="A422" s="262"/>
      <c r="B422" s="550"/>
      <c r="C422" s="549"/>
      <c r="D422" s="549"/>
      <c r="E422" s="549"/>
      <c r="F422" s="549"/>
      <c r="G422" s="549"/>
      <c r="H422" s="553"/>
      <c r="I422" s="543"/>
      <c r="J422" s="543"/>
      <c r="K422" s="543"/>
      <c r="L422" s="543"/>
    </row>
    <row r="423" spans="1:12" x14ac:dyDescent="0.35">
      <c r="A423" s="262"/>
      <c r="B423" s="550"/>
      <c r="C423" s="549"/>
      <c r="D423" s="549"/>
      <c r="E423" s="549"/>
      <c r="F423" s="549"/>
      <c r="G423" s="549"/>
      <c r="H423" s="553"/>
      <c r="I423" s="543"/>
      <c r="J423" s="543"/>
      <c r="K423" s="543"/>
      <c r="L423" s="543"/>
    </row>
    <row r="424" spans="1:12" x14ac:dyDescent="0.35">
      <c r="A424" s="262"/>
      <c r="B424" s="550"/>
      <c r="C424" s="549"/>
      <c r="D424" s="549"/>
      <c r="E424" s="549"/>
      <c r="F424" s="549"/>
      <c r="G424" s="549"/>
      <c r="H424" s="553"/>
      <c r="I424" s="543"/>
      <c r="J424" s="543"/>
      <c r="K424" s="543"/>
      <c r="L424" s="543"/>
    </row>
    <row r="425" spans="1:12" x14ac:dyDescent="0.35">
      <c r="A425" s="262"/>
      <c r="B425" s="550"/>
      <c r="C425" s="549"/>
      <c r="D425" s="549"/>
      <c r="E425" s="549"/>
      <c r="F425" s="549"/>
      <c r="G425" s="549"/>
      <c r="H425" s="553"/>
      <c r="I425" s="543"/>
      <c r="J425" s="543"/>
      <c r="K425" s="543"/>
      <c r="L425" s="543"/>
    </row>
    <row r="426" spans="1:12" x14ac:dyDescent="0.35">
      <c r="A426" s="262"/>
      <c r="B426" s="550"/>
      <c r="C426" s="549"/>
      <c r="D426" s="549"/>
      <c r="E426" s="549"/>
      <c r="F426" s="549"/>
      <c r="G426" s="549"/>
      <c r="H426" s="553"/>
      <c r="I426" s="543"/>
      <c r="J426" s="543"/>
      <c r="K426" s="543"/>
      <c r="L426" s="543"/>
    </row>
    <row r="427" spans="1:12" x14ac:dyDescent="0.35">
      <c r="A427" s="262"/>
      <c r="B427" s="550"/>
      <c r="C427" s="549"/>
      <c r="D427" s="549"/>
      <c r="E427" s="549"/>
      <c r="F427" s="549"/>
      <c r="G427" s="549"/>
      <c r="H427" s="553"/>
      <c r="I427" s="543"/>
      <c r="J427" s="543"/>
      <c r="K427" s="543"/>
      <c r="L427" s="543"/>
    </row>
    <row r="428" spans="1:12" x14ac:dyDescent="0.35">
      <c r="A428" s="262"/>
      <c r="B428" s="550"/>
      <c r="C428" s="549"/>
      <c r="D428" s="549"/>
      <c r="E428" s="549"/>
      <c r="F428" s="549"/>
      <c r="G428" s="549"/>
      <c r="H428" s="553"/>
      <c r="I428" s="543"/>
      <c r="J428" s="543"/>
      <c r="K428" s="543"/>
      <c r="L428" s="543"/>
    </row>
    <row r="429" spans="1:12" x14ac:dyDescent="0.35">
      <c r="A429" s="262"/>
      <c r="B429" s="550"/>
      <c r="C429" s="549"/>
      <c r="D429" s="549"/>
      <c r="E429" s="549"/>
      <c r="F429" s="549"/>
      <c r="G429" s="549"/>
      <c r="H429" s="553"/>
      <c r="I429" s="543"/>
      <c r="J429" s="543"/>
      <c r="K429" s="543"/>
      <c r="L429" s="543"/>
    </row>
    <row r="430" spans="1:12" x14ac:dyDescent="0.35">
      <c r="A430" s="262"/>
      <c r="B430" s="550"/>
      <c r="C430" s="549"/>
      <c r="D430" s="549"/>
      <c r="E430" s="549"/>
      <c r="F430" s="549"/>
      <c r="G430" s="549"/>
      <c r="H430" s="553"/>
      <c r="I430" s="543"/>
      <c r="J430" s="543"/>
      <c r="K430" s="543"/>
      <c r="L430" s="543"/>
    </row>
    <row r="431" spans="1:12" x14ac:dyDescent="0.35">
      <c r="A431" s="262"/>
      <c r="B431" s="550"/>
      <c r="C431" s="549"/>
      <c r="D431" s="549"/>
      <c r="E431" s="549"/>
      <c r="F431" s="549"/>
      <c r="G431" s="549"/>
      <c r="H431" s="553"/>
      <c r="I431" s="543"/>
      <c r="J431" s="543"/>
      <c r="K431" s="543"/>
      <c r="L431" s="543"/>
    </row>
    <row r="432" spans="1:12" x14ac:dyDescent="0.35">
      <c r="A432" s="262"/>
      <c r="B432" s="550"/>
      <c r="C432" s="549"/>
      <c r="D432" s="549"/>
      <c r="E432" s="549"/>
      <c r="F432" s="549"/>
      <c r="G432" s="549"/>
      <c r="H432" s="553"/>
      <c r="I432" s="543"/>
      <c r="J432" s="543"/>
      <c r="K432" s="543"/>
      <c r="L432" s="543"/>
    </row>
    <row r="433" spans="1:12" ht="15" customHeight="1" x14ac:dyDescent="0.35">
      <c r="A433" s="262"/>
      <c r="B433" s="550"/>
      <c r="C433" s="549"/>
      <c r="D433" s="549"/>
      <c r="E433" s="549"/>
      <c r="F433" s="549"/>
      <c r="G433" s="549"/>
      <c r="H433" s="553"/>
      <c r="I433" s="543"/>
      <c r="J433" s="543"/>
      <c r="K433" s="543"/>
      <c r="L433" s="543"/>
    </row>
    <row r="434" spans="1:12" x14ac:dyDescent="0.35">
      <c r="A434" s="262"/>
      <c r="B434" s="550"/>
      <c r="C434" s="549"/>
      <c r="D434" s="549"/>
      <c r="E434" s="549"/>
      <c r="F434" s="549"/>
      <c r="G434" s="549"/>
      <c r="H434" s="553"/>
      <c r="I434" s="543"/>
      <c r="J434" s="543"/>
      <c r="K434" s="543"/>
      <c r="L434" s="543"/>
    </row>
    <row r="435" spans="1:12" x14ac:dyDescent="0.35">
      <c r="A435" s="262"/>
      <c r="B435" s="550"/>
      <c r="C435" s="549"/>
      <c r="D435" s="549"/>
      <c r="E435" s="549"/>
      <c r="F435" s="549"/>
      <c r="G435" s="549"/>
      <c r="H435" s="553"/>
      <c r="I435" s="543"/>
      <c r="J435" s="543"/>
      <c r="K435" s="543"/>
      <c r="L435" s="543"/>
    </row>
    <row r="436" spans="1:12" x14ac:dyDescent="0.35">
      <c r="A436" s="262"/>
      <c r="B436" s="550"/>
      <c r="C436" s="549"/>
      <c r="D436" s="549"/>
      <c r="E436" s="549"/>
      <c r="F436" s="549"/>
      <c r="G436" s="549"/>
      <c r="H436" s="553"/>
      <c r="I436" s="543"/>
      <c r="J436" s="543"/>
      <c r="K436" s="543"/>
      <c r="L436" s="543"/>
    </row>
    <row r="437" spans="1:12" x14ac:dyDescent="0.35">
      <c r="A437" s="262"/>
      <c r="B437" s="550"/>
      <c r="C437" s="549"/>
      <c r="D437" s="549"/>
      <c r="E437" s="549"/>
      <c r="F437" s="549"/>
      <c r="G437" s="549"/>
      <c r="H437" s="553"/>
      <c r="I437" s="543"/>
      <c r="J437" s="543"/>
      <c r="K437" s="543"/>
      <c r="L437" s="543"/>
    </row>
    <row r="438" spans="1:12" x14ac:dyDescent="0.35">
      <c r="A438" s="262"/>
      <c r="B438" s="550"/>
      <c r="C438" s="549"/>
      <c r="D438" s="549"/>
      <c r="E438" s="549"/>
      <c r="F438" s="549"/>
      <c r="G438" s="549"/>
      <c r="H438" s="553"/>
      <c r="I438" s="543"/>
      <c r="J438" s="543"/>
      <c r="K438" s="543"/>
      <c r="L438" s="543"/>
    </row>
    <row r="439" spans="1:12" x14ac:dyDescent="0.35">
      <c r="A439" s="262"/>
      <c r="B439" s="550"/>
      <c r="C439" s="549"/>
      <c r="D439" s="549"/>
      <c r="E439" s="549"/>
      <c r="F439" s="549"/>
      <c r="G439" s="549"/>
      <c r="H439" s="553"/>
      <c r="I439" s="543"/>
      <c r="J439" s="543"/>
      <c r="K439" s="543"/>
      <c r="L439" s="543"/>
    </row>
    <row r="440" spans="1:12" x14ac:dyDescent="0.35">
      <c r="A440" s="262"/>
      <c r="B440" s="550"/>
      <c r="C440" s="549"/>
      <c r="D440" s="549"/>
      <c r="E440" s="549"/>
      <c r="F440" s="549"/>
      <c r="G440" s="549"/>
      <c r="H440" s="553"/>
      <c r="I440" s="543"/>
      <c r="J440" s="543"/>
      <c r="K440" s="543"/>
      <c r="L440" s="543"/>
    </row>
    <row r="441" spans="1:12" x14ac:dyDescent="0.35">
      <c r="A441" s="262"/>
      <c r="B441" s="550"/>
      <c r="C441" s="549"/>
      <c r="D441" s="549"/>
      <c r="E441" s="549"/>
      <c r="F441" s="549"/>
      <c r="G441" s="549"/>
      <c r="H441" s="553"/>
      <c r="I441" s="543"/>
      <c r="J441" s="543"/>
      <c r="K441" s="543"/>
      <c r="L441" s="543"/>
    </row>
    <row r="442" spans="1:12" ht="15" customHeight="1" x14ac:dyDescent="0.35">
      <c r="A442" s="262"/>
      <c r="B442" s="550"/>
      <c r="C442" s="549"/>
      <c r="D442" s="549"/>
      <c r="E442" s="549"/>
      <c r="F442" s="549"/>
      <c r="G442" s="549"/>
      <c r="H442" s="553"/>
      <c r="I442" s="543"/>
      <c r="J442" s="543"/>
      <c r="K442" s="543"/>
      <c r="L442" s="543"/>
    </row>
    <row r="443" spans="1:12" x14ac:dyDescent="0.35">
      <c r="A443" s="262"/>
      <c r="B443" s="550"/>
      <c r="C443" s="549"/>
      <c r="D443" s="549"/>
      <c r="E443" s="549"/>
      <c r="F443" s="549"/>
      <c r="G443" s="549"/>
      <c r="H443" s="553"/>
      <c r="I443" s="543"/>
      <c r="J443" s="543"/>
      <c r="K443" s="543"/>
      <c r="L443" s="543"/>
    </row>
    <row r="444" spans="1:12" x14ac:dyDescent="0.35">
      <c r="A444" s="262"/>
      <c r="B444" s="550"/>
      <c r="C444" s="549"/>
      <c r="D444" s="549"/>
      <c r="E444" s="549"/>
      <c r="F444" s="549"/>
      <c r="G444" s="549"/>
      <c r="H444" s="553"/>
      <c r="I444" s="543"/>
      <c r="J444" s="543"/>
      <c r="K444" s="543"/>
      <c r="L444" s="543"/>
    </row>
    <row r="445" spans="1:12" ht="15.75" customHeight="1" x14ac:dyDescent="0.35">
      <c r="A445" s="262"/>
      <c r="B445" s="550"/>
      <c r="C445" s="549"/>
      <c r="D445" s="549"/>
      <c r="E445" s="549"/>
      <c r="F445" s="549"/>
      <c r="G445" s="549"/>
      <c r="H445" s="553"/>
      <c r="I445" s="543"/>
      <c r="J445" s="543"/>
      <c r="K445" s="543"/>
      <c r="L445" s="543"/>
    </row>
    <row r="446" spans="1:12" x14ac:dyDescent="0.35">
      <c r="A446" s="262"/>
      <c r="B446" s="550"/>
      <c r="C446" s="549"/>
      <c r="D446" s="549"/>
      <c r="E446" s="549"/>
      <c r="F446" s="549"/>
      <c r="G446" s="549"/>
      <c r="H446" s="553"/>
      <c r="I446" s="543"/>
      <c r="J446" s="543"/>
      <c r="K446" s="543"/>
      <c r="L446" s="543"/>
    </row>
    <row r="447" spans="1:12" x14ac:dyDescent="0.35">
      <c r="A447" s="262"/>
      <c r="B447" s="550"/>
      <c r="C447" s="549"/>
      <c r="D447" s="549"/>
      <c r="E447" s="549"/>
      <c r="F447" s="549"/>
      <c r="G447" s="549"/>
      <c r="H447" s="553"/>
      <c r="I447" s="543"/>
      <c r="J447" s="543"/>
      <c r="K447" s="543"/>
      <c r="L447" s="543"/>
    </row>
    <row r="448" spans="1:12" x14ac:dyDescent="0.35">
      <c r="A448" s="262"/>
      <c r="B448" s="550"/>
      <c r="C448" s="549"/>
      <c r="D448" s="549"/>
      <c r="E448" s="549"/>
      <c r="F448" s="549"/>
      <c r="G448" s="549"/>
      <c r="H448" s="553"/>
      <c r="I448" s="543"/>
      <c r="J448" s="543"/>
      <c r="K448" s="543"/>
      <c r="L448" s="543"/>
    </row>
    <row r="449" spans="1:12" x14ac:dyDescent="0.35">
      <c r="A449" s="262"/>
      <c r="B449" s="550"/>
      <c r="C449" s="549"/>
      <c r="D449" s="549"/>
      <c r="E449" s="549"/>
      <c r="F449" s="549"/>
      <c r="G449" s="549"/>
      <c r="H449" s="553"/>
      <c r="I449" s="543"/>
      <c r="J449" s="543"/>
      <c r="K449" s="543"/>
      <c r="L449" s="543"/>
    </row>
    <row r="450" spans="1:12" x14ac:dyDescent="0.35">
      <c r="A450" s="262"/>
      <c r="B450" s="550"/>
      <c r="C450" s="549"/>
      <c r="D450" s="549"/>
      <c r="E450" s="549"/>
      <c r="F450" s="549"/>
      <c r="G450" s="549"/>
      <c r="H450" s="553"/>
      <c r="I450" s="543"/>
      <c r="J450" s="543"/>
      <c r="K450" s="543"/>
      <c r="L450" s="543"/>
    </row>
    <row r="451" spans="1:12" x14ac:dyDescent="0.35">
      <c r="A451" s="262"/>
      <c r="B451" s="550"/>
      <c r="C451" s="549"/>
      <c r="D451" s="549"/>
      <c r="E451" s="549"/>
      <c r="F451" s="549"/>
      <c r="G451" s="549"/>
      <c r="H451" s="553"/>
      <c r="I451" s="543"/>
      <c r="J451" s="543"/>
      <c r="K451" s="543"/>
      <c r="L451" s="543"/>
    </row>
    <row r="452" spans="1:12" x14ac:dyDescent="0.35">
      <c r="A452" s="262"/>
      <c r="B452" s="550"/>
      <c r="C452" s="549"/>
      <c r="D452" s="549"/>
      <c r="E452" s="549"/>
      <c r="F452" s="549"/>
      <c r="G452" s="549"/>
      <c r="H452" s="553"/>
      <c r="I452" s="543"/>
      <c r="J452" s="543"/>
      <c r="K452" s="543"/>
      <c r="L452" s="543"/>
    </row>
    <row r="453" spans="1:12" ht="15" customHeight="1" x14ac:dyDescent="0.35">
      <c r="A453" s="262"/>
      <c r="B453" s="550"/>
      <c r="C453" s="549"/>
      <c r="D453" s="549"/>
      <c r="E453" s="549"/>
      <c r="F453" s="549"/>
      <c r="G453" s="549"/>
      <c r="H453" s="553"/>
      <c r="I453" s="543"/>
      <c r="J453" s="543"/>
      <c r="K453" s="543"/>
      <c r="L453" s="543"/>
    </row>
    <row r="454" spans="1:12" x14ac:dyDescent="0.35">
      <c r="A454" s="262"/>
      <c r="B454" s="550"/>
      <c r="C454" s="549"/>
      <c r="D454" s="549"/>
      <c r="E454" s="549"/>
      <c r="F454" s="549"/>
      <c r="G454" s="549"/>
      <c r="H454" s="553"/>
      <c r="I454" s="543"/>
      <c r="J454" s="543"/>
      <c r="K454" s="543"/>
      <c r="L454" s="543"/>
    </row>
    <row r="455" spans="1:12" ht="15.75" customHeight="1" x14ac:dyDescent="0.35">
      <c r="A455" s="262"/>
      <c r="B455" s="550"/>
      <c r="C455" s="549"/>
      <c r="D455" s="549"/>
      <c r="E455" s="549"/>
      <c r="F455" s="549"/>
      <c r="G455" s="549"/>
      <c r="H455" s="553"/>
      <c r="I455" s="543"/>
      <c r="J455" s="543"/>
      <c r="K455" s="543"/>
      <c r="L455" s="543"/>
    </row>
    <row r="456" spans="1:12" x14ac:dyDescent="0.35">
      <c r="A456" s="262"/>
      <c r="B456" s="550"/>
      <c r="C456" s="549"/>
      <c r="D456" s="549"/>
      <c r="E456" s="549"/>
      <c r="F456" s="549"/>
      <c r="G456" s="549"/>
      <c r="H456" s="553"/>
      <c r="I456" s="543"/>
      <c r="J456" s="543"/>
      <c r="K456" s="543"/>
      <c r="L456" s="543"/>
    </row>
    <row r="457" spans="1:12" x14ac:dyDescent="0.35">
      <c r="A457" s="262"/>
      <c r="B457" s="550"/>
      <c r="C457" s="549"/>
      <c r="D457" s="549"/>
      <c r="E457" s="549"/>
      <c r="F457" s="549"/>
      <c r="G457" s="549"/>
      <c r="H457" s="553"/>
      <c r="I457" s="543"/>
      <c r="J457" s="543"/>
      <c r="K457" s="543"/>
      <c r="L457" s="543"/>
    </row>
    <row r="458" spans="1:12" x14ac:dyDescent="0.35">
      <c r="A458" s="262"/>
      <c r="B458" s="550"/>
      <c r="C458" s="549"/>
      <c r="D458" s="549"/>
      <c r="E458" s="549"/>
      <c r="F458" s="549"/>
      <c r="G458" s="549"/>
      <c r="H458" s="553"/>
      <c r="I458" s="543"/>
      <c r="J458" s="543"/>
      <c r="K458" s="543"/>
      <c r="L458" s="543"/>
    </row>
    <row r="459" spans="1:12" x14ac:dyDescent="0.35">
      <c r="A459" s="262"/>
      <c r="B459" s="550"/>
      <c r="C459" s="549"/>
      <c r="D459" s="549"/>
      <c r="E459" s="549"/>
      <c r="F459" s="549"/>
      <c r="G459" s="549"/>
      <c r="H459" s="553"/>
      <c r="I459" s="543"/>
      <c r="J459" s="543"/>
      <c r="K459" s="543"/>
      <c r="L459" s="543"/>
    </row>
    <row r="460" spans="1:12" ht="15" customHeight="1" x14ac:dyDescent="0.35">
      <c r="A460" s="262"/>
      <c r="B460" s="550"/>
      <c r="C460" s="549"/>
      <c r="D460" s="549"/>
      <c r="E460" s="549"/>
      <c r="F460" s="549"/>
      <c r="G460" s="549"/>
      <c r="H460" s="553"/>
      <c r="I460" s="543"/>
      <c r="J460" s="543"/>
      <c r="K460" s="543"/>
      <c r="L460" s="543"/>
    </row>
    <row r="461" spans="1:12" x14ac:dyDescent="0.35">
      <c r="A461" s="262"/>
      <c r="B461" s="550"/>
      <c r="C461" s="549"/>
      <c r="D461" s="549"/>
      <c r="E461" s="549"/>
      <c r="F461" s="549"/>
      <c r="G461" s="549"/>
      <c r="H461" s="553"/>
      <c r="I461" s="543"/>
      <c r="J461" s="543"/>
      <c r="K461" s="543"/>
      <c r="L461" s="543"/>
    </row>
    <row r="462" spans="1:12" x14ac:dyDescent="0.35">
      <c r="A462" s="262"/>
      <c r="B462" s="550"/>
      <c r="C462" s="549"/>
      <c r="D462" s="549"/>
      <c r="E462" s="549"/>
      <c r="F462" s="549"/>
      <c r="G462" s="549"/>
      <c r="H462" s="553"/>
      <c r="I462" s="543"/>
      <c r="J462" s="543"/>
      <c r="K462" s="543"/>
      <c r="L462" s="543"/>
    </row>
    <row r="463" spans="1:12" x14ac:dyDescent="0.35">
      <c r="A463" s="262"/>
      <c r="B463" s="550"/>
      <c r="C463" s="549"/>
      <c r="D463" s="549"/>
      <c r="E463" s="549"/>
      <c r="F463" s="549"/>
      <c r="G463" s="549"/>
      <c r="H463" s="553"/>
      <c r="I463" s="543"/>
      <c r="J463" s="543"/>
      <c r="K463" s="543"/>
      <c r="L463" s="543"/>
    </row>
    <row r="464" spans="1:12" x14ac:dyDescent="0.35">
      <c r="A464" s="262"/>
      <c r="B464" s="550"/>
      <c r="C464" s="549"/>
      <c r="D464" s="549"/>
      <c r="E464" s="549"/>
      <c r="F464" s="549"/>
      <c r="G464" s="549"/>
      <c r="H464" s="553"/>
      <c r="I464" s="543"/>
      <c r="J464" s="543"/>
      <c r="K464" s="543"/>
      <c r="L464" s="543"/>
    </row>
    <row r="465" spans="1:12" ht="15.75" customHeight="1" x14ac:dyDescent="0.35">
      <c r="A465" s="262"/>
      <c r="B465" s="550"/>
      <c r="C465" s="549"/>
      <c r="D465" s="549"/>
      <c r="E465" s="549"/>
      <c r="F465" s="549"/>
      <c r="G465" s="549"/>
      <c r="H465" s="553"/>
      <c r="I465" s="543"/>
      <c r="J465" s="543"/>
      <c r="K465" s="543"/>
      <c r="L465" s="543"/>
    </row>
    <row r="466" spans="1:12" ht="15.75" customHeight="1" x14ac:dyDescent="0.35">
      <c r="A466" s="262"/>
      <c r="B466" s="550"/>
      <c r="C466" s="549"/>
      <c r="D466" s="549"/>
      <c r="E466" s="549"/>
      <c r="F466" s="549"/>
      <c r="G466" s="549"/>
      <c r="H466" s="553"/>
      <c r="I466" s="543"/>
      <c r="J466" s="543"/>
      <c r="K466" s="543"/>
      <c r="L466" s="543"/>
    </row>
    <row r="467" spans="1:12" x14ac:dyDescent="0.35">
      <c r="A467" s="262"/>
      <c r="B467" s="550"/>
      <c r="C467" s="549"/>
      <c r="D467" s="549"/>
      <c r="E467" s="549"/>
      <c r="F467" s="549"/>
      <c r="G467" s="549"/>
      <c r="H467" s="553"/>
      <c r="I467" s="543"/>
      <c r="J467" s="543"/>
      <c r="K467" s="543"/>
      <c r="L467" s="543"/>
    </row>
    <row r="468" spans="1:12" ht="45" customHeight="1" x14ac:dyDescent="0.35">
      <c r="A468" s="453" t="s">
        <v>0</v>
      </c>
      <c r="B468" s="550"/>
      <c r="C468" s="549"/>
      <c r="D468" s="549"/>
      <c r="E468" s="549"/>
      <c r="F468" s="549"/>
      <c r="G468" s="549"/>
      <c r="H468" s="553"/>
      <c r="I468" s="543"/>
      <c r="J468" s="543"/>
      <c r="K468" s="543"/>
      <c r="L468" s="543"/>
    </row>
    <row r="469" spans="1:12" ht="15.75" hidden="1" customHeight="1" x14ac:dyDescent="0.35">
      <c r="A469" s="451"/>
      <c r="B469" s="583"/>
      <c r="C469" s="584"/>
      <c r="D469" s="584"/>
      <c r="E469" s="584"/>
      <c r="F469" s="584"/>
      <c r="G469" s="584"/>
      <c r="H469" s="585"/>
      <c r="I469" s="586"/>
      <c r="J469" s="586"/>
      <c r="K469" s="586"/>
      <c r="L469" s="586"/>
    </row>
    <row r="470" spans="1:12" ht="15.75" hidden="1" customHeight="1" x14ac:dyDescent="0.35">
      <c r="A470" s="451"/>
      <c r="B470" s="583"/>
      <c r="C470" s="584"/>
      <c r="D470" s="584"/>
      <c r="E470" s="584"/>
      <c r="F470" s="584"/>
      <c r="G470" s="584"/>
      <c r="H470" s="585"/>
      <c r="I470" s="586"/>
      <c r="J470" s="586"/>
      <c r="K470" s="586"/>
      <c r="L470" s="586"/>
    </row>
    <row r="471" spans="1:12" ht="15.75" hidden="1" customHeight="1" x14ac:dyDescent="0.35">
      <c r="A471" s="451"/>
      <c r="B471" s="583"/>
      <c r="C471" s="584"/>
      <c r="D471" s="584"/>
      <c r="E471" s="584"/>
      <c r="F471" s="584"/>
      <c r="G471" s="584"/>
      <c r="H471" s="585"/>
      <c r="I471" s="586"/>
      <c r="J471" s="586"/>
      <c r="K471" s="586"/>
      <c r="L471" s="586"/>
    </row>
    <row r="472" spans="1:12" ht="15.75" hidden="1" customHeight="1" x14ac:dyDescent="0.35">
      <c r="A472" s="451"/>
      <c r="B472" s="583"/>
      <c r="C472" s="584"/>
      <c r="D472" s="584"/>
      <c r="E472" s="584"/>
      <c r="F472" s="584"/>
      <c r="G472" s="584"/>
      <c r="H472" s="585"/>
      <c r="I472" s="586"/>
      <c r="J472" s="586"/>
      <c r="K472" s="586"/>
      <c r="L472" s="586"/>
    </row>
    <row r="473" spans="1:12" ht="15.75" hidden="1" customHeight="1" x14ac:dyDescent="0.35">
      <c r="A473" s="451"/>
      <c r="B473" s="583"/>
      <c r="C473" s="584"/>
      <c r="D473" s="584"/>
      <c r="E473" s="584"/>
      <c r="F473" s="584"/>
      <c r="G473" s="584"/>
      <c r="H473" s="585"/>
      <c r="I473" s="586"/>
      <c r="J473" s="586"/>
      <c r="K473" s="586"/>
      <c r="L473" s="586"/>
    </row>
    <row r="474" spans="1:12" ht="15.75" hidden="1" customHeight="1" x14ac:dyDescent="0.35">
      <c r="A474" s="451"/>
      <c r="B474" s="583"/>
      <c r="C474" s="584"/>
      <c r="D474" s="584"/>
      <c r="E474" s="584"/>
      <c r="F474" s="584"/>
      <c r="G474" s="584"/>
      <c r="H474" s="585"/>
      <c r="I474" s="586"/>
      <c r="J474" s="586"/>
      <c r="K474" s="586"/>
      <c r="L474" s="586"/>
    </row>
    <row r="475" spans="1:12" ht="15.75" hidden="1" customHeight="1" x14ac:dyDescent="0.35">
      <c r="A475" s="451"/>
      <c r="B475" s="583"/>
      <c r="C475" s="584"/>
      <c r="D475" s="584"/>
      <c r="E475" s="584"/>
      <c r="F475" s="584"/>
      <c r="G475" s="584"/>
      <c r="H475" s="585"/>
      <c r="I475" s="586"/>
      <c r="J475" s="586"/>
      <c r="K475" s="586"/>
      <c r="L475" s="586"/>
    </row>
    <row r="476" spans="1:12" ht="15.75" hidden="1" customHeight="1" x14ac:dyDescent="0.35">
      <c r="A476" s="451"/>
      <c r="B476" s="583"/>
      <c r="C476" s="584"/>
      <c r="D476" s="584"/>
      <c r="E476" s="584"/>
      <c r="F476" s="584"/>
      <c r="G476" s="584"/>
      <c r="H476" s="585"/>
      <c r="I476" s="586"/>
      <c r="J476" s="586"/>
      <c r="K476" s="586"/>
      <c r="L476" s="586"/>
    </row>
    <row r="477" spans="1:12" ht="15.75" hidden="1" customHeight="1" x14ac:dyDescent="0.35">
      <c r="A477" s="451"/>
      <c r="B477" s="583"/>
      <c r="C477" s="584"/>
      <c r="D477" s="584"/>
      <c r="E477" s="584"/>
      <c r="F477" s="584"/>
      <c r="G477" s="584"/>
      <c r="H477" s="585"/>
      <c r="I477" s="586"/>
      <c r="J477" s="586"/>
      <c r="K477" s="586"/>
      <c r="L477" s="586"/>
    </row>
    <row r="478" spans="1:12" ht="15.75" hidden="1" customHeight="1" x14ac:dyDescent="0.35">
      <c r="A478" s="451"/>
      <c r="B478" s="583"/>
      <c r="C478" s="584"/>
      <c r="D478" s="584"/>
      <c r="E478" s="584"/>
      <c r="F478" s="584"/>
      <c r="G478" s="584"/>
      <c r="H478" s="585"/>
      <c r="I478" s="586"/>
      <c r="J478" s="586"/>
      <c r="K478" s="586"/>
      <c r="L478" s="586"/>
    </row>
    <row r="479" spans="1:12" ht="15.75" hidden="1" customHeight="1" x14ac:dyDescent="0.35">
      <c r="A479" s="451"/>
      <c r="B479" s="583"/>
      <c r="C479" s="584"/>
      <c r="D479" s="584"/>
      <c r="E479" s="584"/>
      <c r="F479" s="584"/>
      <c r="G479" s="584"/>
      <c r="H479" s="585"/>
      <c r="I479" s="586"/>
      <c r="J479" s="586"/>
      <c r="K479" s="586"/>
      <c r="L479" s="586"/>
    </row>
    <row r="480" spans="1:12" ht="15.75" hidden="1" customHeight="1" x14ac:dyDescent="0.35">
      <c r="A480" s="451"/>
      <c r="B480" s="583"/>
      <c r="C480" s="584"/>
      <c r="D480" s="584"/>
      <c r="E480" s="584"/>
      <c r="F480" s="584"/>
      <c r="G480" s="584"/>
      <c r="H480" s="585"/>
      <c r="I480" s="586"/>
      <c r="J480" s="586"/>
      <c r="K480" s="586"/>
      <c r="L480" s="586"/>
    </row>
    <row r="481" spans="1:12" ht="15.75" hidden="1" customHeight="1" x14ac:dyDescent="0.35">
      <c r="A481" s="451"/>
      <c r="B481" s="583"/>
      <c r="C481" s="584"/>
      <c r="D481" s="584"/>
      <c r="E481" s="584"/>
      <c r="F481" s="584"/>
      <c r="G481" s="584"/>
      <c r="H481" s="585"/>
      <c r="I481" s="586"/>
      <c r="J481" s="586"/>
      <c r="K481" s="586"/>
      <c r="L481" s="586"/>
    </row>
    <row r="482" spans="1:12" ht="15.75" hidden="1" customHeight="1" x14ac:dyDescent="0.35">
      <c r="A482" s="451"/>
      <c r="B482" s="583"/>
      <c r="C482" s="584"/>
      <c r="D482" s="584"/>
      <c r="E482" s="584"/>
      <c r="F482" s="584"/>
      <c r="G482" s="584"/>
      <c r="H482" s="585"/>
      <c r="I482" s="586"/>
      <c r="J482" s="586"/>
      <c r="K482" s="586"/>
      <c r="L482" s="586"/>
    </row>
    <row r="483" spans="1:12" ht="15.75" hidden="1" customHeight="1" x14ac:dyDescent="0.35">
      <c r="A483" s="451"/>
      <c r="B483" s="583"/>
      <c r="C483" s="584"/>
      <c r="D483" s="584"/>
      <c r="E483" s="584"/>
      <c r="F483" s="584"/>
      <c r="G483" s="584"/>
      <c r="H483" s="585"/>
      <c r="I483" s="586"/>
      <c r="J483" s="586"/>
      <c r="K483" s="586"/>
      <c r="L483" s="586"/>
    </row>
    <row r="484" spans="1:12" ht="15.75" hidden="1" customHeight="1" x14ac:dyDescent="0.35">
      <c r="A484" s="451"/>
      <c r="B484" s="583"/>
      <c r="C484" s="584"/>
      <c r="D484" s="584"/>
      <c r="E484" s="584"/>
      <c r="F484" s="584"/>
      <c r="G484" s="584"/>
      <c r="H484" s="585"/>
      <c r="I484" s="586"/>
      <c r="J484" s="586"/>
      <c r="K484" s="586"/>
      <c r="L484" s="586"/>
    </row>
    <row r="485" spans="1:12" ht="15.75" hidden="1" customHeight="1" x14ac:dyDescent="0.35">
      <c r="A485" s="451"/>
      <c r="B485" s="583"/>
      <c r="C485" s="584"/>
      <c r="D485" s="584"/>
      <c r="E485" s="584"/>
      <c r="F485" s="584"/>
      <c r="G485" s="584"/>
      <c r="H485" s="585"/>
      <c r="I485" s="586"/>
      <c r="J485" s="586"/>
      <c r="K485" s="586"/>
      <c r="L485" s="586"/>
    </row>
    <row r="486" spans="1:12" ht="15.75" hidden="1" customHeight="1" x14ac:dyDescent="0.35">
      <c r="A486" s="451"/>
      <c r="B486" s="583"/>
      <c r="C486" s="584"/>
      <c r="D486" s="584"/>
      <c r="E486" s="584"/>
      <c r="F486" s="584"/>
      <c r="G486" s="584"/>
      <c r="H486" s="585"/>
      <c r="I486" s="586"/>
      <c r="J486" s="586"/>
      <c r="K486" s="586"/>
      <c r="L486" s="586"/>
    </row>
    <row r="487" spans="1:12" ht="15.75" hidden="1" customHeight="1" x14ac:dyDescent="0.35">
      <c r="A487" s="451"/>
      <c r="B487" s="583"/>
      <c r="C487" s="584"/>
      <c r="D487" s="584"/>
      <c r="E487" s="584"/>
      <c r="F487" s="584"/>
      <c r="G487" s="584"/>
      <c r="H487" s="585"/>
      <c r="I487" s="586"/>
      <c r="J487" s="586"/>
      <c r="K487" s="586"/>
      <c r="L487" s="586"/>
    </row>
    <row r="488" spans="1:12" ht="15.75" hidden="1" customHeight="1" x14ac:dyDescent="0.35">
      <c r="A488" s="451"/>
      <c r="B488" s="583"/>
      <c r="C488" s="584"/>
      <c r="D488" s="584"/>
      <c r="E488" s="584"/>
      <c r="F488" s="584"/>
      <c r="G488" s="584"/>
      <c r="H488" s="585"/>
      <c r="I488" s="586"/>
      <c r="J488" s="586"/>
      <c r="K488" s="586"/>
      <c r="L488" s="586"/>
    </row>
    <row r="489" spans="1:12" ht="15.75" hidden="1" customHeight="1" x14ac:dyDescent="0.35">
      <c r="A489" s="451"/>
      <c r="B489" s="583"/>
      <c r="C489" s="584"/>
      <c r="D489" s="584"/>
      <c r="E489" s="584"/>
      <c r="F489" s="584"/>
      <c r="G489" s="584"/>
      <c r="H489" s="585"/>
      <c r="I489" s="586"/>
      <c r="J489" s="586"/>
      <c r="K489" s="586"/>
      <c r="L489" s="586"/>
    </row>
    <row r="490" spans="1:12" ht="15.75" hidden="1" customHeight="1" x14ac:dyDescent="0.35">
      <c r="A490" s="451"/>
      <c r="B490" s="583"/>
      <c r="C490" s="584"/>
      <c r="D490" s="584"/>
      <c r="E490" s="584"/>
      <c r="F490" s="584"/>
      <c r="G490" s="584"/>
      <c r="H490" s="585"/>
      <c r="I490" s="586"/>
      <c r="J490" s="586"/>
      <c r="K490" s="586"/>
      <c r="L490" s="586"/>
    </row>
    <row r="491" spans="1:12" ht="15.75" hidden="1" customHeight="1" x14ac:dyDescent="0.35">
      <c r="A491" s="451"/>
      <c r="B491" s="583"/>
      <c r="C491" s="584"/>
      <c r="D491" s="584"/>
      <c r="E491" s="584"/>
      <c r="F491" s="584"/>
      <c r="G491" s="584"/>
      <c r="H491" s="585"/>
      <c r="I491" s="586"/>
      <c r="J491" s="586"/>
      <c r="K491" s="586"/>
      <c r="L491" s="586"/>
    </row>
    <row r="492" spans="1:12" ht="15.75" hidden="1" customHeight="1" x14ac:dyDescent="0.35">
      <c r="A492" s="451"/>
      <c r="B492" s="583"/>
      <c r="C492" s="584"/>
      <c r="D492" s="584"/>
      <c r="E492" s="584"/>
      <c r="F492" s="584"/>
      <c r="G492" s="584"/>
      <c r="H492" s="585"/>
      <c r="I492" s="586"/>
      <c r="J492" s="586"/>
      <c r="K492" s="586"/>
      <c r="L492" s="586"/>
    </row>
    <row r="493" spans="1:12" ht="15.75" hidden="1" customHeight="1" x14ac:dyDescent="0.35">
      <c r="A493" s="451"/>
      <c r="B493" s="583"/>
      <c r="C493" s="584"/>
      <c r="D493" s="584"/>
      <c r="E493" s="584"/>
      <c r="F493" s="584"/>
      <c r="G493" s="584"/>
      <c r="H493" s="585"/>
      <c r="I493" s="586"/>
      <c r="J493" s="586"/>
      <c r="K493" s="586"/>
      <c r="L493" s="586"/>
    </row>
    <row r="494" spans="1:12" ht="15.75" hidden="1" customHeight="1" x14ac:dyDescent="0.35">
      <c r="A494" s="451"/>
      <c r="B494" s="583"/>
      <c r="C494" s="584"/>
      <c r="D494" s="584"/>
      <c r="E494" s="584"/>
      <c r="F494" s="584"/>
      <c r="G494" s="584"/>
      <c r="H494" s="585"/>
      <c r="I494" s="586"/>
      <c r="J494" s="586"/>
      <c r="K494" s="586"/>
      <c r="L494" s="586"/>
    </row>
    <row r="495" spans="1:12" ht="15.75" hidden="1" customHeight="1" x14ac:dyDescent="0.35">
      <c r="A495" s="451"/>
      <c r="B495" s="583"/>
      <c r="C495" s="584"/>
      <c r="D495" s="584"/>
      <c r="E495" s="584"/>
      <c r="F495" s="584"/>
      <c r="G495" s="584"/>
      <c r="H495" s="585"/>
      <c r="I495" s="586"/>
      <c r="J495" s="586"/>
      <c r="K495" s="586"/>
      <c r="L495" s="586"/>
    </row>
    <row r="496" spans="1:12" ht="15.75" hidden="1" customHeight="1" x14ac:dyDescent="0.35">
      <c r="A496" s="451"/>
      <c r="B496" s="583"/>
      <c r="C496" s="584"/>
      <c r="D496" s="584"/>
      <c r="E496" s="584"/>
      <c r="F496" s="584"/>
      <c r="G496" s="584"/>
      <c r="H496" s="585"/>
      <c r="I496" s="586"/>
      <c r="J496" s="586"/>
      <c r="K496" s="586"/>
      <c r="L496" s="586"/>
    </row>
    <row r="497" spans="1:12" ht="15.75" hidden="1" customHeight="1" x14ac:dyDescent="0.35">
      <c r="A497" s="451"/>
      <c r="B497" s="583"/>
      <c r="C497" s="584"/>
      <c r="D497" s="584"/>
      <c r="E497" s="584"/>
      <c r="F497" s="584"/>
      <c r="G497" s="584"/>
      <c r="H497" s="585"/>
      <c r="I497" s="586"/>
      <c r="J497" s="586"/>
      <c r="K497" s="586"/>
      <c r="L497" s="586"/>
    </row>
    <row r="498" spans="1:12" ht="15.75" hidden="1" customHeight="1" x14ac:dyDescent="0.35">
      <c r="A498" s="451"/>
      <c r="B498" s="583"/>
      <c r="C498" s="584"/>
      <c r="D498" s="584"/>
      <c r="E498" s="584"/>
      <c r="F498" s="584"/>
      <c r="G498" s="584"/>
      <c r="H498" s="585"/>
      <c r="I498" s="586"/>
      <c r="J498" s="586"/>
      <c r="K498" s="586"/>
      <c r="L498" s="586"/>
    </row>
    <row r="499" spans="1:12" ht="15.75" hidden="1" customHeight="1" x14ac:dyDescent="0.35">
      <c r="A499" s="451"/>
      <c r="B499" s="583"/>
      <c r="C499" s="584"/>
      <c r="D499" s="584"/>
      <c r="E499" s="584"/>
      <c r="F499" s="584"/>
      <c r="G499" s="584"/>
      <c r="H499" s="585"/>
      <c r="I499" s="586"/>
      <c r="J499" s="586"/>
      <c r="K499" s="586"/>
      <c r="L499" s="586"/>
    </row>
    <row r="500" spans="1:12" ht="15.75" hidden="1" customHeight="1" x14ac:dyDescent="0.35">
      <c r="A500" s="451"/>
      <c r="B500" s="583"/>
      <c r="C500" s="584"/>
      <c r="D500" s="584"/>
      <c r="E500" s="584"/>
      <c r="F500" s="584"/>
      <c r="G500" s="584"/>
      <c r="H500" s="585"/>
      <c r="I500" s="586"/>
      <c r="J500" s="586"/>
      <c r="K500" s="586"/>
      <c r="L500" s="586"/>
    </row>
    <row r="501" spans="1:12" ht="15.75" hidden="1" customHeight="1" x14ac:dyDescent="0.35">
      <c r="A501" s="451"/>
      <c r="B501" s="583"/>
      <c r="C501" s="584"/>
      <c r="D501" s="584"/>
      <c r="E501" s="584"/>
      <c r="F501" s="584"/>
      <c r="G501" s="584"/>
      <c r="H501" s="585"/>
      <c r="I501" s="586"/>
      <c r="J501" s="586"/>
      <c r="K501" s="586"/>
      <c r="L501" s="586"/>
    </row>
    <row r="502" spans="1:12" ht="15.75" hidden="1" customHeight="1" x14ac:dyDescent="0.35">
      <c r="A502" s="451"/>
      <c r="B502" s="583"/>
      <c r="C502" s="584"/>
      <c r="D502" s="584"/>
      <c r="E502" s="584"/>
      <c r="F502" s="584"/>
      <c r="G502" s="584"/>
      <c r="H502" s="585"/>
      <c r="I502" s="586"/>
      <c r="J502" s="586"/>
      <c r="K502" s="586"/>
      <c r="L502" s="586"/>
    </row>
    <row r="503" spans="1:12" ht="15.75" hidden="1" customHeight="1" x14ac:dyDescent="0.35">
      <c r="A503" s="451"/>
      <c r="B503" s="583"/>
      <c r="C503" s="584"/>
      <c r="D503" s="584"/>
      <c r="E503" s="584"/>
      <c r="F503" s="584"/>
      <c r="G503" s="584"/>
      <c r="H503" s="585"/>
      <c r="I503" s="586"/>
      <c r="J503" s="586"/>
      <c r="K503" s="586"/>
      <c r="L503" s="586"/>
    </row>
    <row r="504" spans="1:12" ht="15.75" hidden="1" customHeight="1" x14ac:dyDescent="0.35">
      <c r="A504" s="451"/>
      <c r="B504" s="583"/>
      <c r="C504" s="584"/>
      <c r="D504" s="584"/>
      <c r="E504" s="584"/>
      <c r="F504" s="584"/>
      <c r="G504" s="584"/>
      <c r="H504" s="585"/>
      <c r="I504" s="586"/>
      <c r="J504" s="586"/>
      <c r="K504" s="586"/>
      <c r="L504" s="586"/>
    </row>
    <row r="505" spans="1:12" ht="15.75" hidden="1" customHeight="1" x14ac:dyDescent="0.35">
      <c r="A505" s="451"/>
      <c r="B505" s="583"/>
      <c r="C505" s="584"/>
      <c r="D505" s="584"/>
      <c r="E505" s="584"/>
      <c r="F505" s="584"/>
      <c r="G505" s="584"/>
      <c r="H505" s="585"/>
      <c r="I505" s="586"/>
      <c r="J505" s="586"/>
      <c r="K505" s="586"/>
      <c r="L505" s="586"/>
    </row>
    <row r="506" spans="1:12" ht="15.75" hidden="1" customHeight="1" x14ac:dyDescent="0.35">
      <c r="A506" s="451"/>
      <c r="B506" s="583"/>
      <c r="C506" s="584"/>
      <c r="D506" s="584"/>
      <c r="E506" s="584"/>
      <c r="F506" s="584"/>
      <c r="G506" s="584"/>
      <c r="H506" s="585"/>
      <c r="I506" s="586"/>
      <c r="J506" s="586"/>
      <c r="K506" s="586"/>
      <c r="L506" s="586"/>
    </row>
    <row r="507" spans="1:12" ht="15" hidden="1" customHeight="1" x14ac:dyDescent="0.35">
      <c r="B507" s="583"/>
      <c r="C507" s="584"/>
      <c r="D507" s="584"/>
      <c r="E507" s="584"/>
      <c r="F507" s="584"/>
      <c r="G507" s="584"/>
      <c r="H507" s="585"/>
      <c r="I507" s="586"/>
      <c r="J507" s="586"/>
      <c r="K507" s="586"/>
      <c r="L507" s="586"/>
    </row>
    <row r="508" spans="1:12" ht="15" hidden="1" customHeight="1" x14ac:dyDescent="0.35">
      <c r="B508" s="583"/>
      <c r="C508" s="584"/>
      <c r="D508" s="584"/>
      <c r="E508" s="584"/>
      <c r="F508" s="584"/>
      <c r="G508" s="584"/>
      <c r="H508" s="585"/>
      <c r="I508" s="586"/>
      <c r="J508" s="586"/>
      <c r="K508" s="586"/>
      <c r="L508" s="586"/>
    </row>
    <row r="509" spans="1:12" ht="15" hidden="1" customHeight="1" x14ac:dyDescent="0.35">
      <c r="B509" s="583"/>
      <c r="C509" s="584"/>
      <c r="D509" s="584"/>
      <c r="E509" s="584"/>
      <c r="F509" s="584"/>
      <c r="G509" s="584"/>
      <c r="H509" s="585"/>
      <c r="I509" s="586"/>
      <c r="J509" s="586"/>
      <c r="K509" s="586"/>
      <c r="L509" s="586"/>
    </row>
    <row r="510" spans="1:12" ht="15" hidden="1" customHeight="1" x14ac:dyDescent="0.35">
      <c r="B510" s="583"/>
      <c r="C510" s="584"/>
      <c r="D510" s="584"/>
      <c r="E510" s="584"/>
      <c r="F510" s="584"/>
      <c r="G510" s="584"/>
      <c r="H510" s="585"/>
      <c r="I510" s="586"/>
      <c r="J510" s="586"/>
      <c r="K510" s="586"/>
      <c r="L510" s="586"/>
    </row>
    <row r="511" spans="1:12" ht="15" hidden="1" customHeight="1" x14ac:dyDescent="0.35">
      <c r="B511" s="583"/>
      <c r="C511" s="584"/>
      <c r="D511" s="584"/>
      <c r="E511" s="584"/>
      <c r="F511" s="584"/>
      <c r="G511" s="584"/>
      <c r="H511" s="585"/>
      <c r="I511" s="586"/>
      <c r="J511" s="586"/>
      <c r="K511" s="586"/>
      <c r="L511" s="586"/>
    </row>
    <row r="512" spans="1:12" ht="15" hidden="1" customHeight="1" x14ac:dyDescent="0.35">
      <c r="B512" s="583"/>
      <c r="C512" s="584"/>
      <c r="D512" s="584"/>
      <c r="E512" s="584"/>
      <c r="F512" s="584"/>
      <c r="G512" s="584"/>
      <c r="H512" s="585"/>
      <c r="I512" s="586"/>
      <c r="J512" s="586"/>
      <c r="K512" s="586"/>
      <c r="L512" s="586"/>
    </row>
    <row r="513" spans="2:12" ht="15" hidden="1" customHeight="1" x14ac:dyDescent="0.35">
      <c r="B513" s="583"/>
      <c r="C513" s="584"/>
      <c r="D513" s="584"/>
      <c r="E513" s="584"/>
      <c r="F513" s="584"/>
      <c r="G513" s="584"/>
      <c r="H513" s="585"/>
      <c r="I513" s="586"/>
      <c r="J513" s="586"/>
      <c r="K513" s="586"/>
      <c r="L513" s="586"/>
    </row>
    <row r="514" spans="2:12" ht="15" hidden="1" customHeight="1" x14ac:dyDescent="0.35">
      <c r="B514" s="583"/>
      <c r="C514" s="584"/>
      <c r="D514" s="584"/>
      <c r="E514" s="584"/>
      <c r="F514" s="584"/>
      <c r="G514" s="584"/>
      <c r="H514" s="585"/>
      <c r="I514" s="586"/>
      <c r="J514" s="586"/>
      <c r="K514" s="586"/>
      <c r="L514" s="586"/>
    </row>
    <row r="515" spans="2:12" ht="15" hidden="1" customHeight="1" x14ac:dyDescent="0.35">
      <c r="B515" s="583"/>
      <c r="C515" s="584"/>
      <c r="D515" s="584"/>
      <c r="E515" s="584"/>
      <c r="F515" s="584"/>
      <c r="G515" s="584"/>
      <c r="H515" s="585"/>
      <c r="I515" s="586"/>
      <c r="J515" s="586"/>
      <c r="K515" s="586"/>
      <c r="L515" s="586"/>
    </row>
    <row r="516" spans="2:12" ht="15" hidden="1" customHeight="1" x14ac:dyDescent="0.35">
      <c r="B516" s="583"/>
      <c r="C516" s="584"/>
      <c r="D516" s="584"/>
      <c r="E516" s="584"/>
      <c r="F516" s="584"/>
      <c r="G516" s="584"/>
      <c r="H516" s="585"/>
      <c r="I516" s="586"/>
      <c r="J516" s="586"/>
      <c r="K516" s="586"/>
      <c r="L516" s="586"/>
    </row>
    <row r="517" spans="2:12" ht="15" hidden="1" customHeight="1" x14ac:dyDescent="0.35">
      <c r="B517" s="583"/>
      <c r="C517" s="584"/>
      <c r="D517" s="584"/>
      <c r="E517" s="584"/>
      <c r="F517" s="584"/>
      <c r="G517" s="584"/>
      <c r="H517" s="585"/>
      <c r="I517" s="586"/>
      <c r="J517" s="586"/>
      <c r="K517" s="586"/>
      <c r="L517" s="586"/>
    </row>
    <row r="518" spans="2:12" ht="15" hidden="1" customHeight="1" x14ac:dyDescent="0.35">
      <c r="B518" s="583"/>
      <c r="C518" s="584"/>
      <c r="D518" s="584"/>
      <c r="E518" s="584"/>
      <c r="F518" s="584"/>
      <c r="G518" s="584"/>
      <c r="H518" s="585"/>
      <c r="I518" s="586"/>
      <c r="J518" s="586"/>
      <c r="K518" s="586"/>
      <c r="L518" s="586"/>
    </row>
    <row r="519" spans="2:12" ht="15" hidden="1" customHeight="1" x14ac:dyDescent="0.35">
      <c r="B519" s="583"/>
      <c r="C519" s="584"/>
      <c r="D519" s="584"/>
      <c r="E519" s="584"/>
      <c r="F519" s="584"/>
      <c r="G519" s="584"/>
      <c r="H519" s="585"/>
      <c r="I519" s="586"/>
      <c r="J519" s="586"/>
      <c r="K519" s="586"/>
      <c r="L519" s="586"/>
    </row>
    <row r="520" spans="2:12" ht="15" hidden="1" customHeight="1" x14ac:dyDescent="0.35">
      <c r="B520" s="583"/>
      <c r="C520" s="584"/>
      <c r="D520" s="584"/>
      <c r="E520" s="584"/>
      <c r="F520" s="584"/>
      <c r="G520" s="584"/>
      <c r="H520" s="585"/>
      <c r="I520" s="586"/>
      <c r="J520" s="586"/>
      <c r="K520" s="586"/>
      <c r="L520" s="586"/>
    </row>
    <row r="521" spans="2:12" ht="15" hidden="1" customHeight="1" x14ac:dyDescent="0.35">
      <c r="B521" s="583"/>
      <c r="C521" s="584"/>
      <c r="D521" s="584"/>
      <c r="E521" s="584"/>
      <c r="F521" s="584"/>
      <c r="G521" s="584"/>
      <c r="H521" s="585"/>
      <c r="I521" s="586"/>
      <c r="J521" s="586"/>
      <c r="K521" s="586"/>
      <c r="L521" s="586"/>
    </row>
    <row r="522" spans="2:12" ht="15" hidden="1" customHeight="1" x14ac:dyDescent="0.35">
      <c r="B522" s="583"/>
      <c r="C522" s="584"/>
      <c r="D522" s="584"/>
      <c r="E522" s="584"/>
      <c r="F522" s="584"/>
      <c r="G522" s="584"/>
      <c r="H522" s="585"/>
      <c r="I522" s="586"/>
      <c r="J522" s="586"/>
      <c r="K522" s="586"/>
      <c r="L522" s="586"/>
    </row>
    <row r="523" spans="2:12" ht="15" hidden="1" customHeight="1" x14ac:dyDescent="0.35">
      <c r="B523" s="583"/>
      <c r="C523" s="584"/>
      <c r="D523" s="584"/>
      <c r="E523" s="584"/>
      <c r="F523" s="584"/>
      <c r="G523" s="584"/>
      <c r="H523" s="585"/>
      <c r="I523" s="586"/>
      <c r="J523" s="586"/>
      <c r="K523" s="586"/>
      <c r="L523" s="586"/>
    </row>
    <row r="524" spans="2:12" ht="15" hidden="1" customHeight="1" x14ac:dyDescent="0.35">
      <c r="B524" s="583"/>
      <c r="C524" s="584"/>
      <c r="D524" s="584"/>
      <c r="E524" s="584"/>
      <c r="F524" s="584"/>
      <c r="G524" s="584"/>
      <c r="H524" s="585"/>
      <c r="I524" s="586"/>
      <c r="J524" s="586"/>
      <c r="K524" s="586"/>
      <c r="L524" s="586"/>
    </row>
    <row r="525" spans="2:12" ht="15" hidden="1" customHeight="1" x14ac:dyDescent="0.35">
      <c r="B525" s="583"/>
      <c r="C525" s="584"/>
      <c r="D525" s="584"/>
      <c r="E525" s="584"/>
      <c r="F525" s="584"/>
      <c r="G525" s="584"/>
      <c r="H525" s="585"/>
      <c r="I525" s="586"/>
      <c r="J525" s="586"/>
      <c r="K525" s="586"/>
      <c r="L525" s="586"/>
    </row>
    <row r="526" spans="2:12" ht="15" hidden="1" customHeight="1" x14ac:dyDescent="0.35">
      <c r="B526" s="583"/>
      <c r="C526" s="584"/>
      <c r="D526" s="584"/>
      <c r="E526" s="584"/>
      <c r="F526" s="584"/>
      <c r="G526" s="584"/>
      <c r="H526" s="585"/>
      <c r="I526" s="586"/>
      <c r="J526" s="586"/>
      <c r="K526" s="586"/>
      <c r="L526" s="586"/>
    </row>
    <row r="527" spans="2:12" ht="15" hidden="1" customHeight="1" x14ac:dyDescent="0.35">
      <c r="B527" s="583"/>
      <c r="C527" s="584"/>
      <c r="D527" s="584"/>
      <c r="E527" s="584"/>
      <c r="F527" s="584"/>
      <c r="G527" s="584"/>
      <c r="H527" s="585"/>
      <c r="I527" s="586"/>
      <c r="J527" s="586"/>
      <c r="K527" s="586"/>
      <c r="L527" s="586"/>
    </row>
    <row r="528" spans="2:12" ht="15" hidden="1" customHeight="1" x14ac:dyDescent="0.35">
      <c r="B528" s="583"/>
      <c r="C528" s="584"/>
      <c r="D528" s="584"/>
      <c r="E528" s="584"/>
      <c r="F528" s="584"/>
      <c r="G528" s="584"/>
      <c r="H528" s="585"/>
      <c r="I528" s="586"/>
      <c r="J528" s="586"/>
      <c r="K528" s="586"/>
      <c r="L528" s="586"/>
    </row>
    <row r="529" spans="2:12" ht="15" hidden="1" customHeight="1" x14ac:dyDescent="0.35">
      <c r="B529" s="583"/>
      <c r="C529" s="584"/>
      <c r="D529" s="584"/>
      <c r="E529" s="584"/>
      <c r="F529" s="584"/>
      <c r="G529" s="584"/>
      <c r="H529" s="585"/>
      <c r="I529" s="586"/>
      <c r="J529" s="586"/>
      <c r="K529" s="586"/>
      <c r="L529" s="586"/>
    </row>
    <row r="530" spans="2:12" ht="15" hidden="1" customHeight="1" x14ac:dyDescent="0.35">
      <c r="B530" s="583"/>
      <c r="C530" s="584"/>
      <c r="D530" s="584"/>
      <c r="E530" s="584"/>
      <c r="F530" s="584"/>
      <c r="G530" s="584"/>
      <c r="H530" s="585"/>
      <c r="I530" s="586"/>
      <c r="J530" s="586"/>
      <c r="K530" s="586"/>
      <c r="L530" s="586"/>
    </row>
    <row r="531" spans="2:12" x14ac:dyDescent="0.35"/>
  </sheetData>
  <sheetProtection algorithmName="SHA-512" hashValue="zlNsgF1np5uFke/GdlIUkeRu5dDCGECDPLnJVu+upy/eSjWy4xqgxRAGfsVUqhPX+WsL1JuoNY9CWMEFhR23rA==" saltValue="ay48t+iI4uHVeU7abCDVzw==" spinCount="100000" sheet="1" objects="1" scenarios="1"/>
  <conditionalFormatting sqref="A1">
    <cfRule type="cellIs" dxfId="3966" priority="1" operator="lessThan">
      <formula>0</formula>
    </cfRule>
    <cfRule type="cellIs" dxfId="3965" priority="2" operator="greaterThan">
      <formula>0</formula>
    </cfRule>
    <cfRule type="cellIs" dxfId="3964" priority="3" operator="greaterThan">
      <formula>0</formula>
    </cfRule>
    <cfRule type="cellIs" dxfId="3963" priority="4" operator="lessThan">
      <formula>0</formula>
    </cfRule>
    <cfRule type="cellIs" dxfId="3962" priority="5" operator="lessThan">
      <formula>0</formula>
    </cfRule>
    <cfRule type="cellIs" dxfId="3961" priority="6" operator="lessThan">
      <formula>0</formula>
    </cfRule>
  </conditionalFormatting>
  <conditionalFormatting sqref="A5:A467 A469:A506">
    <cfRule type="cellIs" dxfId="3960" priority="7" operator="lessThan">
      <formula>0</formula>
    </cfRule>
    <cfRule type="cellIs" dxfId="3959" priority="8" operator="greaterThan">
      <formula>0</formula>
    </cfRule>
    <cfRule type="cellIs" dxfId="3958" priority="9" operator="greaterThan">
      <formula>0</formula>
    </cfRule>
    <cfRule type="cellIs" dxfId="3957" priority="10" operator="lessThan">
      <formula>0</formula>
    </cfRule>
    <cfRule type="cellIs" dxfId="3956" priority="11" operator="lessThan">
      <formula>0</formula>
    </cfRule>
    <cfRule type="cellIs" dxfId="3955" priority="12" operator="lessThan">
      <formula>0</formula>
    </cfRule>
    <cfRule type="cellIs" dxfId="3954" priority="13" operator="lessThan">
      <formula>0</formula>
    </cfRule>
    <cfRule type="cellIs" dxfId="3953" priority="16" operator="lessThan">
      <formula>0</formula>
    </cfRule>
    <cfRule type="cellIs" dxfId="3952" priority="17" operator="lessThan">
      <formula>0</formula>
    </cfRule>
    <cfRule type="cellIs" dxfId="3951" priority="18" operator="lessThan">
      <formula>0</formula>
    </cfRule>
    <cfRule type="cellIs" dxfId="3950" priority="19" operator="lessThan">
      <formula>0</formula>
    </cfRule>
    <cfRule type="cellIs" dxfId="3949" priority="22" operator="lessThan">
      <formula>0</formula>
    </cfRule>
    <cfRule type="cellIs" dxfId="3948" priority="23" operator="lessThan">
      <formula>0</formula>
    </cfRule>
    <cfRule type="cellIs" dxfId="3947" priority="24" operator="lessThan">
      <formula>0</formula>
    </cfRule>
  </conditionalFormatting>
  <hyperlinks>
    <hyperlink ref="A468" location="Index!A1" display="Index page" xr:uid="{34153455-41A9-47F8-A04E-A3168449CF05}"/>
    <hyperlink ref="A2" location="Index!A1" display="Index page" xr:uid="{7AF4CE5F-7A65-453E-9325-51FB5DD0A866}"/>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339"/>
  <sheetViews>
    <sheetView showGridLines="0" zoomScaleNormal="100" workbookViewId="0"/>
  </sheetViews>
  <sheetFormatPr defaultColWidth="0" defaultRowHeight="17.5" zeroHeight="1" x14ac:dyDescent="0.35"/>
  <cols>
    <col min="1" max="1" width="94.453125" style="8" customWidth="1"/>
    <col min="2" max="2" width="13.453125" style="9" customWidth="1"/>
    <col min="3" max="3" width="13.453125" style="9" bestFit="1" customWidth="1"/>
    <col min="4" max="4" width="18.54296875" style="9" customWidth="1"/>
    <col min="5" max="5" width="15.453125" style="10" customWidth="1"/>
    <col min="6" max="6" width="3.54296875" style="10" customWidth="1"/>
    <col min="7" max="7" width="18.54296875" style="10" customWidth="1"/>
    <col min="8" max="8" width="20.54296875" style="10" customWidth="1"/>
    <col min="9" max="9" width="19.453125" style="10" customWidth="1"/>
    <col min="10" max="10" width="3.54296875" style="10" customWidth="1"/>
    <col min="11" max="12" width="18.453125" style="8" customWidth="1"/>
    <col min="13" max="13" width="18.54296875" style="8" customWidth="1"/>
    <col min="14" max="14" width="3.54296875" style="8" customWidth="1"/>
    <col min="15" max="15" width="18.54296875" style="8" customWidth="1"/>
    <col min="16" max="16" width="18.453125" style="8" customWidth="1"/>
    <col min="17" max="17" width="19.453125" style="8" customWidth="1"/>
    <col min="18" max="18" width="66.453125" style="12" customWidth="1"/>
    <col min="19" max="19" width="19.54296875" style="8" customWidth="1"/>
    <col min="20" max="21" width="20.453125" style="13" customWidth="1"/>
    <col min="22" max="23" width="19.453125" style="8" customWidth="1"/>
    <col min="24" max="24" width="12.54296875" style="9" customWidth="1"/>
    <col min="25" max="25" width="15.453125" style="355" customWidth="1"/>
    <col min="26" max="26" width="59.54296875" style="12" customWidth="1"/>
    <col min="27" max="16384" width="19" style="8" hidden="1"/>
  </cols>
  <sheetData>
    <row r="1" spans="1:26" s="19" customFormat="1" ht="60" customHeight="1" x14ac:dyDescent="0.35">
      <c r="A1" s="24" t="s">
        <v>1496</v>
      </c>
      <c r="B1" s="21"/>
      <c r="C1" s="21"/>
      <c r="D1" s="21"/>
      <c r="E1" s="21"/>
      <c r="F1" s="20"/>
      <c r="G1" s="20"/>
      <c r="H1" s="277" t="s">
        <v>0</v>
      </c>
      <c r="I1" s="57"/>
      <c r="J1" s="20"/>
      <c r="K1" s="20"/>
      <c r="O1" s="8"/>
      <c r="P1" s="8"/>
      <c r="S1" s="12"/>
      <c r="U1" s="20"/>
      <c r="V1" s="20"/>
      <c r="Y1" s="340"/>
      <c r="Z1" s="12"/>
    </row>
    <row r="2" spans="1:26" ht="31" x14ac:dyDescent="0.35">
      <c r="A2" s="466" t="s">
        <v>1510</v>
      </c>
      <c r="B2" s="21"/>
      <c r="C2" s="21"/>
      <c r="D2" s="21"/>
      <c r="E2" s="21"/>
      <c r="F2" s="20"/>
      <c r="G2" s="20"/>
      <c r="H2" s="20"/>
      <c r="I2" s="57"/>
      <c r="K2" s="10"/>
      <c r="R2" s="8"/>
      <c r="S2" s="12"/>
      <c r="T2" s="8"/>
      <c r="V2" s="13"/>
      <c r="X2" s="8"/>
      <c r="Y2" s="341"/>
    </row>
    <row r="3" spans="1:26" ht="51" customHeight="1" x14ac:dyDescent="0.35">
      <c r="A3" s="125" t="s">
        <v>1476</v>
      </c>
      <c r="B3" s="21"/>
      <c r="C3" s="21"/>
      <c r="D3" s="21"/>
      <c r="E3" s="21"/>
      <c r="F3" s="20"/>
      <c r="G3" s="20"/>
      <c r="H3" s="20"/>
      <c r="I3" s="57"/>
      <c r="K3" s="10"/>
      <c r="R3" s="8"/>
      <c r="S3" s="12"/>
      <c r="T3" s="8"/>
      <c r="V3" s="13"/>
      <c r="X3" s="8"/>
      <c r="Y3" s="341"/>
    </row>
    <row r="4" spans="1:26" ht="249.65" customHeight="1" x14ac:dyDescent="0.35">
      <c r="A4" s="654" t="s">
        <v>1774</v>
      </c>
      <c r="B4" s="21"/>
      <c r="C4" s="21"/>
      <c r="D4" s="21"/>
      <c r="E4" s="21"/>
      <c r="F4" s="20"/>
      <c r="G4" s="20"/>
      <c r="H4" s="20"/>
      <c r="I4" s="57"/>
      <c r="K4" s="10"/>
      <c r="R4" s="8"/>
      <c r="S4" s="12"/>
      <c r="T4" s="8"/>
      <c r="V4" s="13"/>
      <c r="X4" s="8"/>
      <c r="Y4" s="341"/>
    </row>
    <row r="5" spans="1:26" ht="44.15" customHeight="1" x14ac:dyDescent="0.35">
      <c r="A5" s="134" t="s">
        <v>1699</v>
      </c>
      <c r="B5" s="325"/>
      <c r="C5" s="28"/>
      <c r="D5" s="340"/>
      <c r="E5" s="28"/>
      <c r="F5" s="28"/>
      <c r="G5" s="57"/>
      <c r="H5" s="57"/>
      <c r="I5" s="57"/>
      <c r="K5" s="10"/>
      <c r="R5" s="8"/>
      <c r="S5" s="12"/>
      <c r="T5" s="8"/>
      <c r="V5" s="13"/>
      <c r="X5" s="8"/>
      <c r="Y5" s="341"/>
    </row>
    <row r="6" spans="1:26" s="48" customFormat="1" ht="60" customHeight="1" x14ac:dyDescent="0.7">
      <c r="A6" s="23" t="s">
        <v>89</v>
      </c>
      <c r="B6" s="58"/>
      <c r="C6" s="58"/>
      <c r="D6" s="475"/>
      <c r="E6" s="59"/>
      <c r="F6" s="59"/>
      <c r="G6" s="59"/>
      <c r="H6" s="59"/>
      <c r="I6" s="59"/>
      <c r="J6" s="59"/>
      <c r="K6" s="59"/>
      <c r="L6" s="59"/>
      <c r="M6" s="59"/>
      <c r="N6" s="59"/>
      <c r="O6" s="59"/>
      <c r="P6" s="59"/>
      <c r="Q6" s="59"/>
      <c r="R6" s="258"/>
      <c r="S6" s="12"/>
      <c r="T6" s="8"/>
      <c r="U6" s="168"/>
      <c r="V6" s="168"/>
      <c r="W6" s="168"/>
      <c r="X6" s="170"/>
      <c r="Y6" s="168"/>
      <c r="Z6" s="12"/>
    </row>
    <row r="7" spans="1:26" ht="31.5" customHeight="1" x14ac:dyDescent="0.35">
      <c r="A7" s="431" t="s">
        <v>90</v>
      </c>
      <c r="B7"/>
      <c r="C7"/>
      <c r="D7" s="467"/>
      <c r="E7" s="66"/>
      <c r="F7" s="8"/>
      <c r="G7" s="8"/>
      <c r="H7" s="167"/>
      <c r="I7" s="167"/>
      <c r="J7" s="167"/>
      <c r="R7" s="8"/>
      <c r="S7" s="12"/>
      <c r="T7" s="8"/>
      <c r="U7" s="8"/>
      <c r="X7" s="8"/>
      <c r="Y7" s="342"/>
      <c r="Z7" s="8"/>
    </row>
    <row r="8" spans="1:26" s="48" customFormat="1" ht="60" customHeight="1" x14ac:dyDescent="0.7">
      <c r="A8" s="23" t="s">
        <v>91</v>
      </c>
      <c r="B8" s="58"/>
      <c r="C8" s="58"/>
      <c r="D8" s="475"/>
      <c r="E8" s="59"/>
      <c r="F8" s="59"/>
      <c r="G8" s="59"/>
      <c r="H8" s="59"/>
      <c r="I8" s="59"/>
      <c r="J8" s="59"/>
      <c r="K8" s="59"/>
      <c r="L8" s="59"/>
      <c r="M8" s="59"/>
      <c r="N8" s="59"/>
      <c r="O8" s="59"/>
      <c r="P8" s="59"/>
      <c r="Q8" s="59"/>
      <c r="R8" s="59"/>
      <c r="S8" s="12"/>
      <c r="T8" s="8"/>
      <c r="U8" s="168"/>
      <c r="V8" s="168"/>
      <c r="W8" s="168"/>
      <c r="X8" s="168"/>
      <c r="Y8" s="168"/>
      <c r="Z8" s="168"/>
    </row>
    <row r="9" spans="1:26" ht="18.649999999999999" customHeight="1" x14ac:dyDescent="0.35">
      <c r="A9" s="251" t="s">
        <v>1682</v>
      </c>
      <c r="B9" s="58"/>
      <c r="C9" s="58"/>
      <c r="D9" s="475"/>
      <c r="E9" s="59"/>
      <c r="F9" s="59"/>
      <c r="G9" s="20"/>
      <c r="H9" s="57"/>
      <c r="I9" s="57"/>
      <c r="K9" s="10"/>
      <c r="R9" s="8"/>
      <c r="S9" s="12"/>
      <c r="T9" s="8"/>
      <c r="V9" s="13"/>
      <c r="X9" s="8"/>
      <c r="Y9" s="341"/>
    </row>
    <row r="10" spans="1:26" s="342" customFormat="1" ht="74.900000000000006" customHeight="1" x14ac:dyDescent="0.35">
      <c r="A10" s="29" t="s">
        <v>1561</v>
      </c>
      <c r="B10" s="34" t="s">
        <v>92</v>
      </c>
      <c r="C10" s="269" t="s">
        <v>93</v>
      </c>
      <c r="D10" s="221" t="s">
        <v>94</v>
      </c>
      <c r="E10" s="270" t="s">
        <v>95</v>
      </c>
      <c r="F10" s="59"/>
      <c r="G10" s="115" t="str">
        <f>"Actual                  "&amp;RIGHT('Version control'!$A$1,4)-2&amp;"/"&amp;RIGHT('Version control'!$A$1,4)-2001&amp;"            "</f>
        <v xml:space="preserve">Actual                  2024/25            </v>
      </c>
      <c r="H10" s="343"/>
      <c r="I10" s="115" t="str">
        <f>"Actual                  "&amp;RIGHT('Version control'!$A$1,4)-1&amp;"/"&amp;RIGHT('Version control'!$A$1,4)-2000&amp;"            "</f>
        <v xml:space="preserve">Actual                  2025/26            </v>
      </c>
      <c r="J10" s="343"/>
      <c r="K10" s="344"/>
      <c r="L10" s="322" t="str">
        <f>"Estimated                  "&amp;RIGHT('Version control'!$A$1,4)&amp;"/"&amp;RIGHT('Version control'!$A$1,4)-2000+1&amp;"            "</f>
        <v xml:space="preserve">Estimated                  2026/27            </v>
      </c>
      <c r="M10" s="8"/>
      <c r="O10" s="345"/>
      <c r="P10" s="346"/>
      <c r="Q10" s="59"/>
      <c r="R10" s="192" t="s">
        <v>96</v>
      </c>
      <c r="S10" s="177" t="s">
        <v>97</v>
      </c>
      <c r="T10" s="177" t="s">
        <v>98</v>
      </c>
      <c r="U10" s="177" t="s">
        <v>99</v>
      </c>
      <c r="V10" s="178" t="s">
        <v>100</v>
      </c>
      <c r="W10" s="178" t="s">
        <v>101</v>
      </c>
      <c r="X10" s="177" t="s">
        <v>102</v>
      </c>
      <c r="Y10" s="179" t="s">
        <v>103</v>
      </c>
      <c r="Z10" s="179" t="s">
        <v>104</v>
      </c>
    </row>
    <row r="11" spans="1:26" s="342" customFormat="1" ht="104.9" customHeight="1" x14ac:dyDescent="0.35">
      <c r="A11" s="143" t="s">
        <v>105</v>
      </c>
      <c r="B11" s="204">
        <v>999</v>
      </c>
      <c r="C11" s="347" t="s">
        <v>16</v>
      </c>
      <c r="D11" s="347" t="s">
        <v>1498</v>
      </c>
      <c r="E11" s="128" t="str">
        <f>IF(OR(S11&lt;&gt;"",T11&lt;&gt;"",U11&lt;&gt;"",Z11&lt;&gt;""),"check - see columns S-Z for info","")</f>
        <v>check - see columns S-Z for info</v>
      </c>
      <c r="F11" s="59"/>
      <c r="G11" s="321">
        <f>SUMIF('Prior year BFR download report'!A:A,B11,'Prior year BFR download report'!E:E)</f>
        <v>0</v>
      </c>
      <c r="H11" s="343"/>
      <c r="I11" s="321"/>
      <c r="J11" s="343"/>
      <c r="K11" s="348"/>
      <c r="L11" s="321"/>
      <c r="M11" s="8"/>
      <c r="O11" s="142"/>
      <c r="P11" s="348"/>
      <c r="Q11" s="59"/>
      <c r="R11" s="182" t="s">
        <v>106</v>
      </c>
      <c r="S11" s="190" t="str">
        <f>IF(OR(G11-ROUND(G11,)&lt;&gt;0,I11-ROUND(I11,)&lt;&gt;0,L11-ROUND(L11,)&lt;&gt;0),"No decimal places, letters &amp; odd characters allowed","")</f>
        <v/>
      </c>
      <c r="T11" s="190" t="str">
        <f>IF(OR(G11&lt;V11,I11&lt;V11,L11&lt;V11),"Input value is below the minimum value allowed","")</f>
        <v/>
      </c>
      <c r="U11" s="190" t="str">
        <f>IF(OR(G11&gt;W11,I11&gt;W11,L11&gt;W11),"Input value is above the maximum value allowed","")</f>
        <v/>
      </c>
      <c r="V11" s="272">
        <f>VLOOKUP($B11,'Min max table'!$A$6:$C$209,2,FALSE)</f>
        <v>0</v>
      </c>
      <c r="W11" s="334">
        <f>VLOOKUP($B11,'Min max table'!$A$6:$C$206,3,FALSE)</f>
        <v>999999</v>
      </c>
      <c r="X11" s="222" t="s">
        <v>107</v>
      </c>
      <c r="Y11" s="223" t="str">
        <f>IF(Z11="","","Refer to "&amp;X11&amp;" in the validations table")</f>
        <v>Refer to QU22 in the validations table</v>
      </c>
      <c r="Z11" s="143" t="str">
        <f>IF(AND(ISBLANK('Validations table'!E30),OR(G11&lt;=0,I11&lt;=0,L11&lt;=0)),"Check that you've entered pupil numbers correctly (without rounding) or explain why you've input no pupil numbers.", "")</f>
        <v>Check that you've entered pupil numbers correctly (without rounding) or explain why you've input no pupil numbers.</v>
      </c>
    </row>
    <row r="12" spans="1:26" s="48" customFormat="1" ht="148.5" customHeight="1" x14ac:dyDescent="0.7">
      <c r="A12" s="148" t="s">
        <v>108</v>
      </c>
      <c r="B12" s="347" t="s">
        <v>16</v>
      </c>
      <c r="C12" s="347" t="s">
        <v>16</v>
      </c>
      <c r="D12" s="347" t="s">
        <v>16</v>
      </c>
      <c r="E12" s="128" t="str">
        <f t="shared" ref="E12" si="0">IF(OR(S12&lt;&gt;"",T12&lt;&gt;"",U12&lt;&gt;"",Z12&lt;&gt;""),"check - see columns S-Z for info","")</f>
        <v/>
      </c>
      <c r="F12" s="59"/>
      <c r="G12" s="39"/>
      <c r="H12" s="39"/>
      <c r="I12" s="39"/>
      <c r="J12" s="39"/>
      <c r="K12" s="39"/>
      <c r="L12" s="39"/>
      <c r="M12" s="39"/>
      <c r="N12" s="487"/>
      <c r="O12" s="39"/>
      <c r="P12" s="39"/>
      <c r="Q12" s="39"/>
      <c r="R12" s="182"/>
      <c r="S12" s="190"/>
      <c r="T12" s="190"/>
      <c r="U12" s="190"/>
      <c r="V12" s="272">
        <v>0</v>
      </c>
      <c r="W12" s="334">
        <v>30</v>
      </c>
      <c r="X12" s="222" t="s">
        <v>109</v>
      </c>
      <c r="Y12" s="223" t="str">
        <f>IF(Z12="","","Refer to "&amp;X12&amp;" in the validations table")</f>
        <v/>
      </c>
      <c r="Z12" s="143" t="str">
        <f>IFERROR(IF(AND(ISBLANK('Validations table'!E32),OR((I19/G11&gt;=30),(M19/I11&gt;=30),(Q19/L11&gt;=30))), "Please explain why your GAG per pupil is greater than £30k. ", ""),"")</f>
        <v/>
      </c>
    </row>
    <row r="13" spans="1:26" s="48" customFormat="1" ht="60" customHeight="1" x14ac:dyDescent="0.7">
      <c r="A13" s="23" t="s">
        <v>110</v>
      </c>
      <c r="B13" s="62"/>
      <c r="C13" s="62"/>
      <c r="D13" s="475"/>
      <c r="E13" s="62"/>
      <c r="F13" s="59"/>
      <c r="G13" s="39"/>
      <c r="H13" s="39"/>
      <c r="I13" s="39"/>
      <c r="J13" s="39"/>
      <c r="K13" s="39"/>
      <c r="L13" s="39"/>
      <c r="M13" s="39"/>
      <c r="N13" s="487"/>
      <c r="O13" s="39"/>
      <c r="P13" s="39"/>
      <c r="Q13" s="39"/>
      <c r="R13" s="194"/>
      <c r="S13" s="194"/>
      <c r="T13" s="195"/>
      <c r="U13" s="195"/>
      <c r="V13" s="195"/>
      <c r="W13" s="195"/>
      <c r="X13" s="196"/>
      <c r="Y13" s="197"/>
      <c r="Z13" s="67"/>
    </row>
    <row r="14" spans="1:26" ht="35" x14ac:dyDescent="0.35">
      <c r="A14" s="432" t="s">
        <v>1683</v>
      </c>
      <c r="B14" s="62"/>
      <c r="C14" s="62"/>
      <c r="D14" s="475"/>
      <c r="E14" s="62"/>
      <c r="F14" s="59"/>
      <c r="G14" s="411"/>
      <c r="H14" s="488"/>
      <c r="I14" s="488"/>
      <c r="J14" s="343"/>
      <c r="K14" s="343"/>
      <c r="L14" s="342"/>
      <c r="M14" s="488"/>
      <c r="N14" s="342"/>
      <c r="O14" s="342"/>
      <c r="P14" s="342"/>
      <c r="Q14" s="488"/>
      <c r="R14" s="8"/>
      <c r="S14" s="12"/>
      <c r="T14" s="8"/>
      <c r="V14" s="13"/>
      <c r="X14" s="8"/>
      <c r="Y14" s="341"/>
    </row>
    <row r="15" spans="1:26" ht="45" customHeight="1" x14ac:dyDescent="0.6">
      <c r="A15" s="22" t="s">
        <v>111</v>
      </c>
      <c r="B15" s="65"/>
      <c r="C15" s="65"/>
      <c r="D15" s="476"/>
      <c r="E15" s="65"/>
      <c r="F15" s="59"/>
      <c r="G15" s="39"/>
      <c r="H15" s="39"/>
      <c r="I15" s="39"/>
      <c r="J15" s="39"/>
      <c r="K15" s="39"/>
      <c r="L15" s="142"/>
      <c r="M15" s="39"/>
      <c r="N15" s="357"/>
      <c r="O15" s="142"/>
      <c r="P15" s="142"/>
      <c r="Q15" s="39"/>
      <c r="R15" s="61"/>
      <c r="S15" s="61"/>
      <c r="T15" s="61"/>
      <c r="U15" s="68"/>
      <c r="V15" s="195"/>
      <c r="W15" s="61"/>
      <c r="X15" s="69"/>
      <c r="Y15" s="349"/>
      <c r="Z15" s="67"/>
    </row>
    <row r="16" spans="1:26" ht="45" customHeight="1" x14ac:dyDescent="0.6">
      <c r="A16" s="602" t="s">
        <v>112</v>
      </c>
      <c r="B16" s="65"/>
      <c r="C16" s="65"/>
      <c r="D16" s="476"/>
      <c r="E16" s="63"/>
      <c r="F16" s="13"/>
      <c r="G16" s="39"/>
      <c r="H16" s="39"/>
      <c r="I16" s="349"/>
      <c r="J16" s="349"/>
      <c r="K16" s="39"/>
      <c r="L16" s="349"/>
      <c r="M16" s="349"/>
      <c r="N16" s="349"/>
      <c r="O16" s="349"/>
      <c r="P16" s="349"/>
      <c r="Q16" s="349"/>
      <c r="R16" s="168"/>
      <c r="S16" s="168"/>
      <c r="T16" s="168"/>
      <c r="U16" s="168"/>
      <c r="V16" s="168"/>
      <c r="W16" s="168"/>
      <c r="X16" s="168"/>
      <c r="Y16" s="168"/>
      <c r="Z16" s="168"/>
    </row>
    <row r="17" spans="1:26" s="342" customFormat="1" ht="62" x14ac:dyDescent="0.35">
      <c r="A17" s="29" t="s">
        <v>113</v>
      </c>
      <c r="B17" s="113" t="s">
        <v>92</v>
      </c>
      <c r="C17" s="113" t="s">
        <v>93</v>
      </c>
      <c r="D17" s="177" t="s">
        <v>94</v>
      </c>
      <c r="E17" s="114" t="s">
        <v>95</v>
      </c>
      <c r="F17" s="343"/>
      <c r="G17" s="116" t="str">
        <f>"Prior Year       Actuals                       Sep "&amp;MID($I$17,25,2)&amp;" - Mar "&amp;MID($I$17,28,2) &amp;" £'000"</f>
        <v>Prior Year       Actuals                       Sep 24 - Mar 25 £'000</v>
      </c>
      <c r="H17" s="116" t="str">
        <f>"Prior Year       Calculated                       Apr "&amp;MID($I$17,28,2)&amp;" - Aug "&amp;MID($I$17,28,2) &amp;" £'000"</f>
        <v>Prior Year       Calculated                       Apr 25 - Aug 25 £'000</v>
      </c>
      <c r="I17" s="34" t="str">
        <f>"TOTAL                 "&amp;RIGHT('Version control'!$A$1,4)-2&amp;"/"&amp;RIGHT('Version control'!$A$1,4)-2001&amp;"            £'000"</f>
        <v>TOTAL                 2024/25            £'000</v>
      </c>
      <c r="J17" s="117"/>
      <c r="K17" s="116" t="str">
        <f>"Current Year       Actuals                       Sep "&amp;MID($M$17,20,2)&amp;" - Mar "&amp;MID($M$17,23,2) &amp;" £'000"</f>
        <v>Current Year       Actuals                       Sep 25 - Mar 26 £'000</v>
      </c>
      <c r="L17" s="116" t="str">
        <f>"Current Year       Calculated                       Apr "&amp;MID($M$17,23,2)&amp;" - Aug "&amp;MID($M$17,23,2) &amp;" £'000"</f>
        <v>Current Year       Calculated                       Apr 26 - Aug 26 £'000</v>
      </c>
      <c r="M17" s="34" t="str">
        <f>"TOTAL            "&amp;RIGHT('Version control'!$A$1,4)-1&amp;"/"&amp;RIGHT('Version control'!$A$1,4)-2000&amp;"            £'000"</f>
        <v>TOTAL            2025/26            £'000</v>
      </c>
      <c r="N17" s="118"/>
      <c r="O17" s="34" t="str">
        <f>"Forecast Year                              Sep "&amp;MID($Q$17,22,2)&amp;" - Mar "&amp;MID($Q$17,25,2) &amp;" £'000"</f>
        <v>Forecast Year                              Sep 26 - Mar 27 £'000</v>
      </c>
      <c r="P17" s="116" t="str">
        <f>"Forecast Year       Calculated                       Apr "&amp;MID($Q$17,25,2)&amp;" - Aug "&amp;MID($Q$17,25,2) &amp;" £'000"</f>
        <v>Forecast Year       Calculated                       Apr 27 - Aug 27 £'000</v>
      </c>
      <c r="Q17" s="34" t="str">
        <f>"TOTAL              "&amp;RIGHT('Version control'!$A$1,4)&amp;"/"&amp;RIGHT('Version control'!$A$1,4)-2000+1&amp;"                   £'000"</f>
        <v>TOTAL              2026/27                   £'000</v>
      </c>
      <c r="R17" s="192" t="s">
        <v>114</v>
      </c>
      <c r="S17" s="176" t="s">
        <v>97</v>
      </c>
      <c r="T17" s="177" t="s">
        <v>98</v>
      </c>
      <c r="U17" s="177" t="s">
        <v>99</v>
      </c>
      <c r="V17" s="178" t="s">
        <v>100</v>
      </c>
      <c r="W17" s="178" t="s">
        <v>101</v>
      </c>
      <c r="X17" s="177" t="s">
        <v>102</v>
      </c>
      <c r="Y17" s="179" t="s">
        <v>103</v>
      </c>
      <c r="Z17" s="179" t="s">
        <v>104</v>
      </c>
    </row>
    <row r="18" spans="1:26" s="342" customFormat="1" ht="54" customHeight="1" x14ac:dyDescent="0.35">
      <c r="A18" s="144" t="s">
        <v>115</v>
      </c>
      <c r="B18" s="145">
        <v>101</v>
      </c>
      <c r="C18" s="436" t="s">
        <v>116</v>
      </c>
      <c r="D18" s="347" t="s">
        <v>1498</v>
      </c>
      <c r="E18" s="128" t="str">
        <f t="shared" ref="E18:E28" si="1">IF(OR(S18&lt;&gt;"",T18&lt;&gt;"",U18&lt;&gt;"",Z18&lt;&gt;""),"check - see columns S-Z for info","")</f>
        <v/>
      </c>
      <c r="F18" s="343"/>
      <c r="G18" s="321">
        <f>ROUND(IF($B$5="BFR",SUMIF('Prior year BFR download report'!A:A,B18,'Prior year BFR download report'!G:G),0),0)</f>
        <v>0</v>
      </c>
      <c r="H18" s="254">
        <f t="shared" ref="H18" si="2">+I18-G18</f>
        <v>0</v>
      </c>
      <c r="I18" s="321"/>
      <c r="J18" s="343"/>
      <c r="K18" s="321"/>
      <c r="L18" s="254">
        <f t="shared" ref="L18:L28" si="3">+M18-K18</f>
        <v>0</v>
      </c>
      <c r="M18" s="321"/>
      <c r="N18" s="350"/>
      <c r="O18" s="321"/>
      <c r="P18" s="254">
        <f>+Q18-O18</f>
        <v>0</v>
      </c>
      <c r="Q18" s="321"/>
      <c r="R18" s="183" t="s">
        <v>117</v>
      </c>
      <c r="S18" s="190" t="str">
        <f>IF(OR(G18-ROUND(G18,)&lt;&gt;0,I18-ROUND(I18,)&lt;&gt;0,K18-ROUND(K18,)&lt;&gt;0,M18-ROUND(M18,)&lt;&gt;0,O18-ROUND(O18,)&lt;&gt;0,Q18-ROUND(Q18,)&lt;&gt;0),"No decimal places, letters &amp; odd characters allowed allowed","")</f>
        <v/>
      </c>
      <c r="T18" s="190" t="str">
        <f>IF(OR(G18&lt;V18,I18&lt;V18,K18&lt;V18,M18&lt;V18,O18&lt;V18,Q18&lt;V18),"Input value is below the minimum value allowed","")</f>
        <v/>
      </c>
      <c r="U18" s="190" t="str">
        <f>IF(OR(G18&gt;W18,H18&gt;W18,I18&gt;W18,K18&gt;W18,L18&gt;W18,M18&gt;W18,O18&gt;W18,P18&gt;W18,Q18&gt;W18),"Input value is above the maximum value allowed","")</f>
        <v/>
      </c>
      <c r="V18" s="272">
        <f>VLOOKUP($B18,'Min max table'!$A$6:$C$209,2,FALSE)</f>
        <v>-100000</v>
      </c>
      <c r="W18" s="334">
        <f>VLOOKUP($B18,'Min max table'!$A$6:$C$206,3,FALSE)</f>
        <v>100000</v>
      </c>
      <c r="X18" s="351" t="s">
        <v>16</v>
      </c>
      <c r="Y18" s="351" t="s">
        <v>16</v>
      </c>
      <c r="Z18" s="351"/>
    </row>
    <row r="19" spans="1:26" s="342" customFormat="1" ht="113.15" customHeight="1" x14ac:dyDescent="0.35">
      <c r="A19" s="146" t="s">
        <v>118</v>
      </c>
      <c r="B19" s="147">
        <v>102</v>
      </c>
      <c r="C19" s="436" t="s">
        <v>116</v>
      </c>
      <c r="D19" s="347" t="s">
        <v>1498</v>
      </c>
      <c r="E19" s="128" t="str">
        <f t="shared" si="1"/>
        <v>check - see columns S-Z for info</v>
      </c>
      <c r="F19" s="343"/>
      <c r="G19" s="321">
        <f>ROUND(IF($B$5="BFR",SUMIF('Prior year BFR download report'!A:A,B19,'Prior year BFR download report'!G:G),0),0)</f>
        <v>0</v>
      </c>
      <c r="H19" s="254">
        <f t="shared" ref="H19:H28" si="4">+I19-G19</f>
        <v>0</v>
      </c>
      <c r="I19" s="321"/>
      <c r="J19" s="343"/>
      <c r="K19" s="321"/>
      <c r="L19" s="254">
        <f t="shared" si="3"/>
        <v>0</v>
      </c>
      <c r="M19" s="321"/>
      <c r="N19" s="350"/>
      <c r="O19" s="321"/>
      <c r="P19" s="254">
        <f t="shared" ref="P19:P28" si="5">+Q19-O19</f>
        <v>0</v>
      </c>
      <c r="Q19" s="321"/>
      <c r="R19" s="182" t="s">
        <v>1701</v>
      </c>
      <c r="S19" s="190" t="str">
        <f t="shared" ref="S19:S28" si="6">IF(OR(G19-ROUND(G19,)&lt;&gt;0,I19-ROUND(I19,)&lt;&gt;0,K19-ROUND(K19,)&lt;&gt;0,M19-ROUND(M19,)&lt;&gt;0,O19-ROUND(O19,)&lt;&gt;0,Q19-ROUND(Q19,)&lt;&gt;0),"No decimal places, letters &amp; odd characters allowed","")</f>
        <v/>
      </c>
      <c r="T19" s="190" t="str">
        <f t="shared" ref="T19:T28" si="7">IF(OR(G19&lt;V19,I19&lt;V19,K19&lt;V19,M19&lt;V19,O19&lt;V19,Q19&lt;V19),"Input value is below the minimum value allowed","")</f>
        <v/>
      </c>
      <c r="U19" s="190" t="str">
        <f t="shared" ref="U19:U28" si="8">IF(OR(G19&gt;W19,H19&gt;W19,I19&gt;W19,K19&gt;W19,L19&gt;W19,M19&gt;W19,O19&gt;W19,P19&gt;W19,Q19&gt;W19),"Input value is above the maximum value allowed","")</f>
        <v/>
      </c>
      <c r="V19" s="272">
        <f>VLOOKUP($B19,'Min max table'!$A$6:$C$209,2,FALSE)</f>
        <v>0</v>
      </c>
      <c r="W19" s="334">
        <f>VLOOKUP($B19,'Min max table'!$A$6:$C$206,3,FALSE)</f>
        <v>800000</v>
      </c>
      <c r="X19" s="351" t="s">
        <v>119</v>
      </c>
      <c r="Y19" s="223" t="str">
        <f>IF(Z19="","","Refer to "&amp;X19&amp;" in the validations table")</f>
        <v>Refer to QU1 in the validations table</v>
      </c>
      <c r="Z19" s="351" t="str">
        <f>IF(AND(Q19=0,ISBLANK('Validations table'!E9)),"You have forecast zero for GAG income (line 102) for next year.  Briefly tell us why this value is zero?","")</f>
        <v>You have forecast zero for GAG income (line 102) for next year.  Briefly tell us why this value is zero?</v>
      </c>
    </row>
    <row r="20" spans="1:26" s="342" customFormat="1" ht="55.4" customHeight="1" x14ac:dyDescent="0.35">
      <c r="A20" s="143" t="s">
        <v>120</v>
      </c>
      <c r="B20" s="131">
        <v>103</v>
      </c>
      <c r="C20" s="436" t="s">
        <v>116</v>
      </c>
      <c r="D20" s="347" t="s">
        <v>1498</v>
      </c>
      <c r="E20" s="128" t="str">
        <f t="shared" si="1"/>
        <v/>
      </c>
      <c r="F20" s="343"/>
      <c r="G20" s="321">
        <f>ROUND(IF($B$5="BFR",SUMIF('Prior year BFR download report'!A:A,B20,'Prior year BFR download report'!G:G),0),0)</f>
        <v>0</v>
      </c>
      <c r="H20" s="254">
        <f t="shared" si="4"/>
        <v>0</v>
      </c>
      <c r="I20" s="321"/>
      <c r="J20" s="343"/>
      <c r="K20" s="321"/>
      <c r="L20" s="254">
        <f t="shared" si="3"/>
        <v>0</v>
      </c>
      <c r="M20" s="321"/>
      <c r="N20" s="350"/>
      <c r="O20" s="321"/>
      <c r="P20" s="254">
        <f t="shared" si="5"/>
        <v>0</v>
      </c>
      <c r="Q20" s="321"/>
      <c r="R20" s="182" t="s">
        <v>1763</v>
      </c>
      <c r="S20" s="190" t="str">
        <f t="shared" si="6"/>
        <v/>
      </c>
      <c r="T20" s="190" t="str">
        <f t="shared" si="7"/>
        <v/>
      </c>
      <c r="U20" s="190" t="str">
        <f t="shared" si="8"/>
        <v/>
      </c>
      <c r="V20" s="272">
        <f>VLOOKUP($B20,'Min max table'!$A$6:$C$209,2,FALSE)</f>
        <v>0</v>
      </c>
      <c r="W20" s="334">
        <f>VLOOKUP($B20,'Min max table'!$A$6:$C$206,3,FALSE)</f>
        <v>100000</v>
      </c>
      <c r="X20" s="351" t="s">
        <v>16</v>
      </c>
      <c r="Y20" s="351" t="s">
        <v>16</v>
      </c>
      <c r="Z20" s="351"/>
    </row>
    <row r="21" spans="1:26" s="342" customFormat="1" ht="68.900000000000006" customHeight="1" x14ac:dyDescent="0.35">
      <c r="A21" s="143" t="s">
        <v>121</v>
      </c>
      <c r="B21" s="131">
        <v>105</v>
      </c>
      <c r="C21" s="436" t="s">
        <v>116</v>
      </c>
      <c r="D21" s="347" t="s">
        <v>1498</v>
      </c>
      <c r="E21" s="128" t="str">
        <f t="shared" si="1"/>
        <v/>
      </c>
      <c r="F21" s="343"/>
      <c r="G21" s="321">
        <f>ROUND(IF($B$5="BFR",SUMIF('Prior year BFR download report'!A:A,B21,'Prior year BFR download report'!G:G),0),0)</f>
        <v>0</v>
      </c>
      <c r="H21" s="254">
        <f t="shared" si="4"/>
        <v>0</v>
      </c>
      <c r="I21" s="321"/>
      <c r="J21" s="343"/>
      <c r="K21" s="321"/>
      <c r="L21" s="254">
        <f t="shared" si="3"/>
        <v>0</v>
      </c>
      <c r="M21" s="321"/>
      <c r="N21" s="350"/>
      <c r="O21" s="321"/>
      <c r="P21" s="254">
        <f t="shared" si="5"/>
        <v>0</v>
      </c>
      <c r="Q21" s="321"/>
      <c r="R21" s="182" t="s">
        <v>122</v>
      </c>
      <c r="S21" s="190" t="str">
        <f t="shared" si="6"/>
        <v/>
      </c>
      <c r="T21" s="190" t="str">
        <f t="shared" si="7"/>
        <v/>
      </c>
      <c r="U21" s="190" t="str">
        <f t="shared" si="8"/>
        <v/>
      </c>
      <c r="V21" s="272">
        <f>VLOOKUP($B21,'Min max table'!$A$6:$C$209,2,FALSE)</f>
        <v>0</v>
      </c>
      <c r="W21" s="334">
        <f>VLOOKUP($B21,'Min max table'!$A$6:$C$206,3,FALSE)</f>
        <v>100000</v>
      </c>
      <c r="X21" s="351" t="s">
        <v>16</v>
      </c>
      <c r="Y21" s="351" t="s">
        <v>16</v>
      </c>
      <c r="Z21" s="351"/>
    </row>
    <row r="22" spans="1:26" s="342" customFormat="1" ht="52.5" customHeight="1" x14ac:dyDescent="0.35">
      <c r="A22" s="143" t="s">
        <v>123</v>
      </c>
      <c r="B22" s="131">
        <v>108</v>
      </c>
      <c r="C22" s="436" t="s">
        <v>116</v>
      </c>
      <c r="D22" s="347" t="s">
        <v>1498</v>
      </c>
      <c r="E22" s="128" t="str">
        <f t="shared" si="1"/>
        <v/>
      </c>
      <c r="F22" s="343"/>
      <c r="G22" s="321">
        <f>ROUND(IF($B$5="BFR",SUMIF('Prior year BFR download report'!A:A,B22,'Prior year BFR download report'!G:G),0),0)</f>
        <v>0</v>
      </c>
      <c r="H22" s="254">
        <f t="shared" si="4"/>
        <v>0</v>
      </c>
      <c r="I22" s="321"/>
      <c r="J22" s="343"/>
      <c r="K22" s="321"/>
      <c r="L22" s="254">
        <f t="shared" si="3"/>
        <v>0</v>
      </c>
      <c r="M22" s="321"/>
      <c r="N22" s="350"/>
      <c r="O22" s="321"/>
      <c r="P22" s="254">
        <f t="shared" si="5"/>
        <v>0</v>
      </c>
      <c r="Q22" s="321"/>
      <c r="R22" s="352" t="s">
        <v>124</v>
      </c>
      <c r="S22" s="190" t="str">
        <f t="shared" si="6"/>
        <v/>
      </c>
      <c r="T22" s="190" t="str">
        <f t="shared" si="7"/>
        <v/>
      </c>
      <c r="U22" s="190" t="str">
        <f t="shared" si="8"/>
        <v/>
      </c>
      <c r="V22" s="272">
        <f>VLOOKUP($B22,'Min max table'!$A$6:$C$209,2,FALSE)</f>
        <v>0</v>
      </c>
      <c r="W22" s="334">
        <f>VLOOKUP($B22,'Min max table'!$A$6:$C$206,3,FALSE)</f>
        <v>100000</v>
      </c>
      <c r="X22" s="351" t="s">
        <v>16</v>
      </c>
      <c r="Y22" s="351" t="s">
        <v>16</v>
      </c>
      <c r="Z22" s="351"/>
    </row>
    <row r="23" spans="1:26" s="342" customFormat="1" ht="83.9" customHeight="1" x14ac:dyDescent="0.35">
      <c r="A23" s="143" t="s">
        <v>125</v>
      </c>
      <c r="B23" s="131">
        <v>132</v>
      </c>
      <c r="C23" s="436" t="s">
        <v>116</v>
      </c>
      <c r="D23" s="347" t="s">
        <v>1498</v>
      </c>
      <c r="E23" s="128" t="str">
        <f t="shared" si="1"/>
        <v/>
      </c>
      <c r="F23" s="343"/>
      <c r="G23" s="321">
        <f>ROUND(IF($B$5="BFR",SUMIF('Prior year BFR download report'!A:A,B23,'Prior year BFR download report'!G:G),0),0)</f>
        <v>0</v>
      </c>
      <c r="H23" s="254">
        <f t="shared" si="4"/>
        <v>0</v>
      </c>
      <c r="I23" s="321"/>
      <c r="J23" s="343"/>
      <c r="K23" s="321"/>
      <c r="L23" s="254">
        <f t="shared" si="3"/>
        <v>0</v>
      </c>
      <c r="M23" s="321"/>
      <c r="N23" s="350"/>
      <c r="O23" s="321"/>
      <c r="P23" s="254">
        <f t="shared" si="5"/>
        <v>0</v>
      </c>
      <c r="Q23" s="321"/>
      <c r="R23" s="184" t="s">
        <v>126</v>
      </c>
      <c r="S23" s="190" t="str">
        <f t="shared" si="6"/>
        <v/>
      </c>
      <c r="T23" s="190" t="str">
        <f t="shared" si="7"/>
        <v/>
      </c>
      <c r="U23" s="190" t="str">
        <f t="shared" si="8"/>
        <v/>
      </c>
      <c r="V23" s="272">
        <f>VLOOKUP($B23,'Min max table'!$A$6:$C$209,2,FALSE)</f>
        <v>-100000</v>
      </c>
      <c r="W23" s="334">
        <f>VLOOKUP($B23,'Min max table'!$A$6:$C$206,3,FALSE)</f>
        <v>100000</v>
      </c>
      <c r="X23" s="351" t="s">
        <v>127</v>
      </c>
      <c r="Y23" s="223" t="str">
        <f>IF(Z23="","","Refer to "&amp;X23&amp;" in the validations table")</f>
        <v/>
      </c>
      <c r="Z23" s="351" t="str">
        <f>IF(AND(ISBLANK('Validations table'!E10),OR(I23&lt;&gt;0,M23&lt;&gt;0,Q23&lt;&gt;0)), "Provide further details on the value and estimation of the Pupil Number Adjustment - Line 132","")</f>
        <v/>
      </c>
    </row>
    <row r="24" spans="1:26" s="138" customFormat="1" ht="69.400000000000006" customHeight="1" x14ac:dyDescent="0.35">
      <c r="A24" s="143" t="s">
        <v>128</v>
      </c>
      <c r="B24" s="131">
        <v>135</v>
      </c>
      <c r="C24" s="436" t="s">
        <v>116</v>
      </c>
      <c r="D24" s="347" t="s">
        <v>1498</v>
      </c>
      <c r="E24" s="128" t="str">
        <f t="shared" si="1"/>
        <v/>
      </c>
      <c r="F24" s="343"/>
      <c r="G24" s="321">
        <f>ROUND(IF($B$5="BFR",SUMIF('Prior year BFR download report'!A:A,B24,'Prior year BFR download report'!G:G),0),0)</f>
        <v>0</v>
      </c>
      <c r="H24" s="254">
        <f t="shared" si="4"/>
        <v>0</v>
      </c>
      <c r="I24" s="321"/>
      <c r="J24" s="343"/>
      <c r="K24" s="321"/>
      <c r="L24" s="254">
        <f t="shared" si="3"/>
        <v>0</v>
      </c>
      <c r="M24" s="321"/>
      <c r="N24" s="350"/>
      <c r="O24" s="321"/>
      <c r="P24" s="254">
        <f t="shared" si="5"/>
        <v>0</v>
      </c>
      <c r="Q24" s="321"/>
      <c r="R24" s="324" t="s">
        <v>1730</v>
      </c>
      <c r="S24" s="190" t="str">
        <f t="shared" si="6"/>
        <v/>
      </c>
      <c r="T24" s="190" t="str">
        <f t="shared" si="7"/>
        <v/>
      </c>
      <c r="U24" s="190" t="str">
        <f t="shared" si="8"/>
        <v/>
      </c>
      <c r="V24" s="272">
        <f>VLOOKUP($B24,'Min max table'!$A$6:$C$209,2,FALSE)</f>
        <v>0</v>
      </c>
      <c r="W24" s="334">
        <f>VLOOKUP($B24,'Min max table'!$A$6:$C$206,3,FALSE)</f>
        <v>100000</v>
      </c>
      <c r="X24" s="351" t="s">
        <v>16</v>
      </c>
      <c r="Y24" s="351" t="s">
        <v>16</v>
      </c>
      <c r="Z24" s="351"/>
    </row>
    <row r="25" spans="1:26" s="138" customFormat="1" ht="109.15" customHeight="1" x14ac:dyDescent="0.35">
      <c r="A25" s="143" t="s">
        <v>1769</v>
      </c>
      <c r="B25" s="131">
        <v>136</v>
      </c>
      <c r="C25" s="436" t="s">
        <v>116</v>
      </c>
      <c r="D25" s="347" t="s">
        <v>1498</v>
      </c>
      <c r="E25" s="128" t="str">
        <f t="shared" si="1"/>
        <v/>
      </c>
      <c r="F25" s="343"/>
      <c r="G25" s="321">
        <f>ROUND(IF($B$5="BFR",SUMIF('Prior year BFR download report'!A:A,B25,'Prior year BFR download report'!G:G),0),0)</f>
        <v>0</v>
      </c>
      <c r="H25" s="254">
        <f t="shared" si="4"/>
        <v>0</v>
      </c>
      <c r="I25" s="321"/>
      <c r="J25" s="343"/>
      <c r="K25" s="321"/>
      <c r="L25" s="254">
        <f t="shared" si="3"/>
        <v>0</v>
      </c>
      <c r="M25" s="321"/>
      <c r="N25" s="350"/>
      <c r="O25" s="321"/>
      <c r="P25" s="254">
        <f t="shared" si="5"/>
        <v>0</v>
      </c>
      <c r="Q25" s="321"/>
      <c r="R25" s="184" t="s">
        <v>1770</v>
      </c>
      <c r="S25" s="190" t="str">
        <f t="shared" si="6"/>
        <v/>
      </c>
      <c r="T25" s="190" t="str">
        <f t="shared" si="7"/>
        <v/>
      </c>
      <c r="U25" s="190" t="str">
        <f t="shared" si="8"/>
        <v/>
      </c>
      <c r="V25" s="272">
        <f>VLOOKUP($B25,'Min max table'!$A$6:$C$209,2,FALSE)</f>
        <v>0</v>
      </c>
      <c r="W25" s="334">
        <f>VLOOKUP($B25,'Min max table'!$A$6:$C$206,3,FALSE)</f>
        <v>100000</v>
      </c>
      <c r="X25" s="351" t="s">
        <v>16</v>
      </c>
      <c r="Y25" s="351" t="s">
        <v>16</v>
      </c>
      <c r="Z25" s="351"/>
    </row>
    <row r="26" spans="1:26" s="138" customFormat="1" ht="53.9" customHeight="1" x14ac:dyDescent="0.35">
      <c r="A26" s="143" t="s">
        <v>129</v>
      </c>
      <c r="B26" s="131">
        <v>137</v>
      </c>
      <c r="C26" s="436" t="s">
        <v>116</v>
      </c>
      <c r="D26" s="347" t="s">
        <v>1498</v>
      </c>
      <c r="E26" s="128" t="str">
        <f t="shared" si="1"/>
        <v/>
      </c>
      <c r="F26" s="343"/>
      <c r="G26" s="321">
        <f>ROUND(IF($B$5="BFR",SUMIF('Prior year BFR download report'!A:A,B26,'Prior year BFR download report'!G:G),0),0)</f>
        <v>0</v>
      </c>
      <c r="H26" s="254">
        <f t="shared" si="4"/>
        <v>0</v>
      </c>
      <c r="I26" s="321"/>
      <c r="J26" s="343"/>
      <c r="K26" s="321"/>
      <c r="L26" s="254">
        <f t="shared" si="3"/>
        <v>0</v>
      </c>
      <c r="M26" s="321"/>
      <c r="N26" s="350"/>
      <c r="O26" s="321"/>
      <c r="P26" s="254">
        <f t="shared" si="5"/>
        <v>0</v>
      </c>
      <c r="Q26" s="321"/>
      <c r="R26" s="324" t="s">
        <v>130</v>
      </c>
      <c r="S26" s="190" t="str">
        <f t="shared" si="6"/>
        <v/>
      </c>
      <c r="T26" s="190" t="str">
        <f t="shared" si="7"/>
        <v/>
      </c>
      <c r="U26" s="190" t="str">
        <f t="shared" si="8"/>
        <v/>
      </c>
      <c r="V26" s="272">
        <f>VLOOKUP($B26,'Min max table'!$A$6:$C$209,2,FALSE)</f>
        <v>0</v>
      </c>
      <c r="W26" s="334">
        <f>VLOOKUP($B26,'Min max table'!$A$6:$C$206,3,FALSE)</f>
        <v>100000</v>
      </c>
      <c r="X26" s="351" t="s">
        <v>16</v>
      </c>
      <c r="Y26" s="351" t="s">
        <v>16</v>
      </c>
      <c r="Z26" s="351"/>
    </row>
    <row r="27" spans="1:26" s="342" customFormat="1" ht="84.65" customHeight="1" x14ac:dyDescent="0.35">
      <c r="A27" s="143" t="s">
        <v>1764</v>
      </c>
      <c r="B27" s="131">
        <v>138</v>
      </c>
      <c r="C27" s="436" t="s">
        <v>116</v>
      </c>
      <c r="D27" s="347" t="s">
        <v>1498</v>
      </c>
      <c r="E27" s="128" t="str">
        <f t="shared" si="1"/>
        <v/>
      </c>
      <c r="F27" s="343"/>
      <c r="G27" s="321">
        <f>ROUND(IF($B$5="BFR",SUMIF('Prior year BFR download report'!A:A,B27,'Prior year BFR download report'!G:G),0),0)</f>
        <v>0</v>
      </c>
      <c r="H27" s="254">
        <f t="shared" si="4"/>
        <v>0</v>
      </c>
      <c r="I27" s="321"/>
      <c r="J27" s="343"/>
      <c r="K27" s="321"/>
      <c r="L27" s="254">
        <f t="shared" si="3"/>
        <v>0</v>
      </c>
      <c r="M27" s="321"/>
      <c r="N27" s="350"/>
      <c r="O27" s="321"/>
      <c r="P27" s="254">
        <f t="shared" si="5"/>
        <v>0</v>
      </c>
      <c r="Q27" s="321"/>
      <c r="R27" s="184" t="s">
        <v>1771</v>
      </c>
      <c r="S27" s="190" t="str">
        <f t="shared" si="6"/>
        <v/>
      </c>
      <c r="T27" s="190" t="str">
        <f t="shared" si="7"/>
        <v/>
      </c>
      <c r="U27" s="190" t="str">
        <f t="shared" si="8"/>
        <v/>
      </c>
      <c r="V27" s="272">
        <f>VLOOKUP($B27,'Min max table'!$A$6:$C$209,2,FALSE)</f>
        <v>0</v>
      </c>
      <c r="W27" s="334">
        <f>VLOOKUP($B27,'Min max table'!$A$6:$C$206,3,FALSE)</f>
        <v>300000</v>
      </c>
      <c r="X27" s="351" t="s">
        <v>16</v>
      </c>
      <c r="Y27" s="351" t="s">
        <v>16</v>
      </c>
      <c r="Z27" s="351"/>
    </row>
    <row r="28" spans="1:26" s="342" customFormat="1" ht="147" customHeight="1" x14ac:dyDescent="0.35">
      <c r="A28" s="146" t="s">
        <v>132</v>
      </c>
      <c r="B28" s="147">
        <v>150</v>
      </c>
      <c r="C28" s="436" t="s">
        <v>116</v>
      </c>
      <c r="D28" s="347" t="s">
        <v>1498</v>
      </c>
      <c r="E28" s="128" t="str">
        <f t="shared" si="1"/>
        <v/>
      </c>
      <c r="F28" s="343"/>
      <c r="G28" s="321">
        <f>ROUND(IF($B$5="BFR",SUMIF('Prior year BFR download report'!A:A,B28,'Prior year BFR download report'!G:G),0),0)</f>
        <v>0</v>
      </c>
      <c r="H28" s="254">
        <f t="shared" si="4"/>
        <v>0</v>
      </c>
      <c r="I28" s="321"/>
      <c r="J28" s="343"/>
      <c r="K28" s="321"/>
      <c r="L28" s="254">
        <f t="shared" si="3"/>
        <v>0</v>
      </c>
      <c r="M28" s="321"/>
      <c r="N28" s="350"/>
      <c r="O28" s="321"/>
      <c r="P28" s="254">
        <f t="shared" si="5"/>
        <v>0</v>
      </c>
      <c r="Q28" s="321"/>
      <c r="R28" s="324" t="s">
        <v>1778</v>
      </c>
      <c r="S28" s="190" t="str">
        <f t="shared" si="6"/>
        <v/>
      </c>
      <c r="T28" s="190" t="str">
        <f t="shared" si="7"/>
        <v/>
      </c>
      <c r="U28" s="190" t="str">
        <f t="shared" si="8"/>
        <v/>
      </c>
      <c r="V28" s="272">
        <f>VLOOKUP($B28,'Min max table'!$A$6:$C$209,2,FALSE)</f>
        <v>-100000</v>
      </c>
      <c r="W28" s="334">
        <f>VLOOKUP($B28,'Min max table'!$A$6:$C$206,3,FALSE)</f>
        <v>300000</v>
      </c>
      <c r="X28" s="351" t="s">
        <v>16</v>
      </c>
      <c r="Y28" s="351" t="s">
        <v>16</v>
      </c>
      <c r="Z28" s="351"/>
    </row>
    <row r="29" spans="1:26" s="342" customFormat="1" ht="25.4" customHeight="1" x14ac:dyDescent="0.35">
      <c r="A29" s="148" t="s">
        <v>133</v>
      </c>
      <c r="B29" s="139">
        <v>199</v>
      </c>
      <c r="C29" s="435"/>
      <c r="D29" s="316"/>
      <c r="E29" s="128"/>
      <c r="F29" s="343"/>
      <c r="G29" s="254">
        <f>SUM(G18:G28)</f>
        <v>0</v>
      </c>
      <c r="H29" s="254">
        <f>SUM(H18:H28)</f>
        <v>0</v>
      </c>
      <c r="I29" s="254">
        <f>SUM(I18:I28)</f>
        <v>0</v>
      </c>
      <c r="J29" s="343"/>
      <c r="K29" s="254">
        <f>SUM(K18:K28)</f>
        <v>0</v>
      </c>
      <c r="L29" s="254">
        <f>SUM(L18:L28)</f>
        <v>0</v>
      </c>
      <c r="M29" s="254">
        <f>SUM(M18:M28)</f>
        <v>0</v>
      </c>
      <c r="O29" s="254">
        <f>SUM(O18:O28)</f>
        <v>0</v>
      </c>
      <c r="P29" s="254">
        <f>SUM(P18:P28)</f>
        <v>0</v>
      </c>
      <c r="Q29" s="254">
        <f>SUM(Q18:Q28)</f>
        <v>0</v>
      </c>
      <c r="R29" s="133"/>
      <c r="S29" s="133"/>
      <c r="T29" s="133"/>
      <c r="U29" s="353"/>
      <c r="V29" s="353"/>
      <c r="W29" s="353"/>
      <c r="X29" s="353"/>
      <c r="Y29" s="353"/>
      <c r="Z29" s="353"/>
    </row>
    <row r="30" spans="1:26" ht="90.65" customHeight="1" x14ac:dyDescent="0.6">
      <c r="A30" s="603" t="s">
        <v>134</v>
      </c>
      <c r="B30" s="74"/>
      <c r="C30" s="74"/>
      <c r="D30" s="477"/>
      <c r="E30" s="74"/>
      <c r="F30" s="74"/>
      <c r="G30" s="74"/>
      <c r="H30" s="74"/>
      <c r="I30" s="74"/>
      <c r="J30" s="74"/>
      <c r="K30" s="74"/>
      <c r="L30" s="74"/>
      <c r="M30" s="74"/>
      <c r="N30" s="74"/>
      <c r="O30" s="74"/>
      <c r="P30" s="74"/>
      <c r="Q30" s="74"/>
      <c r="R30" s="73"/>
      <c r="S30" s="73"/>
      <c r="T30" s="73"/>
      <c r="U30" s="73"/>
      <c r="V30" s="75"/>
      <c r="W30" s="75"/>
      <c r="X30" s="75"/>
      <c r="Y30" s="354"/>
      <c r="Z30" s="76"/>
    </row>
    <row r="31" spans="1:26" s="342" customFormat="1" ht="62" x14ac:dyDescent="0.35">
      <c r="A31" s="232" t="s">
        <v>113</v>
      </c>
      <c r="B31" s="113" t="s">
        <v>92</v>
      </c>
      <c r="C31" s="113" t="s">
        <v>93</v>
      </c>
      <c r="D31" s="177" t="s">
        <v>94</v>
      </c>
      <c r="E31" s="119" t="s">
        <v>95</v>
      </c>
      <c r="F31" s="343"/>
      <c r="G31" s="116" t="str">
        <f>$G$17</f>
        <v>Prior Year       Actuals                       Sep 24 - Mar 25 £'000</v>
      </c>
      <c r="H31" s="116" t="str">
        <f>$H$17</f>
        <v>Prior Year       Calculated                       Apr 25 - Aug 25 £'000</v>
      </c>
      <c r="I31" s="34" t="str">
        <f>$I$17</f>
        <v>TOTAL                 2024/25            £'000</v>
      </c>
      <c r="J31" s="117"/>
      <c r="K31" s="116" t="str">
        <f>$K$17</f>
        <v>Current Year       Actuals                       Sep 25 - Mar 26 £'000</v>
      </c>
      <c r="L31" s="116" t="str">
        <f>$L$17</f>
        <v>Current Year       Calculated                       Apr 26 - Aug 26 £'000</v>
      </c>
      <c r="M31" s="34" t="str">
        <f>$M$17</f>
        <v>TOTAL            2025/26            £'000</v>
      </c>
      <c r="N31" s="118"/>
      <c r="O31" s="34" t="str">
        <f>$O$17</f>
        <v>Forecast Year                              Sep 26 - Mar 27 £'000</v>
      </c>
      <c r="P31" s="116" t="str">
        <f>$P$17</f>
        <v>Forecast Year       Calculated                       Apr 27 - Aug 27 £'000</v>
      </c>
      <c r="Q31" s="34" t="str">
        <f>$Q$17</f>
        <v>TOTAL              2026/27                   £'000</v>
      </c>
      <c r="R31" s="192" t="s">
        <v>114</v>
      </c>
      <c r="S31" s="176" t="s">
        <v>97</v>
      </c>
      <c r="T31" s="177" t="s">
        <v>98</v>
      </c>
      <c r="U31" s="177" t="s">
        <v>99</v>
      </c>
      <c r="V31" s="178" t="s">
        <v>100</v>
      </c>
      <c r="W31" s="178" t="s">
        <v>101</v>
      </c>
      <c r="X31" s="177" t="s">
        <v>102</v>
      </c>
      <c r="Y31" s="179" t="s">
        <v>103</v>
      </c>
      <c r="Z31" s="179" t="s">
        <v>104</v>
      </c>
    </row>
    <row r="32" spans="1:26" s="342" customFormat="1" ht="51" customHeight="1" x14ac:dyDescent="0.35">
      <c r="A32" s="146" t="s">
        <v>135</v>
      </c>
      <c r="B32" s="147">
        <v>200</v>
      </c>
      <c r="C32" s="434" t="s">
        <v>116</v>
      </c>
      <c r="D32" s="347" t="s">
        <v>1498</v>
      </c>
      <c r="E32" s="128" t="str">
        <f t="shared" ref="E32:E37" si="9">IF(OR(S32&lt;&gt;"",T32&lt;&gt;"",U32&lt;&gt;"",Z32&lt;&gt;""),"check - see columns S-Z for info","")</f>
        <v/>
      </c>
      <c r="F32" s="343"/>
      <c r="G32" s="321">
        <f>ROUND(IF($B$5="BFR",SUMIF('Prior year BFR download report'!A:A,B32,'Prior year BFR download report'!G:G),0),0)</f>
        <v>0</v>
      </c>
      <c r="H32" s="254">
        <f t="shared" ref="H32:H37" si="10">+I32-G32</f>
        <v>0</v>
      </c>
      <c r="I32" s="321"/>
      <c r="J32" s="343"/>
      <c r="K32" s="321"/>
      <c r="L32" s="254">
        <f t="shared" ref="L32:L37" si="11">+M32-K32</f>
        <v>0</v>
      </c>
      <c r="M32" s="321"/>
      <c r="N32" s="350"/>
      <c r="O32" s="321"/>
      <c r="P32" s="254">
        <f t="shared" ref="P32:P37" si="12">+Q32-O32</f>
        <v>0</v>
      </c>
      <c r="Q32" s="321"/>
      <c r="R32" s="324" t="s">
        <v>136</v>
      </c>
      <c r="S32" s="190" t="str">
        <f t="shared" ref="S32:S37" si="13">IF(OR(G32-ROUND(G32,)&lt;&gt;0,I32-ROUND(I32,)&lt;&gt;0,K32-ROUND(K32,)&lt;&gt;0,M32-ROUND(M32,)&lt;&gt;0,O32-ROUND(O32,)&lt;&gt;0,Q32-ROUND(Q32,)&lt;&gt;0),"No decimal places, letters &amp; odd characters allowed","")</f>
        <v/>
      </c>
      <c r="T32" s="190" t="str">
        <f t="shared" ref="T32" si="14">IF(OR(G32&lt;V32,I32&lt;V32,K32&lt;V32,M32&lt;V32,O32&lt;V32,Q32&lt;V32),"Input value is below the minimum value allowed","")</f>
        <v/>
      </c>
      <c r="U32" s="190" t="str">
        <f t="shared" ref="U32" si="15">IF(OR(G32&gt;W32,H32&gt;W32,I32&gt;W32,K32&gt;W32,L32&gt;W32,M32&gt;W32,O32&gt;W32,P32&gt;W32,Q32&gt;W32),"Input value is above the maximum value allowed","")</f>
        <v/>
      </c>
      <c r="V32" s="272">
        <f>VLOOKUP($B32,'Min max table'!$A$6:$C$209,2,FALSE)</f>
        <v>-400000</v>
      </c>
      <c r="W32" s="334">
        <f>VLOOKUP($B32,'Min max table'!$A$6:$C$206,3,FALSE)</f>
        <v>100000</v>
      </c>
      <c r="X32" s="351" t="s">
        <v>16</v>
      </c>
      <c r="Y32" s="351" t="s">
        <v>16</v>
      </c>
      <c r="Z32" s="351"/>
    </row>
    <row r="33" spans="1:26" s="342" customFormat="1" ht="203.15" customHeight="1" x14ac:dyDescent="0.35">
      <c r="A33" s="146" t="s">
        <v>137</v>
      </c>
      <c r="B33" s="147">
        <v>205</v>
      </c>
      <c r="C33" s="434" t="s">
        <v>116</v>
      </c>
      <c r="D33" s="347" t="s">
        <v>1498</v>
      </c>
      <c r="E33" s="128" t="str">
        <f t="shared" si="9"/>
        <v/>
      </c>
      <c r="F33" s="343"/>
      <c r="G33" s="321">
        <f>ROUND(IF($B$5="BFR",SUMIF('Prior year BFR download report'!A:A,B33,'Prior year BFR download report'!G:G),0),0)</f>
        <v>0</v>
      </c>
      <c r="H33" s="254">
        <f t="shared" si="10"/>
        <v>0</v>
      </c>
      <c r="I33" s="321"/>
      <c r="J33" s="343"/>
      <c r="K33" s="321"/>
      <c r="L33" s="254">
        <f t="shared" si="11"/>
        <v>0</v>
      </c>
      <c r="M33" s="321"/>
      <c r="N33" s="350"/>
      <c r="O33" s="321"/>
      <c r="P33" s="254">
        <f t="shared" si="12"/>
        <v>0</v>
      </c>
      <c r="Q33" s="321"/>
      <c r="R33" s="324" t="s">
        <v>1779</v>
      </c>
      <c r="S33" s="190" t="str">
        <f t="shared" si="13"/>
        <v/>
      </c>
      <c r="T33" s="190" t="str">
        <f t="shared" ref="T33:T37" si="16">IF(OR(G33&lt;V33,I33&lt;V33,K33&lt;V33,M33&lt;V33,O33&lt;V33,Q33&lt;V33),"Input value is below the minimum value allowed","")</f>
        <v/>
      </c>
      <c r="U33" s="190" t="str">
        <f t="shared" ref="U33:U37" si="17">IF(OR(G33&gt;W33,H33&gt;W33,I33&gt;W33,K33&gt;W33,L33&gt;W33,M33&gt;W33,O33&gt;W33,P33&gt;W33,Q33&gt;W33),"Input value is above the maximum value allowed","")</f>
        <v/>
      </c>
      <c r="V33" s="272">
        <f>VLOOKUP($B33,'Min max table'!$A$6:$C$209,2,FALSE)</f>
        <v>-400000</v>
      </c>
      <c r="W33" s="334">
        <f>VLOOKUP($B33,'Min max table'!$A$6:$C$206,3,FALSE)</f>
        <v>100000</v>
      </c>
      <c r="X33" s="351" t="s">
        <v>16</v>
      </c>
      <c r="Y33" s="351" t="s">
        <v>16</v>
      </c>
      <c r="Z33" s="351"/>
    </row>
    <row r="34" spans="1:26" s="342" customFormat="1" ht="49.5" customHeight="1" x14ac:dyDescent="0.35">
      <c r="A34" s="146" t="s">
        <v>138</v>
      </c>
      <c r="B34" s="147">
        <v>210</v>
      </c>
      <c r="C34" s="434" t="s">
        <v>116</v>
      </c>
      <c r="D34" s="347" t="s">
        <v>1498</v>
      </c>
      <c r="E34" s="128" t="str">
        <f t="shared" si="9"/>
        <v/>
      </c>
      <c r="F34" s="343"/>
      <c r="G34" s="321">
        <f>ROUND(IF($B$5="BFR",SUMIF('Prior year BFR download report'!A:A,B34,'Prior year BFR download report'!G:G),0),0)</f>
        <v>0</v>
      </c>
      <c r="H34" s="254">
        <f t="shared" si="10"/>
        <v>0</v>
      </c>
      <c r="I34" s="321"/>
      <c r="J34" s="343"/>
      <c r="K34" s="321"/>
      <c r="L34" s="254">
        <f t="shared" si="11"/>
        <v>0</v>
      </c>
      <c r="M34" s="321"/>
      <c r="N34" s="350"/>
      <c r="O34" s="321"/>
      <c r="P34" s="254">
        <f t="shared" si="12"/>
        <v>0</v>
      </c>
      <c r="Q34" s="321"/>
      <c r="R34" s="324" t="s">
        <v>139</v>
      </c>
      <c r="S34" s="190" t="str">
        <f t="shared" si="13"/>
        <v/>
      </c>
      <c r="T34" s="190" t="str">
        <f t="shared" si="16"/>
        <v/>
      </c>
      <c r="U34" s="190" t="str">
        <f t="shared" si="17"/>
        <v/>
      </c>
      <c r="V34" s="272">
        <f>VLOOKUP($B34,'Min max table'!$A$6:$C$209,2,FALSE)</f>
        <v>-400000</v>
      </c>
      <c r="W34" s="334">
        <f>VLOOKUP($B34,'Min max table'!$A$6:$C$206,3,FALSE)</f>
        <v>100000</v>
      </c>
      <c r="X34" s="351" t="s">
        <v>16</v>
      </c>
      <c r="Y34" s="351" t="s">
        <v>16</v>
      </c>
      <c r="Z34" s="351"/>
    </row>
    <row r="35" spans="1:26" s="342" customFormat="1" ht="66.650000000000006" customHeight="1" x14ac:dyDescent="0.35">
      <c r="A35" s="146" t="s">
        <v>140</v>
      </c>
      <c r="B35" s="147">
        <v>211</v>
      </c>
      <c r="C35" s="434" t="s">
        <v>116</v>
      </c>
      <c r="D35" s="347" t="s">
        <v>1498</v>
      </c>
      <c r="E35" s="128" t="str">
        <f t="shared" si="9"/>
        <v/>
      </c>
      <c r="F35" s="343"/>
      <c r="G35" s="321">
        <f>ROUND(IF($B$5="BFR",SUMIF('Prior year BFR download report'!A:A,B35,'Prior year BFR download report'!G:G),0),0)</f>
        <v>0</v>
      </c>
      <c r="H35" s="254">
        <f t="shared" si="10"/>
        <v>0</v>
      </c>
      <c r="I35" s="321"/>
      <c r="J35" s="343"/>
      <c r="K35" s="321"/>
      <c r="L35" s="254">
        <f t="shared" si="11"/>
        <v>0</v>
      </c>
      <c r="M35" s="321"/>
      <c r="N35" s="350"/>
      <c r="O35" s="321"/>
      <c r="P35" s="254">
        <f t="shared" si="12"/>
        <v>0</v>
      </c>
      <c r="Q35" s="321"/>
      <c r="R35" s="324" t="s">
        <v>1732</v>
      </c>
      <c r="S35" s="190" t="str">
        <f t="shared" si="13"/>
        <v/>
      </c>
      <c r="T35" s="190" t="str">
        <f t="shared" si="16"/>
        <v/>
      </c>
      <c r="U35" s="190" t="str">
        <f t="shared" si="17"/>
        <v/>
      </c>
      <c r="V35" s="272">
        <f>VLOOKUP($B35,'Min max table'!$A$6:$C$209,2,FALSE)</f>
        <v>-400000</v>
      </c>
      <c r="W35" s="334">
        <f>VLOOKUP($B35,'Min max table'!$A$6:$C$206,3,FALSE)</f>
        <v>100000</v>
      </c>
      <c r="X35" s="351" t="s">
        <v>16</v>
      </c>
      <c r="Y35" s="351" t="s">
        <v>16</v>
      </c>
      <c r="Z35" s="351"/>
    </row>
    <row r="36" spans="1:26" s="342" customFormat="1" ht="144.65" customHeight="1" x14ac:dyDescent="0.35">
      <c r="A36" s="146" t="s">
        <v>141</v>
      </c>
      <c r="B36" s="147">
        <v>213</v>
      </c>
      <c r="C36" s="434" t="s">
        <v>116</v>
      </c>
      <c r="D36" s="347" t="s">
        <v>1498</v>
      </c>
      <c r="E36" s="305" t="str">
        <f t="shared" si="9"/>
        <v/>
      </c>
      <c r="F36" s="343"/>
      <c r="G36" s="321">
        <f>ROUND(IF($B$5="BFR",SUMIF('Prior year BFR download report'!A:A,B36,'Prior year BFR download report'!G:G),0),0)</f>
        <v>0</v>
      </c>
      <c r="H36" s="254">
        <f t="shared" si="10"/>
        <v>0</v>
      </c>
      <c r="I36" s="321"/>
      <c r="J36" s="343"/>
      <c r="K36" s="321"/>
      <c r="L36" s="254">
        <f t="shared" si="11"/>
        <v>0</v>
      </c>
      <c r="M36" s="321"/>
      <c r="N36" s="350"/>
      <c r="O36" s="321"/>
      <c r="P36" s="254">
        <f t="shared" si="12"/>
        <v>0</v>
      </c>
      <c r="Q36" s="321"/>
      <c r="R36" s="324" t="s">
        <v>1529</v>
      </c>
      <c r="S36" s="190" t="str">
        <f t="shared" si="13"/>
        <v/>
      </c>
      <c r="T36" s="190" t="str">
        <f t="shared" si="16"/>
        <v/>
      </c>
      <c r="U36" s="190" t="str">
        <f t="shared" si="17"/>
        <v/>
      </c>
      <c r="V36" s="272">
        <f>VLOOKUP($B36,'Min max table'!$A$6:$C$209,2,FALSE)</f>
        <v>0</v>
      </c>
      <c r="W36" s="334">
        <f>VLOOKUP($B36,'Min max table'!$A$6:$C$206,3,FALSE)</f>
        <v>100000</v>
      </c>
      <c r="X36" s="351" t="s">
        <v>16</v>
      </c>
      <c r="Y36" s="351" t="s">
        <v>16</v>
      </c>
      <c r="Z36" s="351"/>
    </row>
    <row r="37" spans="1:26" s="342" customFormat="1" ht="71.900000000000006" customHeight="1" x14ac:dyDescent="0.35">
      <c r="A37" s="143" t="s">
        <v>142</v>
      </c>
      <c r="B37" s="131">
        <v>220</v>
      </c>
      <c r="C37" s="434" t="s">
        <v>116</v>
      </c>
      <c r="D37" s="347" t="s">
        <v>1498</v>
      </c>
      <c r="E37" s="128" t="str">
        <f t="shared" si="9"/>
        <v/>
      </c>
      <c r="F37" s="343"/>
      <c r="G37" s="321">
        <f>ROUND(IF($B$5="BFR",SUMIF('Prior year BFR download report'!A:A,B37,'Prior year BFR download report'!G:G),0),0)</f>
        <v>0</v>
      </c>
      <c r="H37" s="254">
        <f t="shared" si="10"/>
        <v>0</v>
      </c>
      <c r="I37" s="321"/>
      <c r="J37" s="343"/>
      <c r="K37" s="321"/>
      <c r="L37" s="254">
        <f t="shared" si="11"/>
        <v>0</v>
      </c>
      <c r="M37" s="321"/>
      <c r="N37" s="350"/>
      <c r="O37" s="321"/>
      <c r="P37" s="254">
        <f t="shared" si="12"/>
        <v>0</v>
      </c>
      <c r="Q37" s="321"/>
      <c r="R37" s="324" t="s">
        <v>143</v>
      </c>
      <c r="S37" s="190" t="str">
        <f t="shared" si="13"/>
        <v/>
      </c>
      <c r="T37" s="190" t="str">
        <f t="shared" si="16"/>
        <v/>
      </c>
      <c r="U37" s="190" t="str">
        <f t="shared" si="17"/>
        <v/>
      </c>
      <c r="V37" s="272">
        <f>VLOOKUP($B37,'Min max table'!$A$6:$C$209,2,FALSE)</f>
        <v>-500000</v>
      </c>
      <c r="W37" s="334">
        <f>VLOOKUP($B37,'Min max table'!$A$6:$C$206,3,FALSE)</f>
        <v>100000</v>
      </c>
      <c r="X37" s="351" t="s">
        <v>16</v>
      </c>
      <c r="Y37" s="351" t="s">
        <v>16</v>
      </c>
      <c r="Z37" s="351"/>
    </row>
    <row r="38" spans="1:26" ht="90" customHeight="1" x14ac:dyDescent="0.6">
      <c r="A38" s="603" t="s">
        <v>144</v>
      </c>
      <c r="B38" s="74"/>
      <c r="C38" s="441"/>
      <c r="D38" s="477"/>
      <c r="E38" s="74"/>
      <c r="F38" s="74"/>
      <c r="G38" s="74"/>
      <c r="H38" s="74"/>
      <c r="I38" s="74"/>
      <c r="J38" s="74"/>
      <c r="K38" s="74"/>
      <c r="L38" s="74"/>
      <c r="M38" s="74"/>
      <c r="N38" s="74"/>
      <c r="O38" s="74"/>
      <c r="P38" s="74"/>
      <c r="Q38" s="74"/>
      <c r="R38" s="73"/>
      <c r="S38" s="73"/>
      <c r="T38" s="73"/>
      <c r="U38" s="73"/>
      <c r="V38" s="75"/>
      <c r="W38" s="75"/>
      <c r="X38" s="75"/>
      <c r="Y38" s="354"/>
      <c r="Z38" s="76"/>
    </row>
    <row r="39" spans="1:26" s="342" customFormat="1" ht="62" x14ac:dyDescent="0.35">
      <c r="A39" s="29" t="s">
        <v>113</v>
      </c>
      <c r="B39" s="113" t="s">
        <v>92</v>
      </c>
      <c r="C39" s="113" t="s">
        <v>93</v>
      </c>
      <c r="D39" s="177" t="s">
        <v>94</v>
      </c>
      <c r="E39" s="114" t="s">
        <v>95</v>
      </c>
      <c r="F39" s="343"/>
      <c r="G39" s="116" t="str">
        <f>$G$17</f>
        <v>Prior Year       Actuals                       Sep 24 - Mar 25 £'000</v>
      </c>
      <c r="H39" s="116" t="str">
        <f>$H$17</f>
        <v>Prior Year       Calculated                       Apr 25 - Aug 25 £'000</v>
      </c>
      <c r="I39" s="34" t="str">
        <f>$I$17</f>
        <v>TOTAL                 2024/25            £'000</v>
      </c>
      <c r="J39" s="117"/>
      <c r="K39" s="116" t="str">
        <f>$K$17</f>
        <v>Current Year       Actuals                       Sep 25 - Mar 26 £'000</v>
      </c>
      <c r="L39" s="116" t="str">
        <f>$L$17</f>
        <v>Current Year       Calculated                       Apr 26 - Aug 26 £'000</v>
      </c>
      <c r="M39" s="34" t="str">
        <f>$M$17</f>
        <v>TOTAL            2025/26            £'000</v>
      </c>
      <c r="N39" s="118"/>
      <c r="O39" s="34" t="str">
        <f>$O$17</f>
        <v>Forecast Year                              Sep 26 - Mar 27 £'000</v>
      </c>
      <c r="P39" s="116" t="str">
        <f>$P$17</f>
        <v>Forecast Year       Calculated                       Apr 27 - Aug 27 £'000</v>
      </c>
      <c r="Q39" s="34" t="str">
        <f>$Q$17</f>
        <v>TOTAL              2026/27                   £'000</v>
      </c>
      <c r="R39" s="192" t="s">
        <v>114</v>
      </c>
      <c r="S39" s="176" t="s">
        <v>97</v>
      </c>
      <c r="T39" s="177" t="s">
        <v>98</v>
      </c>
      <c r="U39" s="177" t="s">
        <v>99</v>
      </c>
      <c r="V39" s="178" t="s">
        <v>100</v>
      </c>
      <c r="W39" s="178" t="s">
        <v>101</v>
      </c>
      <c r="X39" s="177" t="s">
        <v>102</v>
      </c>
      <c r="Y39" s="179" t="s">
        <v>103</v>
      </c>
      <c r="Z39" s="179" t="s">
        <v>104</v>
      </c>
    </row>
    <row r="40" spans="1:26" s="342" customFormat="1" ht="163.5" customHeight="1" x14ac:dyDescent="0.35">
      <c r="A40" s="143" t="s">
        <v>145</v>
      </c>
      <c r="B40" s="131">
        <v>212</v>
      </c>
      <c r="C40" s="436" t="s">
        <v>116</v>
      </c>
      <c r="D40" s="347" t="s">
        <v>1498</v>
      </c>
      <c r="E40" s="128" t="str">
        <f>IF(OR(S40&lt;&gt;"",T40&lt;&gt;"",U40&lt;&gt;"",Z40&lt;&gt;""),"check - see columns S-Z for info","")</f>
        <v/>
      </c>
      <c r="F40" s="343"/>
      <c r="G40" s="321">
        <f>ROUND(IF($B$5="BFR",SUMIF('Prior year BFR download report'!A:A,B40,'Prior year BFR download report'!G:G),0),0)</f>
        <v>0</v>
      </c>
      <c r="H40" s="254">
        <f t="shared" ref="H40:H41" si="18">+I40-G40</f>
        <v>0</v>
      </c>
      <c r="I40" s="321"/>
      <c r="J40" s="343"/>
      <c r="K40" s="321"/>
      <c r="L40" s="254">
        <f>+M40-K40</f>
        <v>0</v>
      </c>
      <c r="M40" s="321"/>
      <c r="N40" s="350"/>
      <c r="O40" s="321"/>
      <c r="P40" s="254">
        <f>+Q40-O40</f>
        <v>0</v>
      </c>
      <c r="Q40" s="321"/>
      <c r="R40" s="323" t="s">
        <v>146</v>
      </c>
      <c r="S40" s="190" t="str">
        <f>IF(OR(G40-ROUND(G40,)&lt;&gt;0,I40-ROUND(I40,)&lt;&gt;0,K40-ROUND(K40,)&lt;&gt;0,M40-ROUND(M40,)&lt;&gt;0,O40-ROUND(O40,)&lt;&gt;0,Q40-ROUND(Q40,)&lt;&gt;0),"No decimal places, letters &amp; odd characters allowed","")</f>
        <v/>
      </c>
      <c r="T40" s="190" t="str">
        <f t="shared" ref="T40" si="19">IF(OR(G40&lt;V40,I40&lt;V40,K40&lt;V40,M40&lt;V40,O40&lt;V40,Q40&lt;V40),"Input value is below the minimum value allowed","")</f>
        <v/>
      </c>
      <c r="U40" s="190" t="str">
        <f t="shared" ref="U40" si="20">IF(OR(G40&gt;W40,H40&gt;W40,I40&gt;W40,K40&gt;W40,L40&gt;W40,M40&gt;W40,O40&gt;W40,P40&gt;W40,Q40&gt;W40),"Input value is above the maximum value allowed","")</f>
        <v/>
      </c>
      <c r="V40" s="272">
        <f>VLOOKUP($B40,'Min max table'!$A$6:$C$209,2,FALSE)</f>
        <v>-400000</v>
      </c>
      <c r="W40" s="334">
        <f>VLOOKUP($B40,'Min max table'!$A$6:$C$206,3,FALSE)</f>
        <v>400000</v>
      </c>
      <c r="X40" s="351" t="s">
        <v>16</v>
      </c>
      <c r="Y40" s="351" t="s">
        <v>16</v>
      </c>
      <c r="Z40" s="351"/>
    </row>
    <row r="41" spans="1:26" s="342" customFormat="1" ht="70.5" customHeight="1" x14ac:dyDescent="0.35">
      <c r="A41" s="146" t="s">
        <v>147</v>
      </c>
      <c r="B41" s="147">
        <v>215</v>
      </c>
      <c r="C41" s="436" t="s">
        <v>116</v>
      </c>
      <c r="D41" s="347" t="s">
        <v>1498</v>
      </c>
      <c r="E41" s="128" t="str">
        <f>IF(OR(S41&lt;&gt;"",T41&lt;&gt;"",U41&lt;&gt;"",Z41&lt;&gt;""),"check - see columns S-Z for info","")</f>
        <v/>
      </c>
      <c r="F41" s="343"/>
      <c r="G41" s="321">
        <f>ROUND(IF($B$5="BFR",SUMIF('Prior year BFR download report'!A:A,B41,'Prior year BFR download report'!G:G),0),0)</f>
        <v>0</v>
      </c>
      <c r="H41" s="254">
        <f t="shared" si="18"/>
        <v>0</v>
      </c>
      <c r="I41" s="321"/>
      <c r="J41" s="343"/>
      <c r="K41" s="321"/>
      <c r="L41" s="254">
        <f>+M41-K41</f>
        <v>0</v>
      </c>
      <c r="M41" s="321"/>
      <c r="N41" s="350"/>
      <c r="O41" s="321"/>
      <c r="P41" s="254">
        <f>+Q41-O41</f>
        <v>0</v>
      </c>
      <c r="Q41" s="321"/>
      <c r="R41" s="323" t="s">
        <v>148</v>
      </c>
      <c r="S41" s="190" t="str">
        <f>IF(OR(G41-ROUND(G41,)&lt;&gt;0,I41-ROUND(I41,)&lt;&gt;0,K41-ROUND(K41,)&lt;&gt;0,M41-ROUND(M41,)&lt;&gt;0,O41-ROUND(O41,)&lt;&gt;0,Q41-ROUND(Q41,)&lt;&gt;0),"No decimal places, letters &amp; odd characters allowed","")</f>
        <v/>
      </c>
      <c r="T41" s="190" t="str">
        <f t="shared" ref="T41" si="21">IF(OR(G41&lt;V41,I41&lt;V41,K41&lt;V41,M41&lt;V41,O41&lt;V41,Q41&lt;V41),"Input value is below the minimum value allowed","")</f>
        <v/>
      </c>
      <c r="U41" s="190" t="str">
        <f t="shared" ref="U41" si="22">IF(OR(G41&gt;W41,H41&gt;W41,I41&gt;W41,K41&gt;W41,L41&gt;W41,M41&gt;W41,O41&gt;W41,P41&gt;W41,Q41&gt;W41),"Input value is above the maximum value allowed","")</f>
        <v/>
      </c>
      <c r="V41" s="272">
        <f>VLOOKUP($B41,'Min max table'!$A$6:$C$209,2,FALSE)</f>
        <v>-400000</v>
      </c>
      <c r="W41" s="334">
        <f>VLOOKUP($B41,'Min max table'!$A$6:$C$206,3,FALSE)</f>
        <v>400000</v>
      </c>
      <c r="X41" s="351" t="s">
        <v>16</v>
      </c>
      <c r="Y41" s="351" t="s">
        <v>16</v>
      </c>
      <c r="Z41" s="351"/>
    </row>
    <row r="42" spans="1:26" s="342" customFormat="1" ht="50.15" customHeight="1" x14ac:dyDescent="0.35">
      <c r="A42" s="148" t="s">
        <v>149</v>
      </c>
      <c r="B42" s="139">
        <v>218</v>
      </c>
      <c r="C42" s="436"/>
      <c r="D42" s="316"/>
      <c r="E42" s="128"/>
      <c r="F42" s="343"/>
      <c r="G42" s="254">
        <f>G40+G41</f>
        <v>0</v>
      </c>
      <c r="H42" s="254">
        <f>H40+H41</f>
        <v>0</v>
      </c>
      <c r="I42" s="254">
        <f>I40+I41</f>
        <v>0</v>
      </c>
      <c r="J42" s="343"/>
      <c r="K42" s="254">
        <f>K40+K41</f>
        <v>0</v>
      </c>
      <c r="L42" s="254">
        <f>L40+L41</f>
        <v>0</v>
      </c>
      <c r="M42" s="254">
        <f>M40+M41</f>
        <v>0</v>
      </c>
      <c r="O42" s="254">
        <f>O40+O41</f>
        <v>0</v>
      </c>
      <c r="P42" s="254">
        <f>P40+P41</f>
        <v>0</v>
      </c>
      <c r="Q42" s="254">
        <f>Q40+Q41</f>
        <v>0</v>
      </c>
      <c r="R42" s="353"/>
      <c r="S42" s="353"/>
      <c r="T42" s="353"/>
      <c r="U42" s="353"/>
      <c r="V42" s="353"/>
      <c r="W42" s="353"/>
      <c r="X42" s="353"/>
      <c r="Y42" s="353"/>
      <c r="Z42" s="353"/>
    </row>
    <row r="43" spans="1:26" s="342" customFormat="1" ht="44.9" customHeight="1" x14ac:dyDescent="0.35">
      <c r="A43" s="148" t="s">
        <v>150</v>
      </c>
      <c r="B43" s="139">
        <v>250</v>
      </c>
      <c r="C43" s="436"/>
      <c r="D43" s="315"/>
      <c r="E43" s="128" t="str">
        <f>IF(OR(S43&lt;&gt;"",T43&lt;&gt;"",U43&lt;&gt;"",Z43&lt;&gt;""),"Check - see columns S-Z for info","")</f>
        <v/>
      </c>
      <c r="F43" s="343"/>
      <c r="G43" s="254">
        <f>SUM(G32:G37)</f>
        <v>0</v>
      </c>
      <c r="H43" s="254">
        <f>SUM(H32:H37)</f>
        <v>0</v>
      </c>
      <c r="I43" s="254">
        <f>SUM(I32:I37)</f>
        <v>0</v>
      </c>
      <c r="J43" s="343"/>
      <c r="K43" s="254">
        <f>SUM(K32:K37)</f>
        <v>0</v>
      </c>
      <c r="L43" s="254">
        <f>SUM(L32:L37)</f>
        <v>0</v>
      </c>
      <c r="M43" s="254">
        <f>SUM(M32:M37)</f>
        <v>0</v>
      </c>
      <c r="O43" s="254">
        <f>SUM(O32:O37)</f>
        <v>0</v>
      </c>
      <c r="P43" s="254">
        <f>SUM(P32:P37)</f>
        <v>0</v>
      </c>
      <c r="Q43" s="254">
        <f>SUM(Q32:Q37)</f>
        <v>0</v>
      </c>
      <c r="R43" s="323" t="s">
        <v>151</v>
      </c>
      <c r="S43" s="351"/>
      <c r="T43" s="351"/>
      <c r="U43" s="351"/>
      <c r="V43" s="351" t="s">
        <v>16</v>
      </c>
      <c r="W43" s="351" t="s">
        <v>16</v>
      </c>
      <c r="X43" s="351" t="s">
        <v>16</v>
      </c>
      <c r="Y43" s="351" t="s">
        <v>16</v>
      </c>
      <c r="Z43" s="351"/>
    </row>
    <row r="44" spans="1:26" s="342" customFormat="1" ht="146.65" customHeight="1" x14ac:dyDescent="0.35">
      <c r="A44" s="143" t="s">
        <v>152</v>
      </c>
      <c r="B44" s="131">
        <v>255</v>
      </c>
      <c r="C44" s="436" t="s">
        <v>116</v>
      </c>
      <c r="D44" s="347" t="s">
        <v>1498</v>
      </c>
      <c r="E44" s="128" t="str">
        <f>IF(OR(S44&lt;&gt;"",T44&lt;&gt;"",U44&lt;&gt;"",Z44&lt;&gt;""),"check - see columns S-Z for info","")</f>
        <v/>
      </c>
      <c r="F44" s="343"/>
      <c r="G44" s="321">
        <f>ROUND(IF($B$5="BFR",SUMIF('Prior year BFR download report'!A:A,B44,'Prior year BFR download report'!G:G),0),0)</f>
        <v>0</v>
      </c>
      <c r="H44" s="254">
        <f t="shared" ref="H44" si="23">+I44-G44</f>
        <v>0</v>
      </c>
      <c r="I44" s="321"/>
      <c r="J44" s="343"/>
      <c r="K44" s="321"/>
      <c r="L44" s="254">
        <f>+M44-K44</f>
        <v>0</v>
      </c>
      <c r="M44" s="321"/>
      <c r="N44" s="350"/>
      <c r="O44" s="321"/>
      <c r="P44" s="254">
        <f>+Q44-O44</f>
        <v>0</v>
      </c>
      <c r="Q44" s="321"/>
      <c r="R44" s="182" t="s">
        <v>1733</v>
      </c>
      <c r="S44" s="190" t="str">
        <f>IF(OR(G44-ROUND(G44,)&lt;&gt;0,I44-ROUND(I44,)&lt;&gt;0,K44-ROUND(K44,)&lt;&gt;0,M44-ROUND(M44,)&lt;&gt;0,O44-ROUND(O44,)&lt;&gt;0,Q44-ROUND(Q44,)&lt;&gt;0),"No decimal places, letters &amp; odd characters allowed","")</f>
        <v/>
      </c>
      <c r="T44" s="190" t="str">
        <f t="shared" ref="T44" si="24">IF(OR(G44&lt;V44,I44&lt;V44,K44&lt;V44,M44&lt;V44,O44&lt;V44,Q44&lt;V44),"Input value is below the minimum value allowed","")</f>
        <v/>
      </c>
      <c r="U44" s="190" t="str">
        <f t="shared" ref="U44" si="25">IF(OR(G44&gt;W44,H44&gt;W44,I44&gt;W44,K44&gt;W44,L44&gt;W44,M44&gt;W44,O44&gt;W44,P44&gt;W44,Q44&gt;W44),"Input value is above the maximum value allowed","")</f>
        <v/>
      </c>
      <c r="V44" s="272">
        <f>VLOOKUP($B44,'Min max table'!$A$6:$C$209,2,FALSE)</f>
        <v>-400000</v>
      </c>
      <c r="W44" s="334">
        <f>VLOOKUP($B44,'Min max table'!$A$6:$C$206,3,FALSE)</f>
        <v>400000</v>
      </c>
      <c r="X44" s="351" t="s">
        <v>16</v>
      </c>
      <c r="Y44" s="351" t="s">
        <v>16</v>
      </c>
      <c r="Z44" s="351"/>
    </row>
    <row r="45" spans="1:26" s="342" customFormat="1" ht="15.75" customHeight="1" x14ac:dyDescent="0.35">
      <c r="A45" s="148" t="s">
        <v>153</v>
      </c>
      <c r="B45" s="139">
        <v>298</v>
      </c>
      <c r="C45" s="436"/>
      <c r="D45" s="316"/>
      <c r="E45" s="128" t="str">
        <f>IF(OR(S45&lt;&gt;"",T46&lt;&gt;"",U46&lt;&gt;"",Z46&lt;&gt;""),"Check- see columns S-Z for info","")</f>
        <v/>
      </c>
      <c r="F45" s="343"/>
      <c r="G45" s="254">
        <f>+G44+G43+G29+G42</f>
        <v>0</v>
      </c>
      <c r="H45" s="254">
        <f>+I45-G45</f>
        <v>0</v>
      </c>
      <c r="I45" s="254">
        <f>+I44+I43+I29+I42</f>
        <v>0</v>
      </c>
      <c r="J45" s="343"/>
      <c r="K45" s="254">
        <f>+K44+K43+K29+K42</f>
        <v>0</v>
      </c>
      <c r="L45" s="254">
        <f>+M45-K45</f>
        <v>0</v>
      </c>
      <c r="M45" s="254">
        <f>+M44+M43+M29+M42</f>
        <v>0</v>
      </c>
      <c r="O45" s="254">
        <f>+O44+O43+O29+O42</f>
        <v>0</v>
      </c>
      <c r="P45" s="254">
        <f>+Q45-O45</f>
        <v>0</v>
      </c>
      <c r="Q45" s="254">
        <f>+Q44+Q43+Q29+Q42</f>
        <v>0</v>
      </c>
    </row>
    <row r="46" spans="1:26" ht="90" customHeight="1" x14ac:dyDescent="0.6">
      <c r="A46" s="261" t="s">
        <v>154</v>
      </c>
      <c r="B46" s="77"/>
      <c r="C46" s="442"/>
      <c r="D46" s="468"/>
      <c r="E46" s="78"/>
      <c r="F46" s="668"/>
      <c r="G46" s="668"/>
      <c r="H46" s="668"/>
      <c r="I46" s="668"/>
      <c r="J46" s="668"/>
      <c r="K46" s="668"/>
      <c r="L46" s="668"/>
      <c r="M46" s="668"/>
      <c r="N46" s="668"/>
      <c r="O46" s="668"/>
      <c r="P46" s="668"/>
      <c r="Q46" s="668"/>
      <c r="R46" s="355"/>
      <c r="S46" s="355"/>
      <c r="T46" s="355"/>
      <c r="U46" s="355"/>
      <c r="V46" s="355"/>
      <c r="W46" s="355"/>
      <c r="X46" s="355"/>
      <c r="Z46" s="355"/>
    </row>
    <row r="47" spans="1:26" ht="45" customHeight="1" x14ac:dyDescent="0.6">
      <c r="A47" s="603" t="s">
        <v>155</v>
      </c>
      <c r="B47" s="84"/>
      <c r="C47" s="443"/>
      <c r="D47" s="468"/>
      <c r="E47" s="78"/>
      <c r="F47" s="668"/>
      <c r="G47" s="668"/>
      <c r="H47" s="668"/>
      <c r="I47" s="668"/>
      <c r="J47" s="668"/>
      <c r="K47" s="668"/>
      <c r="L47" s="668"/>
      <c r="M47" s="668"/>
      <c r="N47" s="668"/>
      <c r="O47" s="668"/>
      <c r="P47" s="668"/>
      <c r="Q47" s="668"/>
      <c r="R47" s="73"/>
      <c r="S47" s="73"/>
      <c r="T47" s="73"/>
      <c r="U47" s="73"/>
      <c r="V47" s="75"/>
      <c r="W47" s="75"/>
    </row>
    <row r="48" spans="1:26" s="357" customFormat="1" ht="79.5" customHeight="1" x14ac:dyDescent="0.35">
      <c r="A48" s="29" t="s">
        <v>113</v>
      </c>
      <c r="B48" s="113" t="s">
        <v>92</v>
      </c>
      <c r="C48" s="148" t="s">
        <v>93</v>
      </c>
      <c r="D48" s="177" t="s">
        <v>94</v>
      </c>
      <c r="E48" s="114" t="s">
        <v>95</v>
      </c>
      <c r="F48" s="356"/>
      <c r="G48" s="34" t="str">
        <f>$G$17</f>
        <v>Prior Year       Actuals                       Sep 24 - Mar 25 £'000</v>
      </c>
      <c r="H48" s="34" t="str">
        <f>$H$17</f>
        <v>Prior Year       Calculated                       Apr 25 - Aug 25 £'000</v>
      </c>
      <c r="I48" s="34" t="str">
        <f>$I$17</f>
        <v>TOTAL                 2024/25            £'000</v>
      </c>
      <c r="J48" s="117"/>
      <c r="K48" s="34" t="str">
        <f>$K$17</f>
        <v>Current Year       Actuals                       Sep 25 - Mar 26 £'000</v>
      </c>
      <c r="L48" s="34" t="str">
        <f>$L$17</f>
        <v>Current Year       Calculated                       Apr 26 - Aug 26 £'000</v>
      </c>
      <c r="M48" s="34" t="str">
        <f>$M$17</f>
        <v>TOTAL            2025/26            £'000</v>
      </c>
      <c r="N48" s="118"/>
      <c r="O48" s="34" t="str">
        <f>$O$17</f>
        <v>Forecast Year                              Sep 26 - Mar 27 £'000</v>
      </c>
      <c r="P48" s="34" t="str">
        <f>$P$17</f>
        <v>Forecast Year       Calculated                       Apr 27 - Aug 27 £'000</v>
      </c>
      <c r="Q48" s="34" t="str">
        <f>$Q$17</f>
        <v>TOTAL              2026/27                   £'000</v>
      </c>
      <c r="R48" s="192" t="s">
        <v>114</v>
      </c>
      <c r="S48" s="176" t="s">
        <v>97</v>
      </c>
      <c r="T48" s="177" t="s">
        <v>98</v>
      </c>
      <c r="U48" s="177" t="s">
        <v>99</v>
      </c>
      <c r="V48" s="178" t="s">
        <v>100</v>
      </c>
      <c r="W48" s="178" t="s">
        <v>101</v>
      </c>
      <c r="X48" s="177" t="s">
        <v>102</v>
      </c>
      <c r="Y48" s="179" t="s">
        <v>103</v>
      </c>
      <c r="Z48" s="179" t="s">
        <v>104</v>
      </c>
    </row>
    <row r="49" spans="1:26" s="342" customFormat="1" ht="105" customHeight="1" x14ac:dyDescent="0.35">
      <c r="A49" s="143" t="s">
        <v>156</v>
      </c>
      <c r="B49" s="131">
        <v>310</v>
      </c>
      <c r="C49" s="436" t="s">
        <v>116</v>
      </c>
      <c r="D49" s="347" t="s">
        <v>1498</v>
      </c>
      <c r="E49" s="128" t="str">
        <f>IF(OR(S49&lt;&gt;"",T49&lt;&gt;"",U49&lt;&gt;"",Z49&lt;&gt;""),"check - see columns S-Z for info","")</f>
        <v/>
      </c>
      <c r="F49" s="343"/>
      <c r="G49" s="321">
        <f>ROUND(IF($B$5="BFR",SUMIF('Prior year BFR download report'!A:A,B49,'Prior year BFR download report'!G:G),0),0)</f>
        <v>0</v>
      </c>
      <c r="H49" s="254">
        <f t="shared" ref="H49:H52" si="26">+I49-G49</f>
        <v>0</v>
      </c>
      <c r="I49" s="321"/>
      <c r="J49" s="343"/>
      <c r="K49" s="321"/>
      <c r="L49" s="254">
        <f>+M49-K49</f>
        <v>0</v>
      </c>
      <c r="M49" s="321"/>
      <c r="N49" s="350"/>
      <c r="O49" s="321"/>
      <c r="P49" s="254">
        <f>+Q49-O49</f>
        <v>0</v>
      </c>
      <c r="Q49" s="321"/>
      <c r="R49" s="324" t="s">
        <v>157</v>
      </c>
      <c r="S49" s="143" t="str">
        <f>IF(OR(G49-ROUND(G49,)&lt;&gt;0,I49-ROUND(I49,)&lt;&gt;0,K49-ROUND(K49,)&lt;&gt;0,M49-ROUND(M49,)&lt;&gt;0,O49-ROUND(O49,)&lt;&gt;0,Q49-ROUND(Q49,)&lt;&gt;0),"No decimal places, letters &amp; odd characters allowed","")</f>
        <v/>
      </c>
      <c r="T49" s="190" t="str">
        <f t="shared" ref="T49" si="27">IF(OR(G49&lt;V49,I49&lt;V49,K49&lt;V49,M49&lt;V49,O49&lt;V49,Q49&lt;V49),"Input value is below the minimum value allowed","")</f>
        <v/>
      </c>
      <c r="U49" s="190" t="str">
        <f t="shared" ref="U49" si="28">IF(OR(G49&gt;W49,H49&gt;W49,I49&gt;W49,K49&gt;W49,L49&gt;W49,M49&gt;W49,O49&gt;W49,P49&gt;W49,Q49&gt;W49),"Input value is above the maximum value allowed","")</f>
        <v/>
      </c>
      <c r="V49" s="358">
        <f>VLOOKUP($B49,'Min max table'!$A$6:$C$209,2,FALSE)</f>
        <v>0</v>
      </c>
      <c r="W49" s="358">
        <f>VLOOKUP($B49,'Min max table'!$A$6:$C$206,3,FALSE)</f>
        <v>800000</v>
      </c>
      <c r="X49" s="359" t="s">
        <v>16</v>
      </c>
      <c r="Y49" s="359" t="s">
        <v>16</v>
      </c>
      <c r="Z49" s="359"/>
    </row>
    <row r="50" spans="1:26" s="342" customFormat="1" ht="55.4" customHeight="1" x14ac:dyDescent="0.35">
      <c r="A50" s="143" t="s">
        <v>158</v>
      </c>
      <c r="B50" s="131">
        <v>311</v>
      </c>
      <c r="C50" s="436" t="s">
        <v>116</v>
      </c>
      <c r="D50" s="347" t="s">
        <v>1498</v>
      </c>
      <c r="E50" s="128" t="str">
        <f>IF(OR(S50&lt;&gt;"",T50&lt;&gt;"",U50&lt;&gt;"",Z50&lt;&gt;""),"Check - see columns S-Z for info","")</f>
        <v/>
      </c>
      <c r="F50" s="343"/>
      <c r="G50" s="321">
        <f>ROUND(IF($B$5="BFR",SUMIF('Prior year BFR download report'!A:A,B50,'Prior year BFR download report'!G:G),0),0)</f>
        <v>0</v>
      </c>
      <c r="H50" s="254">
        <f t="shared" si="26"/>
        <v>0</v>
      </c>
      <c r="I50" s="321"/>
      <c r="J50" s="343"/>
      <c r="K50" s="321"/>
      <c r="L50" s="254">
        <f>+M50-K50</f>
        <v>0</v>
      </c>
      <c r="M50" s="321"/>
      <c r="N50" s="350"/>
      <c r="O50" s="321"/>
      <c r="P50" s="254">
        <f>+Q50-O50</f>
        <v>0</v>
      </c>
      <c r="Q50" s="321"/>
      <c r="R50" s="324" t="s">
        <v>159</v>
      </c>
      <c r="S50" s="143" t="str">
        <f>IF(OR(G50-ROUND(G50,)&lt;&gt;0,I50-ROUND(I50,)&lt;&gt;0,K50-ROUND(K50,)&lt;&gt;0,M50-ROUND(M50,)&lt;&gt;0,O50-ROUND(O50,)&lt;&gt;0,Q50-ROUND(Q50,)&lt;&gt;0),"No decimal places, letters &amp; odd characters allowed","")</f>
        <v/>
      </c>
      <c r="T50" s="190" t="str">
        <f t="shared" ref="T50:T52" si="29">IF(OR(G50&lt;V50,I50&lt;V50,K50&lt;V50,M50&lt;V50,O50&lt;V50,Q50&lt;V50),"Input value is below the minimum value allowed","")</f>
        <v/>
      </c>
      <c r="U50" s="190" t="str">
        <f t="shared" ref="U50:U52" si="30">IF(OR(G50&gt;W50,H50&gt;W50,I50&gt;W50,K50&gt;W50,L50&gt;W50,M50&gt;W50,O50&gt;W50,P50&gt;W50,Q50&gt;W50),"Input value is above the maximum value allowed","")</f>
        <v/>
      </c>
      <c r="V50" s="358">
        <f>VLOOKUP($B50,'Min max table'!$A$6:$C$209,2,FALSE)</f>
        <v>0</v>
      </c>
      <c r="W50" s="358">
        <f>VLOOKUP($B50,'Min max table'!$A$6:$C$206,3,FALSE)</f>
        <v>200000</v>
      </c>
      <c r="X50" s="359" t="s">
        <v>16</v>
      </c>
      <c r="Y50" s="359" t="s">
        <v>16</v>
      </c>
      <c r="Z50" s="359"/>
    </row>
    <row r="51" spans="1:26" s="342" customFormat="1" ht="60" customHeight="1" x14ac:dyDescent="0.35">
      <c r="A51" s="143" t="s">
        <v>160</v>
      </c>
      <c r="B51" s="131">
        <v>320</v>
      </c>
      <c r="C51" s="436" t="s">
        <v>116</v>
      </c>
      <c r="D51" s="347" t="s">
        <v>1498</v>
      </c>
      <c r="E51" s="128" t="str">
        <f>IF(OR(S51&lt;&gt;"",T51&lt;&gt;"",U51&lt;&gt;"",Z51&lt;&gt;""),"Check - see columns S-Z for info","")</f>
        <v/>
      </c>
      <c r="F51" s="343"/>
      <c r="G51" s="321">
        <f>ROUND(IF($B$5="BFR",SUMIF('Prior year BFR download report'!A:A,B51,'Prior year BFR download report'!G:G),0),0)</f>
        <v>0</v>
      </c>
      <c r="H51" s="254">
        <f t="shared" si="26"/>
        <v>0</v>
      </c>
      <c r="I51" s="321"/>
      <c r="J51" s="343"/>
      <c r="K51" s="321"/>
      <c r="L51" s="254">
        <f>+M51-K51</f>
        <v>0</v>
      </c>
      <c r="M51" s="321"/>
      <c r="N51" s="350"/>
      <c r="O51" s="321"/>
      <c r="P51" s="254">
        <f>+Q51-O51</f>
        <v>0</v>
      </c>
      <c r="Q51" s="321"/>
      <c r="R51" s="324" t="s">
        <v>161</v>
      </c>
      <c r="S51" s="143" t="str">
        <f>IF(OR(G51-ROUND(G51,)&lt;&gt;0,I51-ROUND(I51,)&lt;&gt;0,K51-ROUND(K51,)&lt;&gt;0,M51-ROUND(M51,)&lt;&gt;0,O51-ROUND(O51,)&lt;&gt;0,Q51-ROUND(Q51,)&lt;&gt;0),"No decimal places, letters &amp; odd characters allowed","")</f>
        <v/>
      </c>
      <c r="T51" s="190" t="str">
        <f t="shared" si="29"/>
        <v/>
      </c>
      <c r="U51" s="190" t="str">
        <f t="shared" si="30"/>
        <v/>
      </c>
      <c r="V51" s="358">
        <f>VLOOKUP($B51,'Min max table'!$A$6:$C$209,2,FALSE)</f>
        <v>0</v>
      </c>
      <c r="W51" s="358">
        <f>VLOOKUP($B51,'Min max table'!$A$6:$C$206,3,FALSE)</f>
        <v>200000</v>
      </c>
      <c r="X51" s="359" t="s">
        <v>16</v>
      </c>
      <c r="Y51" s="359" t="s">
        <v>16</v>
      </c>
      <c r="Z51" s="359"/>
    </row>
    <row r="52" spans="1:26" s="342" customFormat="1" ht="50.9" customHeight="1" x14ac:dyDescent="0.35">
      <c r="A52" s="146" t="s">
        <v>162</v>
      </c>
      <c r="B52" s="147">
        <v>325</v>
      </c>
      <c r="C52" s="436" t="s">
        <v>116</v>
      </c>
      <c r="D52" s="460" t="s">
        <v>1498</v>
      </c>
      <c r="E52" s="128" t="str">
        <f>IF(OR(S52&lt;&gt;"",T52&lt;&gt;"",U52&lt;&gt;"",Z52&lt;&gt;""),"Check - see columns S-Z for info","")</f>
        <v/>
      </c>
      <c r="F52" s="343"/>
      <c r="G52" s="321">
        <f>ROUND(IF($B$5="BFR",SUMIF('Prior year BFR download report'!A:A,B52,'Prior year BFR download report'!G:G),0),0)</f>
        <v>0</v>
      </c>
      <c r="H52" s="254">
        <f t="shared" si="26"/>
        <v>0</v>
      </c>
      <c r="I52" s="321"/>
      <c r="J52" s="343"/>
      <c r="K52" s="321"/>
      <c r="L52" s="254">
        <f>+M52-K52</f>
        <v>0</v>
      </c>
      <c r="M52" s="321"/>
      <c r="N52" s="350"/>
      <c r="O52" s="321"/>
      <c r="P52" s="254">
        <f>+Q52-O52</f>
        <v>0</v>
      </c>
      <c r="Q52" s="321"/>
      <c r="R52" s="324" t="s">
        <v>163</v>
      </c>
      <c r="S52" s="143" t="str">
        <f>IF(OR(G52-ROUND(G52,)&lt;&gt;0,I52-ROUND(I52,)&lt;&gt;0,K52-ROUND(K52,)&lt;&gt;0,M52-ROUND(M52,)&lt;&gt;0,O52-ROUND(O52,)&lt;&gt;0,Q52-ROUND(Q52,)&lt;&gt;0),"No decimal places, letters &amp; odd characters allowed","")</f>
        <v/>
      </c>
      <c r="T52" s="190" t="str">
        <f t="shared" si="29"/>
        <v/>
      </c>
      <c r="U52" s="190" t="str">
        <f t="shared" si="30"/>
        <v/>
      </c>
      <c r="V52" s="358">
        <f>VLOOKUP($B52,'Min max table'!$A$6:$C$209,2,FALSE)</f>
        <v>0</v>
      </c>
      <c r="W52" s="358">
        <f>VLOOKUP($B52,'Min max table'!$A$6:$C$206,3,FALSE)</f>
        <v>200000</v>
      </c>
      <c r="X52" s="359" t="s">
        <v>16</v>
      </c>
      <c r="Y52" s="359" t="s">
        <v>16</v>
      </c>
      <c r="Z52" s="359"/>
    </row>
    <row r="53" spans="1:26" s="342" customFormat="1" ht="25.4" customHeight="1" x14ac:dyDescent="0.35">
      <c r="A53" s="148" t="s">
        <v>164</v>
      </c>
      <c r="B53" s="139">
        <v>335</v>
      </c>
      <c r="C53" s="436"/>
      <c r="D53" s="315"/>
      <c r="E53" s="128"/>
      <c r="F53" s="343"/>
      <c r="G53" s="254">
        <f>SUM(G49:G52)</f>
        <v>0</v>
      </c>
      <c r="H53" s="254">
        <f t="shared" ref="H53:I53" si="31">SUM(H49:H52)</f>
        <v>0</v>
      </c>
      <c r="I53" s="254">
        <f t="shared" si="31"/>
        <v>0</v>
      </c>
      <c r="J53" s="343"/>
      <c r="K53" s="254">
        <f>SUM(K49:K52)</f>
        <v>0</v>
      </c>
      <c r="L53" s="254">
        <f>SUM(L49:L52)</f>
        <v>0</v>
      </c>
      <c r="M53" s="254">
        <f>SUM(M49:M52)</f>
        <v>0</v>
      </c>
      <c r="O53" s="254">
        <f>SUM(O49:O52)</f>
        <v>0</v>
      </c>
      <c r="P53" s="254">
        <f>SUM(P49:P52)</f>
        <v>0</v>
      </c>
      <c r="Q53" s="254">
        <f>SUM(Q49:Q52)</f>
        <v>0</v>
      </c>
      <c r="R53" s="132"/>
      <c r="S53" s="132"/>
      <c r="T53" s="132"/>
      <c r="U53" s="133"/>
      <c r="V53" s="360"/>
      <c r="W53" s="360"/>
      <c r="X53" s="360"/>
      <c r="Y53" s="361"/>
      <c r="Z53" s="362"/>
    </row>
    <row r="54" spans="1:26" ht="90" customHeight="1" x14ac:dyDescent="0.6">
      <c r="A54" s="603" t="s">
        <v>165</v>
      </c>
      <c r="B54" s="77"/>
      <c r="C54" s="442"/>
      <c r="D54" s="468"/>
      <c r="E54" s="78"/>
      <c r="K54" s="60"/>
      <c r="L54" s="60"/>
      <c r="M54" s="60"/>
      <c r="O54" s="60"/>
      <c r="P54" s="60"/>
      <c r="Q54" s="60"/>
      <c r="R54" s="72"/>
      <c r="S54" s="72"/>
      <c r="T54" s="72"/>
      <c r="U54" s="73"/>
      <c r="V54" s="75"/>
      <c r="W54" s="75"/>
      <c r="X54" s="86"/>
      <c r="Y54" s="362"/>
      <c r="Z54" s="85"/>
    </row>
    <row r="55" spans="1:26" s="342" customFormat="1" ht="62" x14ac:dyDescent="0.35">
      <c r="A55" s="29" t="s">
        <v>113</v>
      </c>
      <c r="B55" s="113" t="s">
        <v>92</v>
      </c>
      <c r="C55" s="148" t="s">
        <v>93</v>
      </c>
      <c r="D55" s="177" t="s">
        <v>94</v>
      </c>
      <c r="E55" s="114" t="s">
        <v>95</v>
      </c>
      <c r="F55" s="343"/>
      <c r="G55" s="116" t="str">
        <f>$G$17</f>
        <v>Prior Year       Actuals                       Sep 24 - Mar 25 £'000</v>
      </c>
      <c r="H55" s="116" t="str">
        <f>$H$17</f>
        <v>Prior Year       Calculated                       Apr 25 - Aug 25 £'000</v>
      </c>
      <c r="I55" s="34" t="str">
        <f>$I$17</f>
        <v>TOTAL                 2024/25            £'000</v>
      </c>
      <c r="J55" s="117"/>
      <c r="K55" s="116" t="str">
        <f>$K$17</f>
        <v>Current Year       Actuals                       Sep 25 - Mar 26 £'000</v>
      </c>
      <c r="L55" s="116" t="str">
        <f>$L$17</f>
        <v>Current Year       Calculated                       Apr 26 - Aug 26 £'000</v>
      </c>
      <c r="M55" s="34" t="str">
        <f>$M$17</f>
        <v>TOTAL            2025/26            £'000</v>
      </c>
      <c r="N55" s="118"/>
      <c r="O55" s="34" t="str">
        <f>$O$17</f>
        <v>Forecast Year                              Sep 26 - Mar 27 £'000</v>
      </c>
      <c r="P55" s="116" t="str">
        <f>$P$17</f>
        <v>Forecast Year       Calculated                       Apr 27 - Aug 27 £'000</v>
      </c>
      <c r="Q55" s="34" t="str">
        <f>$Q$17</f>
        <v>TOTAL              2026/27                   £'000</v>
      </c>
      <c r="R55" s="192" t="s">
        <v>114</v>
      </c>
      <c r="S55" s="176" t="s">
        <v>97</v>
      </c>
      <c r="T55" s="177" t="s">
        <v>98</v>
      </c>
      <c r="U55" s="177" t="s">
        <v>99</v>
      </c>
      <c r="V55" s="178" t="s">
        <v>100</v>
      </c>
      <c r="W55" s="178" t="s">
        <v>101</v>
      </c>
      <c r="X55" s="177" t="s">
        <v>102</v>
      </c>
      <c r="Y55" s="179" t="s">
        <v>103</v>
      </c>
      <c r="Z55" s="179" t="s">
        <v>104</v>
      </c>
    </row>
    <row r="56" spans="1:26" s="342" customFormat="1" ht="142.5" customHeight="1" x14ac:dyDescent="0.35">
      <c r="A56" s="143" t="s">
        <v>1555</v>
      </c>
      <c r="B56" s="131">
        <v>336</v>
      </c>
      <c r="C56" s="436" t="s">
        <v>116</v>
      </c>
      <c r="D56" s="347" t="s">
        <v>1498</v>
      </c>
      <c r="E56" s="128" t="str">
        <f t="shared" ref="E56:E64" si="32">IF(OR(S56&lt;&gt;"",T56&lt;&gt;"",U56&lt;&gt;"",Z56&lt;&gt;""),"Check - see columns S-Z for info","")</f>
        <v/>
      </c>
      <c r="F56" s="343"/>
      <c r="G56" s="321">
        <f>ROUND(IF($B$5="BFR",SUMIF('Prior year BFR download report'!A:A,B56,'Prior year BFR download report'!G:G),0),0)</f>
        <v>0</v>
      </c>
      <c r="H56" s="254">
        <f t="shared" ref="H56:H64" si="33">+I56-G56</f>
        <v>0</v>
      </c>
      <c r="I56" s="321"/>
      <c r="J56" s="343"/>
      <c r="K56" s="321"/>
      <c r="L56" s="254">
        <f t="shared" ref="L56:L64" si="34">+M56-K56</f>
        <v>0</v>
      </c>
      <c r="M56" s="321"/>
      <c r="N56" s="350"/>
      <c r="O56" s="321"/>
      <c r="P56" s="254">
        <f t="shared" ref="P56:P63" si="35">+Q56-O56</f>
        <v>0</v>
      </c>
      <c r="Q56" s="321"/>
      <c r="R56" s="324" t="s">
        <v>167</v>
      </c>
      <c r="S56" s="143" t="str">
        <f t="shared" ref="S56:S64" si="36">IF(OR(G56-ROUND(G56,)&lt;&gt;0,I56-ROUND(I56,)&lt;&gt;0,K56-ROUND(K56,)&lt;&gt;0,M56-ROUND(M56,)&lt;&gt;0,O56-ROUND(O56,)&lt;&gt;0,Q56-ROUND(Q56,)&lt;&gt;0),"No decimal places, letters &amp; odd characters allowed","")</f>
        <v/>
      </c>
      <c r="T56" s="190" t="str">
        <f t="shared" ref="T56" si="37">IF(OR(G56&lt;V56,I56&lt;V56,K56&lt;V56,M56&lt;V56,O56&lt;V56,Q56&lt;V56),"Input value is below the minimum value allowed","")</f>
        <v/>
      </c>
      <c r="U56" s="190" t="str">
        <f t="shared" ref="U56" si="38">IF(OR(G56&gt;W56,H56&gt;W56,I56&gt;W56,K56&gt;W56,L56&gt;W56,M56&gt;W56,O56&gt;W56,P56&gt;W56,Q56&gt;W56),"Input value is above the maximum value allowed","")</f>
        <v/>
      </c>
      <c r="V56" s="358">
        <f>VLOOKUP($B56,'Min max table'!$A$6:$C$209,2,FALSE)</f>
        <v>0</v>
      </c>
      <c r="W56" s="358">
        <f>VLOOKUP($B56,'Min max table'!$A$6:$C$206,3,FALSE)</f>
        <v>100000</v>
      </c>
      <c r="X56" s="359" t="s">
        <v>16</v>
      </c>
      <c r="Y56" s="359" t="s">
        <v>16</v>
      </c>
      <c r="Z56" s="359"/>
    </row>
    <row r="57" spans="1:26" s="342" customFormat="1" ht="128.9" customHeight="1" x14ac:dyDescent="0.35">
      <c r="A57" s="143" t="s">
        <v>168</v>
      </c>
      <c r="B57" s="131">
        <v>337</v>
      </c>
      <c r="C57" s="436" t="s">
        <v>116</v>
      </c>
      <c r="D57" s="347" t="s">
        <v>1498</v>
      </c>
      <c r="E57" s="128" t="str">
        <f t="shared" si="32"/>
        <v/>
      </c>
      <c r="F57" s="343"/>
      <c r="G57" s="321">
        <f>ROUND(IF($B$5="BFR",SUMIF('Prior year BFR download report'!A:A,B57,'Prior year BFR download report'!G:G),0),0)</f>
        <v>0</v>
      </c>
      <c r="H57" s="254">
        <f t="shared" si="33"/>
        <v>0</v>
      </c>
      <c r="I57" s="321"/>
      <c r="J57" s="343"/>
      <c r="K57" s="321"/>
      <c r="L57" s="254">
        <f t="shared" si="34"/>
        <v>0</v>
      </c>
      <c r="M57" s="321"/>
      <c r="N57" s="350"/>
      <c r="O57" s="321"/>
      <c r="P57" s="254">
        <f t="shared" si="35"/>
        <v>0</v>
      </c>
      <c r="Q57" s="321"/>
      <c r="R57" s="324" t="s">
        <v>169</v>
      </c>
      <c r="S57" s="143" t="str">
        <f t="shared" si="36"/>
        <v/>
      </c>
      <c r="T57" s="190" t="str">
        <f t="shared" ref="T57:T63" si="39">IF(OR(G57&lt;V57,I57&lt;V57,K57&lt;V57,M57&lt;V57,O57&lt;V57,Q57&lt;V57),"Input value is below the minimum value allowed","")</f>
        <v/>
      </c>
      <c r="U57" s="190" t="str">
        <f t="shared" ref="U57:U64" si="40">IF(OR(G57&gt;W57,H57&gt;W57,I57&gt;W57,K57&gt;W57,L57&gt;W57,M57&gt;W57,O57&gt;W57,P57&gt;W57,Q57&gt;W57),"Input value is above the maximum value allowed","")</f>
        <v/>
      </c>
      <c r="V57" s="358">
        <f>VLOOKUP($B57,'Min max table'!$A$6:$C$209,2,FALSE)</f>
        <v>0</v>
      </c>
      <c r="W57" s="358">
        <f>VLOOKUP($B57,'Min max table'!$A$6:$C$206,3,FALSE)</f>
        <v>100000</v>
      </c>
      <c r="X57" s="359" t="s">
        <v>16</v>
      </c>
      <c r="Y57" s="359" t="s">
        <v>16</v>
      </c>
      <c r="Z57" s="359"/>
    </row>
    <row r="58" spans="1:26" s="342" customFormat="1" ht="146.9" customHeight="1" x14ac:dyDescent="0.35">
      <c r="A58" s="143" t="s">
        <v>170</v>
      </c>
      <c r="B58" s="131">
        <v>338</v>
      </c>
      <c r="C58" s="436" t="s">
        <v>116</v>
      </c>
      <c r="D58" s="347" t="s">
        <v>1498</v>
      </c>
      <c r="E58" s="128" t="str">
        <f t="shared" si="32"/>
        <v/>
      </c>
      <c r="F58" s="343"/>
      <c r="G58" s="321">
        <f>ROUND(IF($B$5="BFR",SUMIF('Prior year BFR download report'!A:A,B58,'Prior year BFR download report'!G:G),0),0)</f>
        <v>0</v>
      </c>
      <c r="H58" s="254">
        <f t="shared" si="33"/>
        <v>0</v>
      </c>
      <c r="I58" s="321"/>
      <c r="J58" s="343"/>
      <c r="K58" s="321"/>
      <c r="L58" s="254">
        <f t="shared" si="34"/>
        <v>0</v>
      </c>
      <c r="M58" s="321"/>
      <c r="N58" s="350"/>
      <c r="O58" s="321"/>
      <c r="P58" s="254">
        <f t="shared" si="35"/>
        <v>0</v>
      </c>
      <c r="Q58" s="321"/>
      <c r="R58" s="324" t="s">
        <v>171</v>
      </c>
      <c r="S58" s="143" t="str">
        <f t="shared" si="36"/>
        <v/>
      </c>
      <c r="T58" s="190" t="str">
        <f t="shared" si="39"/>
        <v/>
      </c>
      <c r="U58" s="190" t="str">
        <f t="shared" si="40"/>
        <v/>
      </c>
      <c r="V58" s="358">
        <f>VLOOKUP($B58,'Min max table'!$A$6:$C$209,2,FALSE)</f>
        <v>0</v>
      </c>
      <c r="W58" s="358">
        <f>VLOOKUP($B58,'Min max table'!$A$6:$C$206,3,FALSE)</f>
        <v>100000</v>
      </c>
      <c r="X58" s="359" t="s">
        <v>16</v>
      </c>
      <c r="Y58" s="359" t="s">
        <v>16</v>
      </c>
      <c r="Z58" s="359"/>
    </row>
    <row r="59" spans="1:26" s="342" customFormat="1" ht="146.9" customHeight="1" x14ac:dyDescent="0.35">
      <c r="A59" s="143" t="s">
        <v>172</v>
      </c>
      <c r="B59" s="131">
        <v>339</v>
      </c>
      <c r="C59" s="436" t="s">
        <v>116</v>
      </c>
      <c r="D59" s="347" t="s">
        <v>1498</v>
      </c>
      <c r="E59" s="128" t="str">
        <f t="shared" si="32"/>
        <v/>
      </c>
      <c r="F59" s="343"/>
      <c r="G59" s="321">
        <f>ROUND(IF($B$5="BFR",SUMIF('Prior year BFR download report'!A:A,B59,'Prior year BFR download report'!G:G),0),0)</f>
        <v>0</v>
      </c>
      <c r="H59" s="254">
        <f t="shared" si="33"/>
        <v>0</v>
      </c>
      <c r="I59" s="321"/>
      <c r="J59" s="343"/>
      <c r="K59" s="321"/>
      <c r="L59" s="254">
        <f t="shared" si="34"/>
        <v>0</v>
      </c>
      <c r="M59" s="321"/>
      <c r="N59" s="350"/>
      <c r="O59" s="321"/>
      <c r="P59" s="254">
        <f t="shared" si="35"/>
        <v>0</v>
      </c>
      <c r="Q59" s="321"/>
      <c r="R59" s="324" t="s">
        <v>173</v>
      </c>
      <c r="S59" s="143" t="str">
        <f t="shared" si="36"/>
        <v/>
      </c>
      <c r="T59" s="190" t="str">
        <f t="shared" si="39"/>
        <v/>
      </c>
      <c r="U59" s="190" t="str">
        <f t="shared" si="40"/>
        <v/>
      </c>
      <c r="V59" s="358">
        <f>VLOOKUP($B59,'Min max table'!$A$6:$C$209,2,FALSE)</f>
        <v>0</v>
      </c>
      <c r="W59" s="358">
        <f>VLOOKUP($B59,'Min max table'!$A$6:$C$206,3,FALSE)</f>
        <v>100000</v>
      </c>
      <c r="X59" s="359" t="s">
        <v>16</v>
      </c>
      <c r="Y59" s="359" t="s">
        <v>16</v>
      </c>
      <c r="Z59" s="359"/>
    </row>
    <row r="60" spans="1:26" s="342" customFormat="1" ht="178.5" customHeight="1" x14ac:dyDescent="0.35">
      <c r="A60" s="143" t="s">
        <v>174</v>
      </c>
      <c r="B60" s="131">
        <v>340</v>
      </c>
      <c r="C60" s="436" t="s">
        <v>116</v>
      </c>
      <c r="D60" s="347" t="s">
        <v>1498</v>
      </c>
      <c r="E60" s="128" t="str">
        <f t="shared" si="32"/>
        <v/>
      </c>
      <c r="F60" s="343"/>
      <c r="G60" s="321">
        <f>ROUND(IF($B$5="BFR",SUMIF('Prior year BFR download report'!A:A,B60,'Prior year BFR download report'!G:G),0),0)</f>
        <v>0</v>
      </c>
      <c r="H60" s="254">
        <f t="shared" si="33"/>
        <v>0</v>
      </c>
      <c r="I60" s="321"/>
      <c r="J60" s="343"/>
      <c r="K60" s="321"/>
      <c r="L60" s="254">
        <f t="shared" si="34"/>
        <v>0</v>
      </c>
      <c r="M60" s="321"/>
      <c r="N60" s="350"/>
      <c r="O60" s="321"/>
      <c r="P60" s="254">
        <f t="shared" si="35"/>
        <v>0</v>
      </c>
      <c r="Q60" s="321"/>
      <c r="R60" s="324" t="s">
        <v>175</v>
      </c>
      <c r="S60" s="143" t="str">
        <f t="shared" si="36"/>
        <v/>
      </c>
      <c r="T60" s="190" t="str">
        <f t="shared" si="39"/>
        <v/>
      </c>
      <c r="U60" s="190" t="str">
        <f t="shared" si="40"/>
        <v/>
      </c>
      <c r="V60" s="358">
        <f>VLOOKUP($B60,'Min max table'!$A$6:$C$209,2,FALSE)</f>
        <v>0</v>
      </c>
      <c r="W60" s="358">
        <f>VLOOKUP($B60,'Min max table'!$A$6:$C$206,3,FALSE)</f>
        <v>100000</v>
      </c>
      <c r="X60" s="359" t="s">
        <v>16</v>
      </c>
      <c r="Y60" s="359" t="s">
        <v>16</v>
      </c>
      <c r="Z60" s="359"/>
    </row>
    <row r="61" spans="1:26" s="342" customFormat="1" ht="133.5" customHeight="1" x14ac:dyDescent="0.35">
      <c r="A61" s="143" t="s">
        <v>176</v>
      </c>
      <c r="B61" s="131">
        <v>341</v>
      </c>
      <c r="C61" s="436" t="s">
        <v>116</v>
      </c>
      <c r="D61" s="347" t="s">
        <v>1498</v>
      </c>
      <c r="E61" s="128" t="str">
        <f t="shared" si="32"/>
        <v/>
      </c>
      <c r="F61" s="343"/>
      <c r="G61" s="321">
        <f>ROUND(IF($B$5="BFR",SUMIF('Prior year BFR download report'!A:A,B61,'Prior year BFR download report'!G:G),0),0)</f>
        <v>0</v>
      </c>
      <c r="H61" s="254">
        <f t="shared" si="33"/>
        <v>0</v>
      </c>
      <c r="I61" s="321"/>
      <c r="J61" s="343"/>
      <c r="K61" s="321"/>
      <c r="L61" s="254">
        <f t="shared" si="34"/>
        <v>0</v>
      </c>
      <c r="M61" s="321"/>
      <c r="N61" s="350"/>
      <c r="O61" s="321"/>
      <c r="P61" s="254">
        <f t="shared" si="35"/>
        <v>0</v>
      </c>
      <c r="Q61" s="321"/>
      <c r="R61" s="324" t="s">
        <v>177</v>
      </c>
      <c r="S61" s="143" t="str">
        <f t="shared" si="36"/>
        <v/>
      </c>
      <c r="T61" s="190" t="str">
        <f t="shared" si="39"/>
        <v/>
      </c>
      <c r="U61" s="190" t="str">
        <f t="shared" si="40"/>
        <v/>
      </c>
      <c r="V61" s="358">
        <f>VLOOKUP($B61,'Min max table'!$A$6:$C$209,2,FALSE)</f>
        <v>0</v>
      </c>
      <c r="W61" s="358">
        <f>VLOOKUP($B61,'Min max table'!$A$6:$C$206,3,FALSE)</f>
        <v>100000</v>
      </c>
      <c r="X61" s="359" t="s">
        <v>16</v>
      </c>
      <c r="Y61" s="359" t="s">
        <v>16</v>
      </c>
      <c r="Z61" s="359"/>
    </row>
    <row r="62" spans="1:26" s="342" customFormat="1" ht="101.9" customHeight="1" x14ac:dyDescent="0.35">
      <c r="A62" s="143" t="s">
        <v>178</v>
      </c>
      <c r="B62" s="131">
        <v>342</v>
      </c>
      <c r="C62" s="436" t="s">
        <v>116</v>
      </c>
      <c r="D62" s="347" t="s">
        <v>1498</v>
      </c>
      <c r="E62" s="128" t="str">
        <f t="shared" si="32"/>
        <v/>
      </c>
      <c r="F62" s="343"/>
      <c r="G62" s="321">
        <f>ROUND(IF($B$5="BFR",SUMIF('Prior year BFR download report'!A:A,B62,'Prior year BFR download report'!G:G),0),0)</f>
        <v>0</v>
      </c>
      <c r="H62" s="254">
        <f t="shared" si="33"/>
        <v>0</v>
      </c>
      <c r="I62" s="321"/>
      <c r="J62" s="343"/>
      <c r="K62" s="321"/>
      <c r="L62" s="254">
        <f t="shared" si="34"/>
        <v>0</v>
      </c>
      <c r="M62" s="321"/>
      <c r="N62" s="350"/>
      <c r="O62" s="321"/>
      <c r="P62" s="254">
        <f t="shared" si="35"/>
        <v>0</v>
      </c>
      <c r="Q62" s="321"/>
      <c r="R62" s="324" t="s">
        <v>1554</v>
      </c>
      <c r="S62" s="143" t="str">
        <f t="shared" si="36"/>
        <v/>
      </c>
      <c r="T62" s="190" t="str">
        <f t="shared" si="39"/>
        <v/>
      </c>
      <c r="U62" s="190" t="str">
        <f t="shared" si="40"/>
        <v/>
      </c>
      <c r="V62" s="358">
        <f>VLOOKUP($B62,'Min max table'!$A$6:$C$209,2,FALSE)</f>
        <v>0</v>
      </c>
      <c r="W62" s="358">
        <f>VLOOKUP($B62,'Min max table'!$A$6:$C$206,3,FALSE)</f>
        <v>100000</v>
      </c>
      <c r="X62" s="359" t="s">
        <v>16</v>
      </c>
      <c r="Y62" s="359" t="s">
        <v>16</v>
      </c>
      <c r="Z62" s="359"/>
    </row>
    <row r="63" spans="1:26" s="342" customFormat="1" ht="72" customHeight="1" x14ac:dyDescent="0.35">
      <c r="A63" s="143" t="s">
        <v>179</v>
      </c>
      <c r="B63" s="131">
        <v>330</v>
      </c>
      <c r="C63" s="436" t="s">
        <v>116</v>
      </c>
      <c r="D63" s="347" t="s">
        <v>1498</v>
      </c>
      <c r="E63" s="128" t="str">
        <f t="shared" si="32"/>
        <v/>
      </c>
      <c r="F63" s="343"/>
      <c r="G63" s="321">
        <f>ROUND(IF($B$5="BFR",SUMIF('Prior year BFR download report'!A:A,B63,'Prior year BFR download report'!G:G),0),0)</f>
        <v>0</v>
      </c>
      <c r="H63" s="254">
        <f t="shared" si="33"/>
        <v>0</v>
      </c>
      <c r="I63" s="321"/>
      <c r="J63" s="343"/>
      <c r="K63" s="321"/>
      <c r="L63" s="254">
        <f t="shared" si="34"/>
        <v>0</v>
      </c>
      <c r="M63" s="321"/>
      <c r="N63" s="350"/>
      <c r="O63" s="321"/>
      <c r="P63" s="254">
        <f t="shared" si="35"/>
        <v>0</v>
      </c>
      <c r="Q63" s="321"/>
      <c r="R63" s="324" t="s">
        <v>180</v>
      </c>
      <c r="S63" s="143" t="str">
        <f t="shared" si="36"/>
        <v/>
      </c>
      <c r="T63" s="190" t="str">
        <f t="shared" si="39"/>
        <v/>
      </c>
      <c r="U63" s="190" t="str">
        <f t="shared" si="40"/>
        <v/>
      </c>
      <c r="V63" s="358">
        <f>VLOOKUP($B63,'Min max table'!$A$6:$C$209,2,FALSE)</f>
        <v>0</v>
      </c>
      <c r="W63" s="358">
        <f>VLOOKUP($B63,'Min max table'!$A$6:$C$206,3,FALSE)</f>
        <v>200000</v>
      </c>
      <c r="X63" s="359" t="s">
        <v>16</v>
      </c>
      <c r="Y63" s="359" t="s">
        <v>16</v>
      </c>
      <c r="Z63" s="359"/>
    </row>
    <row r="64" spans="1:26" s="342" customFormat="1" ht="208.5" customHeight="1" x14ac:dyDescent="0.35">
      <c r="A64" s="146" t="s">
        <v>181</v>
      </c>
      <c r="B64" s="131">
        <v>378</v>
      </c>
      <c r="C64" s="436" t="s">
        <v>116</v>
      </c>
      <c r="D64" s="347" t="s">
        <v>1498</v>
      </c>
      <c r="E64" s="128" t="str">
        <f t="shared" si="32"/>
        <v/>
      </c>
      <c r="F64" s="343"/>
      <c r="G64" s="321">
        <f>ROUND(IF($B$5="BFR",SUMIF('Prior year BFR download report'!A:A,B64,'Prior year BFR download report'!G:G),0),0)</f>
        <v>0</v>
      </c>
      <c r="H64" s="254">
        <f t="shared" si="33"/>
        <v>0</v>
      </c>
      <c r="I64" s="321"/>
      <c r="J64" s="343"/>
      <c r="K64" s="321"/>
      <c r="L64" s="254">
        <f t="shared" si="34"/>
        <v>0</v>
      </c>
      <c r="M64" s="321"/>
      <c r="N64" s="350"/>
      <c r="O64" s="321"/>
      <c r="P64" s="254">
        <f>+Q64-O64</f>
        <v>0</v>
      </c>
      <c r="Q64" s="321"/>
      <c r="R64" s="324" t="s">
        <v>1564</v>
      </c>
      <c r="S64" s="143" t="str">
        <f t="shared" si="36"/>
        <v/>
      </c>
      <c r="T64" s="190" t="str">
        <f>IF(OR(G64&lt;V64,I64&lt;V64,K64&lt;V64,M64&lt;V64,O64&lt;V64,Q64&lt;V64),"Input value is below the minimum value allowed","")</f>
        <v/>
      </c>
      <c r="U64" s="190" t="str">
        <f t="shared" si="40"/>
        <v/>
      </c>
      <c r="V64" s="358">
        <f>VLOOKUP($B64,'Min max table'!$A$6:$C$209,2,FALSE)</f>
        <v>0</v>
      </c>
      <c r="W64" s="358">
        <f>VLOOKUP($B64,'Min max table'!$A$6:$C$206,3,FALSE)</f>
        <v>800000</v>
      </c>
      <c r="X64" s="359" t="s">
        <v>16</v>
      </c>
      <c r="Y64" s="359" t="s">
        <v>16</v>
      </c>
      <c r="Z64" s="359"/>
    </row>
    <row r="65" spans="1:26" s="342" customFormat="1" ht="15.75" customHeight="1" x14ac:dyDescent="0.35">
      <c r="A65" s="148" t="s">
        <v>182</v>
      </c>
      <c r="B65" s="135">
        <v>349</v>
      </c>
      <c r="C65" s="444"/>
      <c r="D65" s="315"/>
      <c r="E65" s="128"/>
      <c r="F65" s="140"/>
      <c r="G65" s="254">
        <f>SUM(G56:G64)</f>
        <v>0</v>
      </c>
      <c r="H65" s="254">
        <f>SUM(H56:H64)</f>
        <v>0</v>
      </c>
      <c r="I65" s="254">
        <f>SUM(I56:I64)</f>
        <v>0</v>
      </c>
      <c r="J65" s="343"/>
      <c r="K65" s="254">
        <f>SUM(K56:K64)</f>
        <v>0</v>
      </c>
      <c r="L65" s="254">
        <f>SUM(L56:L64)</f>
        <v>0</v>
      </c>
      <c r="M65" s="254">
        <f>SUM(M56:M64)</f>
        <v>0</v>
      </c>
      <c r="O65" s="254">
        <f>SUM(O56:O64)</f>
        <v>0</v>
      </c>
      <c r="P65" s="254">
        <f>SUM(P56:P64)</f>
        <v>0</v>
      </c>
      <c r="Q65" s="254">
        <f>SUM(Q56:Q64)</f>
        <v>0</v>
      </c>
      <c r="R65" s="132"/>
      <c r="S65" s="132"/>
      <c r="T65" s="132"/>
      <c r="U65" s="361"/>
      <c r="V65" s="361"/>
      <c r="W65" s="361"/>
      <c r="X65" s="361"/>
      <c r="Y65" s="361"/>
      <c r="Z65" s="362"/>
    </row>
    <row r="66" spans="1:26" ht="90" customHeight="1" x14ac:dyDescent="0.6">
      <c r="A66" s="603" t="s">
        <v>183</v>
      </c>
      <c r="B66" s="77"/>
      <c r="C66" s="77"/>
      <c r="D66" s="317"/>
      <c r="E66" s="78"/>
      <c r="F66" s="87"/>
      <c r="G66" s="60"/>
      <c r="H66" s="60"/>
      <c r="I66" s="60"/>
      <c r="J66" s="87"/>
      <c r="K66" s="60"/>
      <c r="L66" s="60"/>
      <c r="M66" s="60"/>
      <c r="O66" s="60"/>
      <c r="P66" s="60"/>
      <c r="Q66" s="60"/>
      <c r="R66" s="72"/>
      <c r="S66" s="72"/>
      <c r="T66" s="72"/>
      <c r="U66" s="73"/>
      <c r="V66" s="75"/>
      <c r="W66" s="75"/>
      <c r="X66" s="86"/>
      <c r="Y66" s="362"/>
      <c r="Z66" s="85"/>
    </row>
    <row r="67" spans="1:26" s="342" customFormat="1" ht="62" x14ac:dyDescent="0.35">
      <c r="A67" s="29" t="s">
        <v>113</v>
      </c>
      <c r="B67" s="113" t="s">
        <v>92</v>
      </c>
      <c r="C67" s="113" t="s">
        <v>93</v>
      </c>
      <c r="D67" s="177" t="s">
        <v>94</v>
      </c>
      <c r="E67" s="114" t="s">
        <v>95</v>
      </c>
      <c r="F67" s="343"/>
      <c r="G67" s="116" t="str">
        <f>$G$17</f>
        <v>Prior Year       Actuals                       Sep 24 - Mar 25 £'000</v>
      </c>
      <c r="H67" s="116" t="str">
        <f>$H$17</f>
        <v>Prior Year       Calculated                       Apr 25 - Aug 25 £'000</v>
      </c>
      <c r="I67" s="34" t="str">
        <f>$I$17</f>
        <v>TOTAL                 2024/25            £'000</v>
      </c>
      <c r="J67" s="117"/>
      <c r="K67" s="116" t="str">
        <f>$K$17</f>
        <v>Current Year       Actuals                       Sep 25 - Mar 26 £'000</v>
      </c>
      <c r="L67" s="116" t="str">
        <f>$L$17</f>
        <v>Current Year       Calculated                       Apr 26 - Aug 26 £'000</v>
      </c>
      <c r="M67" s="34" t="str">
        <f>$M$17</f>
        <v>TOTAL            2025/26            £'000</v>
      </c>
      <c r="N67" s="118"/>
      <c r="O67" s="34" t="str">
        <f>$O$17</f>
        <v>Forecast Year                              Sep 26 - Mar 27 £'000</v>
      </c>
      <c r="P67" s="116" t="str">
        <f>$P$17</f>
        <v>Forecast Year       Calculated                       Apr 27 - Aug 27 £'000</v>
      </c>
      <c r="Q67" s="34" t="str">
        <f>$Q$17</f>
        <v>TOTAL              2026/27                   £'000</v>
      </c>
      <c r="R67" s="192" t="s">
        <v>114</v>
      </c>
      <c r="S67" s="176" t="s">
        <v>97</v>
      </c>
      <c r="T67" s="177" t="s">
        <v>98</v>
      </c>
      <c r="U67" s="177" t="s">
        <v>99</v>
      </c>
      <c r="V67" s="178" t="s">
        <v>100</v>
      </c>
      <c r="W67" s="178" t="s">
        <v>101</v>
      </c>
      <c r="X67" s="177" t="s">
        <v>102</v>
      </c>
      <c r="Y67" s="179" t="s">
        <v>103</v>
      </c>
      <c r="Z67" s="179" t="s">
        <v>104</v>
      </c>
    </row>
    <row r="68" spans="1:26" s="342" customFormat="1" ht="262" customHeight="1" x14ac:dyDescent="0.35">
      <c r="A68" s="143" t="s">
        <v>184</v>
      </c>
      <c r="B68" s="131">
        <v>379</v>
      </c>
      <c r="C68" s="131" t="s">
        <v>16</v>
      </c>
      <c r="D68" s="347" t="s">
        <v>1498</v>
      </c>
      <c r="E68" s="128" t="str">
        <f>IF(OR(S68&lt;&gt;"",T68&lt;&gt;"",U68&lt;&gt;"",Z68&lt;&gt;""),"Check - see columns S-Z for info","")</f>
        <v/>
      </c>
      <c r="F68" s="343"/>
      <c r="G68" s="321">
        <f>ROUND(IF($B$5="BFR",SUMIF('Prior year BFR download report'!A:A,B68,'Prior year BFR download report'!G:G),0),0)</f>
        <v>0</v>
      </c>
      <c r="H68" s="254">
        <f t="shared" ref="H68" si="41">+I68-G68</f>
        <v>0</v>
      </c>
      <c r="I68" s="321"/>
      <c r="J68" s="343"/>
      <c r="K68" s="321"/>
      <c r="L68" s="254">
        <f t="shared" ref="L68" si="42">+M68-K68</f>
        <v>0</v>
      </c>
      <c r="M68" s="321"/>
      <c r="N68" s="350"/>
      <c r="O68" s="321"/>
      <c r="P68" s="254">
        <f t="shared" ref="P68" si="43">+Q68-O68</f>
        <v>0</v>
      </c>
      <c r="Q68" s="321"/>
      <c r="R68" s="363" t="s">
        <v>1772</v>
      </c>
      <c r="S68" s="143" t="str">
        <f>IF(OR(G68-ROUND(G68,)&lt;&gt;0,I68-ROUND(I68,)&lt;&gt;0,K68-ROUND(K68,)&lt;&gt;0,M68-ROUND(M68,)&lt;&gt;0,O68-ROUND(O68,)&lt;&gt;0,Q68-ROUND(Q68,)&lt;&gt;0),"No decimal places, letters &amp; odd characters allowed","")</f>
        <v/>
      </c>
      <c r="T68" s="190" t="str">
        <f>IF(OR(G68&lt;V68,I68&lt;V68,K68&lt;V68,M68&lt;V68,O68&lt;V68,Q68&lt;V68),"Input value is below the minimum value allowed","")</f>
        <v/>
      </c>
      <c r="U68" s="190" t="str">
        <f t="shared" ref="U68" si="44">IF(OR(G68&gt;W68,H68&gt;W68,I68&gt;W68,K68&gt;W68,L68&gt;W68,M68&gt;W68,O68&gt;W68,P68&gt;W68,Q68&gt;W68),"Input value is above the maximum value allowed","")</f>
        <v/>
      </c>
      <c r="V68" s="334">
        <f>VLOOKUP($B68,'Min max table'!$A$6:$C$209,2,FALSE)</f>
        <v>0</v>
      </c>
      <c r="W68" s="334">
        <f>VLOOKUP($B68,'Min max table'!$A$6:$C$206,3,FALSE)</f>
        <v>200000</v>
      </c>
      <c r="X68" s="222" t="s">
        <v>185</v>
      </c>
      <c r="Y68" s="223" t="str">
        <f>IF(Z68="","","Refer to "&amp;X68&amp;" in the validations table")</f>
        <v/>
      </c>
      <c r="Z68" s="143" t="str">
        <f>IF(AND(ISBLANK('Validations table'!E103),OR($G$68&gt;0,$H$68&gt;0,$I$68&gt;0,$K$68&gt;0,$L$68&gt;0,$M$68&gt;0,$O$68&gt;0,$P$68&gt;0,$Q$68&gt;0)),"Typically what percentage (%) of the amount entered in line 379 has been funded through capital routes: "&amp;"Enter the estimated percentage of building repair &amp; maintenance / building improvement costs that have been funded through capital routes. "&amp;"This can include: devolved formula capital (DFC) grants from the DfE, condition improvement funding (CIF), school condition allocation (SCA) funding, "&amp;"other DfE capital grants that have been spent on general repairs and maintenance of the trust. "&amp;"Please enter this figure as an actual figure. For example, 98% would be entered as 98. "&amp;"If all of your repairs and maintenance costs in line 379 have been funded through revenue, please enter 0 (zero)","")</f>
        <v/>
      </c>
    </row>
    <row r="69" spans="1:26" ht="90" customHeight="1" x14ac:dyDescent="0.6">
      <c r="A69" s="603" t="s">
        <v>186</v>
      </c>
      <c r="B69" s="77"/>
      <c r="C69" s="77"/>
      <c r="D69" s="317"/>
      <c r="E69" s="78"/>
      <c r="F69" s="87"/>
      <c r="G69" s="60"/>
      <c r="H69" s="60"/>
      <c r="I69" s="60"/>
      <c r="J69" s="87"/>
      <c r="K69" s="60"/>
      <c r="L69" s="60"/>
      <c r="M69" s="60"/>
      <c r="O69" s="60"/>
      <c r="P69" s="60"/>
      <c r="Q69" s="60"/>
      <c r="R69" s="72"/>
      <c r="S69" s="72"/>
      <c r="T69" s="72"/>
      <c r="U69" s="73"/>
      <c r="V69" s="75"/>
      <c r="W69" s="75"/>
      <c r="X69" s="86"/>
      <c r="Y69" s="362"/>
      <c r="Z69" s="364"/>
    </row>
    <row r="70" spans="1:26" ht="62" x14ac:dyDescent="0.35">
      <c r="A70" s="29" t="s">
        <v>113</v>
      </c>
      <c r="B70" s="113" t="s">
        <v>92</v>
      </c>
      <c r="C70" s="113" t="s">
        <v>93</v>
      </c>
      <c r="D70" s="177" t="s">
        <v>94</v>
      </c>
      <c r="E70" s="114" t="s">
        <v>95</v>
      </c>
      <c r="F70" s="343"/>
      <c r="G70" s="116" t="str">
        <f>$G$17</f>
        <v>Prior Year       Actuals                       Sep 24 - Mar 25 £'000</v>
      </c>
      <c r="H70" s="116" t="str">
        <f>$H$17</f>
        <v>Prior Year       Calculated                       Apr 25 - Aug 25 £'000</v>
      </c>
      <c r="I70" s="34" t="str">
        <f>$I$17</f>
        <v>TOTAL                 2024/25            £'000</v>
      </c>
      <c r="J70" s="117"/>
      <c r="K70" s="116" t="str">
        <f>$K$17</f>
        <v>Current Year       Actuals                       Sep 25 - Mar 26 £'000</v>
      </c>
      <c r="L70" s="116" t="str">
        <f>$L$17</f>
        <v>Current Year       Calculated                       Apr 26 - Aug 26 £'000</v>
      </c>
      <c r="M70" s="34" t="str">
        <f>$M$17</f>
        <v>TOTAL            2025/26            £'000</v>
      </c>
      <c r="N70" s="118"/>
      <c r="O70" s="34" t="str">
        <f>$O$17</f>
        <v>Forecast Year                              Sep 26 - Mar 27 £'000</v>
      </c>
      <c r="P70" s="116" t="str">
        <f>$P$17</f>
        <v>Forecast Year       Calculated                       Apr 27 - Aug 27 £'000</v>
      </c>
      <c r="Q70" s="34" t="str">
        <f>$Q$17</f>
        <v>TOTAL              2026/27                   £'000</v>
      </c>
      <c r="R70" s="192" t="s">
        <v>114</v>
      </c>
      <c r="S70" s="176" t="s">
        <v>97</v>
      </c>
      <c r="T70" s="177" t="s">
        <v>98</v>
      </c>
      <c r="U70" s="177" t="s">
        <v>99</v>
      </c>
      <c r="V70" s="178" t="s">
        <v>100</v>
      </c>
      <c r="W70" s="178" t="s">
        <v>101</v>
      </c>
      <c r="X70" s="177" t="s">
        <v>102</v>
      </c>
      <c r="Y70" s="179" t="s">
        <v>103</v>
      </c>
      <c r="Z70" s="179" t="s">
        <v>104</v>
      </c>
    </row>
    <row r="71" spans="1:26" s="342" customFormat="1" ht="171" customHeight="1" x14ac:dyDescent="0.35">
      <c r="A71" s="143" t="s">
        <v>187</v>
      </c>
      <c r="B71" s="131">
        <v>350</v>
      </c>
      <c r="C71" s="131" t="s">
        <v>16</v>
      </c>
      <c r="D71" s="347" t="s">
        <v>1498</v>
      </c>
      <c r="E71" s="128" t="str">
        <f>IF(OR(S71&lt;&gt;"",T71&lt;&gt;"",U71&lt;&gt;"",Z71&lt;&gt;""),"Check - see columns S-Z for info","")</f>
        <v/>
      </c>
      <c r="F71" s="343"/>
      <c r="G71" s="321">
        <f>ROUND(IF($B$5="BFR",SUMIF('Prior year BFR download report'!A:A,B71,'Prior year BFR download report'!G:G),0),0)</f>
        <v>0</v>
      </c>
      <c r="H71" s="254">
        <f t="shared" ref="H71" si="45">+I71-G71</f>
        <v>0</v>
      </c>
      <c r="I71" s="321"/>
      <c r="J71" s="343"/>
      <c r="K71" s="321"/>
      <c r="L71" s="254">
        <f>+M71-K71</f>
        <v>0</v>
      </c>
      <c r="M71" s="321"/>
      <c r="N71" s="350"/>
      <c r="O71" s="321"/>
      <c r="P71" s="254">
        <f>+Q71-O71</f>
        <v>0</v>
      </c>
      <c r="Q71" s="321"/>
      <c r="R71" s="324" t="s">
        <v>188</v>
      </c>
      <c r="S71" s="143" t="str">
        <f>IF(OR(G71-ROUND(G71,)&lt;&gt;0,I71-ROUND(I71,)&lt;&gt;0,K71-ROUND(K71,)&lt;&gt;0,M71-ROUND(M71,)&lt;&gt;0,O71-ROUND(O71,)&lt;&gt;0,Q71-ROUND(Q71,)&lt;&gt;0),"No decimal places, letters &amp; odd characters allowed","")</f>
        <v/>
      </c>
      <c r="T71" s="190" t="str">
        <f>IF(OR(G71&lt;V71,I71&lt;V71,K71&lt;V71,M71&lt;V71,O71&lt;V71,Q71&lt;V71),"Input value is below the minimum value allowed","")</f>
        <v/>
      </c>
      <c r="U71" s="190" t="str">
        <f t="shared" ref="U71:U72" si="46">IF(OR(G71&gt;W71,H71&gt;W71,I71&gt;W71,K71&gt;W71,L71&gt;W71,M71&gt;W71,O71&gt;W71,P71&gt;W71,Q71&gt;W71),"Input value is above the maximum value allowed","")</f>
        <v/>
      </c>
      <c r="V71" s="334">
        <f>VLOOKUP($B71,'Min max table'!$A$6:$C$209,2,FALSE)</f>
        <v>-200000</v>
      </c>
      <c r="W71" s="334">
        <f>VLOOKUP($B71,'Min max table'!$A$6:$C$206,3,FALSE)</f>
        <v>200000</v>
      </c>
      <c r="X71" s="351" t="s">
        <v>16</v>
      </c>
      <c r="Y71" s="351" t="s">
        <v>16</v>
      </c>
      <c r="Z71" s="351"/>
    </row>
    <row r="72" spans="1:26" s="342" customFormat="1" ht="73.5" customHeight="1" x14ac:dyDescent="0.35">
      <c r="A72" s="146" t="s">
        <v>189</v>
      </c>
      <c r="B72" s="147">
        <v>351</v>
      </c>
      <c r="C72" s="436" t="s">
        <v>116</v>
      </c>
      <c r="D72" s="460" t="s">
        <v>1498</v>
      </c>
      <c r="E72" s="128" t="str">
        <f>IF(OR(S72&lt;&gt;"",T72&lt;&gt;"",U72&lt;&gt;"",Z72&lt;&gt;""),"Check - see columns S-Z for info","")</f>
        <v/>
      </c>
      <c r="F72" s="343"/>
      <c r="G72" s="321">
        <f>ROUND(IF($B$5="BFR",SUMIF('Prior year BFR download report'!A:A,B72,'Prior year BFR download report'!G:G),0),0)</f>
        <v>0</v>
      </c>
      <c r="H72" s="254">
        <f t="shared" ref="H72" si="47">+I72-G72</f>
        <v>0</v>
      </c>
      <c r="I72" s="321"/>
      <c r="J72" s="343"/>
      <c r="K72" s="321"/>
      <c r="L72" s="254">
        <f>+M72-K72</f>
        <v>0</v>
      </c>
      <c r="M72" s="321"/>
      <c r="N72" s="350"/>
      <c r="O72" s="321"/>
      <c r="P72" s="254">
        <f>+Q72-O72</f>
        <v>0</v>
      </c>
      <c r="Q72" s="321"/>
      <c r="R72" s="324" t="s">
        <v>190</v>
      </c>
      <c r="S72" s="143" t="str">
        <f>IF(OR(G72-ROUND(G72,)&lt;&gt;0,I72-ROUND(I72,)&lt;&gt;0,K72-ROUND(K72,)&lt;&gt;0,M72-ROUND(M72,)&lt;&gt;0,O72-ROUND(O72,)&lt;&gt;0,Q72-ROUND(Q72,)&lt;&gt;0),"No decimal places, letters &amp; odd characters allowed","")</f>
        <v/>
      </c>
      <c r="T72" s="190" t="str">
        <f>IF(OR(G72&lt;V72,I72&lt;V72,K72&lt;V72,M72&lt;V72,O72&lt;V72,Q72&lt;V72),"Input value is below the minimum value allowed","")</f>
        <v/>
      </c>
      <c r="U72" s="190" t="str">
        <f t="shared" si="46"/>
        <v/>
      </c>
      <c r="V72" s="334">
        <f>VLOOKUP($B72,'Min max table'!$A$6:$C$209,2,FALSE)</f>
        <v>0</v>
      </c>
      <c r="W72" s="334">
        <f>VLOOKUP($B72,'Min max table'!$A$6:$C$206,3,FALSE)</f>
        <v>200000</v>
      </c>
      <c r="X72" s="351" t="s">
        <v>16</v>
      </c>
      <c r="Y72" s="351" t="s">
        <v>16</v>
      </c>
      <c r="Z72" s="351"/>
    </row>
    <row r="73" spans="1:26" s="342" customFormat="1" ht="15.5" x14ac:dyDescent="0.35">
      <c r="A73" s="148" t="s">
        <v>191</v>
      </c>
      <c r="B73" s="139">
        <v>352</v>
      </c>
      <c r="C73" s="139"/>
      <c r="D73" s="347"/>
      <c r="E73" s="128"/>
      <c r="F73" s="343"/>
      <c r="G73" s="254">
        <f>SUM(G71:G72)</f>
        <v>0</v>
      </c>
      <c r="H73" s="254">
        <f>SUM(H71:H72)</f>
        <v>0</v>
      </c>
      <c r="I73" s="254">
        <f>SUM(I71:I72)</f>
        <v>0</v>
      </c>
      <c r="J73" s="343"/>
      <c r="K73" s="254">
        <f>SUM(K71:K72)</f>
        <v>0</v>
      </c>
      <c r="L73" s="254">
        <f>SUM(L71:L72)</f>
        <v>0</v>
      </c>
      <c r="M73" s="254">
        <f>SUM(M71:M72)</f>
        <v>0</v>
      </c>
      <c r="O73" s="254">
        <f>SUM(O71:O72)</f>
        <v>0</v>
      </c>
      <c r="P73" s="254">
        <f>SUM(P71:P72)</f>
        <v>0</v>
      </c>
      <c r="Q73" s="254">
        <f>SUM(Q71:Q72)</f>
        <v>0</v>
      </c>
      <c r="R73" s="365"/>
      <c r="S73" s="123"/>
      <c r="T73" s="194"/>
      <c r="U73" s="194"/>
      <c r="V73" s="366"/>
      <c r="W73" s="366"/>
      <c r="X73" s="366"/>
      <c r="Y73" s="366"/>
      <c r="Z73" s="123"/>
    </row>
    <row r="74" spans="1:26" s="342" customFormat="1" ht="144" customHeight="1" x14ac:dyDescent="0.35">
      <c r="A74" s="149" t="s">
        <v>192</v>
      </c>
      <c r="B74" s="150">
        <v>395</v>
      </c>
      <c r="C74" s="131" t="s">
        <v>16</v>
      </c>
      <c r="D74" s="462" t="s">
        <v>1498</v>
      </c>
      <c r="E74" s="128" t="str">
        <f>IF(OR(S74&lt;&gt;"",T74&lt;&gt;"",U74&lt;&gt;"",Z74&lt;&gt;""),"Check - see columns S-Z for info","")</f>
        <v/>
      </c>
      <c r="F74" s="343"/>
      <c r="G74" s="321">
        <f>ROUND(IF($B$5="BFR",SUMIF('Prior year BFR download report'!A:A,B74,'Prior year BFR download report'!G:G),0),0)</f>
        <v>0</v>
      </c>
      <c r="H74" s="254">
        <f t="shared" ref="H74" si="48">+I74-G74</f>
        <v>0</v>
      </c>
      <c r="I74" s="321"/>
      <c r="J74" s="343"/>
      <c r="K74" s="321"/>
      <c r="L74" s="254">
        <f>+M74-K74</f>
        <v>0</v>
      </c>
      <c r="M74" s="321"/>
      <c r="N74" s="350"/>
      <c r="O74" s="321"/>
      <c r="P74" s="254">
        <f>+Q74-O74</f>
        <v>0</v>
      </c>
      <c r="Q74" s="321"/>
      <c r="R74" s="324" t="s">
        <v>193</v>
      </c>
      <c r="S74" s="143" t="str">
        <f>IF(OR(G74-ROUND(G74,)&lt;&gt;0,H74-ROUND(H74,)&lt;&gt;0,I74-ROUND(I74,)&lt;&gt;0,K74-ROUND(K74,)&lt;&gt;0,L74-ROUND(L74,)&lt;&gt;0,M74-ROUND(M74,)&lt;&gt;0,O74-ROUND(O74,)&lt;&gt;0,P74-ROUND(P74,)&lt;&gt;0,Q74-ROUND(Q74,)&lt;&gt;0),"No decimal places, letters &amp; odd characters allowed","")</f>
        <v/>
      </c>
      <c r="T74" s="190" t="str">
        <f>IF(OR(G74&lt;V74,I74&lt;V74,K74&lt;V74,M74&lt;V74,O74&lt;V74,Q74&lt;V74),"Input value is below the minimum value allowed","")</f>
        <v/>
      </c>
      <c r="U74" s="190" t="str">
        <f t="shared" ref="U74" si="49">IF(OR(G74&gt;W74,H74&gt;W74,I74&gt;W74,K74&gt;W74,L74&gt;W74,M74&gt;W74,O74&gt;W74,P74&gt;W74,Q74&gt;W74),"Input value is above the maximum value allowed","")</f>
        <v/>
      </c>
      <c r="V74" s="334">
        <f>VLOOKUP($B74,'Min max table'!$A$6:$C$209,2,FALSE)</f>
        <v>0</v>
      </c>
      <c r="W74" s="334">
        <f>VLOOKUP($B74,'Min max table'!$A$6:$C$206,3,FALSE)</f>
        <v>200000</v>
      </c>
      <c r="X74" s="222" t="s">
        <v>194</v>
      </c>
      <c r="Y74" s="280" t="str">
        <f>IF(Z74="","","Refer to "&amp;X74&amp;" in the validations table")</f>
        <v/>
      </c>
      <c r="Z74" s="143" t="str">
        <f>IF(AND(ISBLANK('Validations table'!E31),OR($G$74&gt;0,$H$74&gt;0,$I$74&gt;0,$K$74&gt;0,$L$74&gt;0,$M$74&gt;0,$O$74&gt;0,$P$74&gt;0,$Q$74&gt;0)), "Provide further details of your non cash costs.","")</f>
        <v/>
      </c>
    </row>
    <row r="75" spans="1:26" s="342" customFormat="1" ht="60" customHeight="1" x14ac:dyDescent="0.35">
      <c r="A75" s="148" t="s">
        <v>195</v>
      </c>
      <c r="B75" s="139">
        <v>380</v>
      </c>
      <c r="C75" s="369" t="s">
        <v>16</v>
      </c>
      <c r="D75" s="369" t="s">
        <v>16</v>
      </c>
      <c r="E75" s="128" t="str">
        <f>IF(OR(S75&lt;&gt;"",T75&lt;&gt;"",U75&lt;&gt;"",Z75&lt;&gt;""),"Check - see columns S-Z for info","")</f>
        <v/>
      </c>
      <c r="F75" s="343"/>
      <c r="G75" s="254">
        <f>SUM(G53, G65, G73,G74)</f>
        <v>0</v>
      </c>
      <c r="H75" s="254">
        <f xml:space="preserve"> SUM(H53, H65, H73,H74)</f>
        <v>0</v>
      </c>
      <c r="I75" s="254">
        <f xml:space="preserve"> SUM(I53, I65, I73,I74)</f>
        <v>0</v>
      </c>
      <c r="J75" s="343"/>
      <c r="K75" s="254">
        <f>SUM(K53,K65,K73,K74)</f>
        <v>0</v>
      </c>
      <c r="L75" s="254">
        <f>SUM(L53,L65,L73,L74)</f>
        <v>0</v>
      </c>
      <c r="M75" s="254">
        <f>SUM(M53,M65,M73,M74)</f>
        <v>0</v>
      </c>
      <c r="O75" s="254">
        <f>SUM(O53,O65,O73,O74)</f>
        <v>0</v>
      </c>
      <c r="P75" s="254">
        <f>SUM(P53,P65,P73,P74)</f>
        <v>0</v>
      </c>
      <c r="Q75" s="254">
        <f>SUM(Q53,Q65,Q73,Q74)</f>
        <v>0</v>
      </c>
      <c r="R75" s="367"/>
      <c r="S75" s="144"/>
      <c r="T75" s="144"/>
      <c r="U75" s="144"/>
      <c r="V75" s="368" t="s">
        <v>16</v>
      </c>
      <c r="W75" s="368" t="s">
        <v>16</v>
      </c>
      <c r="X75" s="333" t="s">
        <v>196</v>
      </c>
      <c r="Y75" s="280" t="str">
        <f>IF(Z75="","","Refer to "&amp;X75&amp;" in the validations table")</f>
        <v/>
      </c>
      <c r="Z75" s="144" t="str">
        <f>IF(OR($Q$75="",$Q$75=0),"",IFERROR(IF(AND(SUM($Q$49:$Q$52)/$Q$75&gt;0.85,ISBLANK('Validations table'!E13)),"Your forecast year staff costs (lines 310, 311, 320 and 325) are forecast to be more than 85% of your total revenue expenditure. Please provide further information on your staff costs and the high proportion it represents of total costs.",""),""))</f>
        <v/>
      </c>
    </row>
    <row r="76" spans="1:26" s="342" customFormat="1" ht="65.150000000000006" customHeight="1" x14ac:dyDescent="0.35">
      <c r="A76" s="143" t="s">
        <v>108</v>
      </c>
      <c r="B76" s="131" t="s">
        <v>16</v>
      </c>
      <c r="C76" s="131" t="s">
        <v>16</v>
      </c>
      <c r="D76" s="369" t="s">
        <v>16</v>
      </c>
      <c r="E76" s="128" t="str">
        <f>IF(OR(S76&lt;&gt;"",T76&lt;&gt;"",U76&lt;&gt;"",Z76&lt;&gt;""),"Check - see columns S-Z for info","")</f>
        <v/>
      </c>
      <c r="F76" s="10"/>
      <c r="G76" s="10"/>
      <c r="H76" s="10"/>
      <c r="I76" s="10"/>
      <c r="J76" s="10"/>
      <c r="K76" s="10"/>
      <c r="L76" s="10"/>
      <c r="M76" s="10"/>
      <c r="N76" s="10"/>
      <c r="O76" s="10"/>
      <c r="P76" s="10"/>
      <c r="Q76" s="10"/>
      <c r="R76" s="367"/>
      <c r="S76" s="143"/>
      <c r="T76" s="143"/>
      <c r="U76" s="143"/>
      <c r="V76" s="334" t="s">
        <v>16</v>
      </c>
      <c r="W76" s="334" t="s">
        <v>16</v>
      </c>
      <c r="X76" s="222" t="s">
        <v>197</v>
      </c>
      <c r="Y76" s="280" t="str">
        <f>IF(Z76="","","Refer to "&amp;X76&amp;" in the validations table")</f>
        <v/>
      </c>
      <c r="Z76" s="143" t="str">
        <f>IFERROR(IF(AND($Q$45/$M$45&lt;0.9,$Q$75/$M$75&gt;0.9,ISBLANK('Validations table'!E11)),"Tell us why your forecast year income is forecast to decline by more than 10% compared to the current year, without a corresponding decrease in expenditure.",""),"")</f>
        <v/>
      </c>
    </row>
    <row r="77" spans="1:26" ht="65.150000000000006" customHeight="1" x14ac:dyDescent="0.35">
      <c r="A77" s="143" t="s">
        <v>108</v>
      </c>
      <c r="B77" s="131" t="s">
        <v>16</v>
      </c>
      <c r="C77" s="131" t="s">
        <v>16</v>
      </c>
      <c r="D77" s="369" t="s">
        <v>16</v>
      </c>
      <c r="E77" s="128" t="str">
        <f>IF(OR(S77&lt;&gt;"",T77&lt;&gt;"",U77&lt;&gt;"",Z77&lt;&gt;""),"Check - see columns S-Z for info","")</f>
        <v/>
      </c>
      <c r="K77" s="10"/>
      <c r="L77" s="10"/>
      <c r="M77" s="10"/>
      <c r="N77" s="10"/>
      <c r="O77" s="10"/>
      <c r="P77" s="10"/>
      <c r="Q77" s="10"/>
      <c r="R77" s="185"/>
      <c r="S77" s="143"/>
      <c r="T77" s="143"/>
      <c r="U77" s="143"/>
      <c r="V77" s="334" t="s">
        <v>16</v>
      </c>
      <c r="W77" s="334" t="s">
        <v>16</v>
      </c>
      <c r="X77" s="222" t="s">
        <v>198</v>
      </c>
      <c r="Y77" s="280" t="str">
        <f>IF(Z77="","","Refer to "&amp;X77&amp;" in the validations table")</f>
        <v/>
      </c>
      <c r="Z77" s="143" t="str">
        <f>IFERROR(IF(AND($Q$45/$M$45&lt;1.1,$Q$75/$M$75&gt;1.1,ISBLANK('Validations table'!E12)),"Tell us why forecast year expenditure is forecast to increase by more than 10% compared to the current year, without a corresponding increase in income. ",""),"")</f>
        <v/>
      </c>
    </row>
    <row r="78" spans="1:26" ht="90" customHeight="1" x14ac:dyDescent="0.6">
      <c r="A78" s="261" t="s">
        <v>199</v>
      </c>
      <c r="B78" s="77"/>
      <c r="C78" s="77"/>
      <c r="D78" s="318"/>
      <c r="E78" s="78"/>
      <c r="K78" s="10"/>
      <c r="L78" s="10"/>
      <c r="M78" s="10"/>
      <c r="N78" s="10"/>
      <c r="O78" s="10"/>
      <c r="P78" s="10"/>
      <c r="Q78" s="10"/>
      <c r="S78" s="12"/>
      <c r="T78" s="12"/>
      <c r="U78" s="12"/>
      <c r="V78" s="12"/>
      <c r="W78" s="12"/>
      <c r="X78" s="12"/>
    </row>
    <row r="79" spans="1:26" ht="18.649999999999999" customHeight="1" x14ac:dyDescent="0.35">
      <c r="A79" s="251" t="s">
        <v>1684</v>
      </c>
      <c r="B79" s="77"/>
      <c r="C79" s="77"/>
      <c r="D79" s="318"/>
      <c r="E79" s="78"/>
      <c r="F79" s="59"/>
      <c r="G79" s="20"/>
      <c r="H79" s="57"/>
      <c r="I79" s="57"/>
      <c r="K79" s="10"/>
      <c r="R79" s="8"/>
      <c r="S79" s="12"/>
      <c r="T79" s="8"/>
      <c r="V79" s="13"/>
      <c r="X79" s="8"/>
      <c r="Y79" s="341"/>
    </row>
    <row r="80" spans="1:26" s="342" customFormat="1" ht="62" x14ac:dyDescent="0.35">
      <c r="A80" s="233" t="s">
        <v>113</v>
      </c>
      <c r="B80" s="113" t="s">
        <v>92</v>
      </c>
      <c r="C80" s="113" t="s">
        <v>93</v>
      </c>
      <c r="D80" s="177" t="s">
        <v>94</v>
      </c>
      <c r="E80" s="114" t="s">
        <v>95</v>
      </c>
      <c r="F80" s="343"/>
      <c r="G80" s="116" t="str">
        <f>$G$17</f>
        <v>Prior Year       Actuals                       Sep 24 - Mar 25 £'000</v>
      </c>
      <c r="H80" s="116" t="str">
        <f>$H$17</f>
        <v>Prior Year       Calculated                       Apr 25 - Aug 25 £'000</v>
      </c>
      <c r="I80" s="34" t="str">
        <f>$I$17</f>
        <v>TOTAL                 2024/25            £'000</v>
      </c>
      <c r="J80" s="117"/>
      <c r="K80" s="116" t="str">
        <f>$K$17</f>
        <v>Current Year       Actuals                       Sep 25 - Mar 26 £'000</v>
      </c>
      <c r="L80" s="116" t="str">
        <f>$L$17</f>
        <v>Current Year       Calculated                       Apr 26 - Aug 26 £'000</v>
      </c>
      <c r="M80" s="34" t="str">
        <f>$M$17</f>
        <v>TOTAL            2025/26            £'000</v>
      </c>
      <c r="N80" s="118"/>
      <c r="O80" s="34" t="str">
        <f>$O$17</f>
        <v>Forecast Year                              Sep 26 - Mar 27 £'000</v>
      </c>
      <c r="P80" s="116" t="str">
        <f>$P$17</f>
        <v>Forecast Year       Calculated                       Apr 27 - Aug 27 £'000</v>
      </c>
      <c r="Q80" s="34" t="str">
        <f>$Q$17</f>
        <v>TOTAL              2026/27                   £'000</v>
      </c>
      <c r="R80" s="192" t="s">
        <v>114</v>
      </c>
      <c r="S80" s="176" t="s">
        <v>97</v>
      </c>
      <c r="T80" s="177" t="s">
        <v>98</v>
      </c>
      <c r="U80" s="177" t="s">
        <v>99</v>
      </c>
      <c r="V80" s="178" t="s">
        <v>100</v>
      </c>
      <c r="W80" s="178" t="s">
        <v>101</v>
      </c>
      <c r="X80" s="177" t="s">
        <v>102</v>
      </c>
      <c r="Y80" s="179" t="s">
        <v>103</v>
      </c>
      <c r="Z80" s="179" t="s">
        <v>104</v>
      </c>
    </row>
    <row r="81" spans="1:26" s="342" customFormat="1" ht="150" customHeight="1" x14ac:dyDescent="0.35">
      <c r="A81" s="153" t="s">
        <v>200</v>
      </c>
      <c r="B81" s="139">
        <v>400</v>
      </c>
      <c r="C81" s="347" t="s">
        <v>16</v>
      </c>
      <c r="D81" s="369" t="s">
        <v>16</v>
      </c>
      <c r="E81" s="128" t="str">
        <f>IF(OR(S81&lt;&gt;"",T81&lt;&gt;"",U81&lt;&gt;"",Z81&lt;&gt;""),"Check - see columns S-Z for info","")</f>
        <v/>
      </c>
      <c r="F81" s="343"/>
      <c r="G81" s="254">
        <f>+G45-G75</f>
        <v>0</v>
      </c>
      <c r="H81" s="254">
        <f>+H45-H75</f>
        <v>0</v>
      </c>
      <c r="I81" s="254">
        <f>+I45-I75</f>
        <v>0</v>
      </c>
      <c r="J81" s="343"/>
      <c r="K81" s="254">
        <f>+K45-K75</f>
        <v>0</v>
      </c>
      <c r="L81" s="254">
        <f>+L45-L75</f>
        <v>0</v>
      </c>
      <c r="M81" s="254">
        <f>+M45-M75</f>
        <v>0</v>
      </c>
      <c r="O81" s="254">
        <f>+O45-O75</f>
        <v>0</v>
      </c>
      <c r="P81" s="254">
        <f>+P45-P75</f>
        <v>0</v>
      </c>
      <c r="Q81" s="254">
        <f>+Q45-Q75</f>
        <v>0</v>
      </c>
      <c r="R81" s="182" t="s">
        <v>201</v>
      </c>
      <c r="S81" s="143"/>
      <c r="T81" s="190"/>
      <c r="U81" s="190"/>
      <c r="V81" s="334" t="s">
        <v>16</v>
      </c>
      <c r="W81" s="334" t="s">
        <v>16</v>
      </c>
      <c r="X81" s="370" t="s">
        <v>202</v>
      </c>
      <c r="Y81" s="280" t="str">
        <f>IF(Z81="","","Refer to "&amp;X81&amp;" in the validations table")</f>
        <v/>
      </c>
      <c r="Z81" s="143" t="str">
        <f>IF(AND(ISBLANK('Validations table'!E14),OR($I$81&lt;0,$M$81&lt;0,$Q$81&lt;0)),"The budget shows a deficit on revenue funds in the prior year, current year or forecast year.  "&amp;
"                                        Tell us:                                                                                                                       "&amp;
"- why revenue income/(expenditure) balance has fallen into a deficit position"&amp;
"                                                                                - what action you're taking to restore the revenue income/(expenditure) balance to a surplus                                   "&amp;
"- when you're likely to achieve a balanced budget, as required by the Academy Trust Handbook                                   "&amp;
"- whether you have an agreed recovery plan with the DfE","")</f>
        <v/>
      </c>
    </row>
    <row r="82" spans="1:26" s="342" customFormat="1" ht="40.4" customHeight="1" x14ac:dyDescent="0.35">
      <c r="A82" s="126"/>
      <c r="D82" s="357"/>
      <c r="R82" s="354"/>
      <c r="S82" s="354"/>
      <c r="T82" s="354"/>
      <c r="U82" s="354"/>
      <c r="V82" s="354"/>
      <c r="W82" s="354"/>
      <c r="X82" s="341"/>
      <c r="Y82" s="355"/>
      <c r="Z82" s="355"/>
    </row>
    <row r="83" spans="1:26" s="342" customFormat="1" ht="62" x14ac:dyDescent="0.35">
      <c r="A83" s="233" t="s">
        <v>113</v>
      </c>
      <c r="B83" s="113" t="s">
        <v>92</v>
      </c>
      <c r="C83" s="113" t="s">
        <v>93</v>
      </c>
      <c r="D83" s="177" t="s">
        <v>94</v>
      </c>
      <c r="E83" s="114" t="s">
        <v>95</v>
      </c>
      <c r="F83" s="343"/>
      <c r="G83" s="34" t="str">
        <f>"Actuals            Balance b/f                 1 Sep "&amp;RIGHT('Version control'!$A$1,4)-2 &amp;"          £'000"</f>
        <v>Actuals            Balance b/f                 1 Sep 2024          £'000</v>
      </c>
      <c r="H83" s="34" t="str">
        <f>"Calculated    Balance b/f                 1 Apr "&amp;RIGHT('Version control'!$A$1,4)-1 &amp;"          £'000"</f>
        <v>Calculated    Balance b/f                 1 Apr 2025          £'000</v>
      </c>
      <c r="I83" s="343"/>
      <c r="J83" s="343"/>
      <c r="K83" s="34" t="str">
        <f>"Calculated            Balance b/f            1 Sep "&amp;RIGHT('Version control'!$A$1,4)-1 &amp;"          £'000"</f>
        <v>Calculated            Balance b/f            1 Sep 2025          £'000</v>
      </c>
      <c r="L83" s="34" t="str">
        <f>"Calculated    Balance b/f           1 Apr "&amp;RIGHT('Version control'!$A$1,4) &amp;"          £'000"</f>
        <v>Calculated    Balance b/f           1 Apr 2026          £'000</v>
      </c>
      <c r="M83" s="120"/>
      <c r="N83" s="120"/>
      <c r="O83" s="34" t="str">
        <f>"Calculated     Balance b/f           1 Sep "&amp;RIGHT('Version control'!$A$1,4) &amp;"          £'000"</f>
        <v>Calculated     Balance b/f           1 Sep 2026          £'000</v>
      </c>
      <c r="P83" s="34" t="str">
        <f>"Calculated     Balance b/f           1 Apr "&amp;RIGHT('Version control'!$A$1,4)+1 &amp;"          £'000"</f>
        <v>Calculated     Balance b/f           1 Apr 2027          £'000</v>
      </c>
      <c r="R83" s="192" t="s">
        <v>114</v>
      </c>
      <c r="S83" s="176" t="s">
        <v>97</v>
      </c>
      <c r="T83" s="177" t="s">
        <v>98</v>
      </c>
      <c r="U83" s="177" t="s">
        <v>99</v>
      </c>
      <c r="V83" s="178" t="s">
        <v>100</v>
      </c>
      <c r="W83" s="178" t="s">
        <v>101</v>
      </c>
      <c r="X83" s="177" t="s">
        <v>102</v>
      </c>
      <c r="Y83" s="179" t="s">
        <v>103</v>
      </c>
      <c r="Z83" s="179" t="s">
        <v>104</v>
      </c>
    </row>
    <row r="84" spans="1:26" s="342" customFormat="1" ht="185.15" customHeight="1" x14ac:dyDescent="0.35">
      <c r="A84" s="148" t="s">
        <v>203</v>
      </c>
      <c r="B84" s="139">
        <v>410</v>
      </c>
      <c r="C84" s="347" t="s">
        <v>16</v>
      </c>
      <c r="D84" s="347" t="s">
        <v>1498</v>
      </c>
      <c r="E84" s="128" t="str">
        <f>IF(OR(S84&lt;&gt;"",T84&lt;&gt;"",U84&lt;&gt;"",Z84&lt;&gt;""),"Check - see columns S-Z for info","")</f>
        <v/>
      </c>
      <c r="F84" s="343"/>
      <c r="G84" s="650"/>
      <c r="H84" s="254">
        <f>G88</f>
        <v>0</v>
      </c>
      <c r="I84" s="343"/>
      <c r="J84" s="343"/>
      <c r="K84" s="254">
        <f>H88</f>
        <v>0</v>
      </c>
      <c r="L84" s="254">
        <f>K88</f>
        <v>0</v>
      </c>
      <c r="O84" s="254">
        <f>L88</f>
        <v>0</v>
      </c>
      <c r="P84" s="254">
        <f>O88</f>
        <v>0</v>
      </c>
      <c r="R84" s="182" t="s">
        <v>1662</v>
      </c>
      <c r="S84" s="143" t="str">
        <f>IF(OR(G84-ROUND(G84,)&lt;&gt;0),"No decimal places, letters &amp; odd characters allowed","")</f>
        <v/>
      </c>
      <c r="T84" s="190" t="str">
        <f>IF(OR(G84&lt;V84,H84&lt;V84,K84&lt;V84,L84&lt;V84,O84&lt;V84,P84&lt;V84),"Input value is below the minimum value allowed","")</f>
        <v/>
      </c>
      <c r="U84" s="190" t="str">
        <f>IF(OR(G84&gt;W84,H84&gt;W84,K84&gt;W84,L84&gt;W84,O84&gt;W84,P84&gt;W84),"Input value is above the maximum value allowed","")</f>
        <v/>
      </c>
      <c r="V84" s="272">
        <f>VLOOKUP($B84,'Min max table'!$A$6:$C$209,2,FALSE)</f>
        <v>-400000</v>
      </c>
      <c r="W84" s="334">
        <f>VLOOKUP($B84,'Min max table'!$A$6:$C$206,3,FALSE)</f>
        <v>400000</v>
      </c>
      <c r="X84" s="370" t="s">
        <v>16</v>
      </c>
      <c r="Y84" s="370" t="s">
        <v>16</v>
      </c>
      <c r="Z84" s="371"/>
    </row>
    <row r="85" spans="1:26" s="342" customFormat="1" ht="60" customHeight="1" x14ac:dyDescent="0.35">
      <c r="A85" s="143" t="s">
        <v>108</v>
      </c>
      <c r="B85" s="347" t="s">
        <v>16</v>
      </c>
      <c r="C85" s="314" t="s">
        <v>16</v>
      </c>
      <c r="D85" s="338" t="s">
        <v>16</v>
      </c>
      <c r="E85" s="128" t="str">
        <f>IF(OR(S85&lt;&gt;"",T85&lt;&gt;"",U85&lt;&gt;"",Z85&lt;&gt;""),"Check - see columns S-Z for info","")</f>
        <v>Check - see columns S-Z for info</v>
      </c>
      <c r="F85" s="343"/>
      <c r="R85" s="279"/>
      <c r="S85" s="334"/>
      <c r="T85" s="334"/>
      <c r="U85" s="334"/>
      <c r="V85" s="334" t="s">
        <v>16</v>
      </c>
      <c r="W85" s="334" t="s">
        <v>16</v>
      </c>
      <c r="X85" s="370" t="s">
        <v>205</v>
      </c>
      <c r="Y85" s="223" t="str">
        <f>IF(Z85="","","Refer to "&amp;X85&amp;" in the validations table")</f>
        <v>Refer to QU8 in the validations table</v>
      </c>
      <c r="Z85" s="144" t="str">
        <f>IF(AND(ISBLANK('Validations table'!E16),OR(G84="",$G$84=0)), "Explain why the balance brought forward from previous period (on Line 410) is £0?","")</f>
        <v>Explain why the balance brought forward from previous period (on Line 410) is £0?</v>
      </c>
    </row>
    <row r="86" spans="1:26" s="342" customFormat="1" ht="49.5" customHeight="1" x14ac:dyDescent="0.35">
      <c r="D86" s="357"/>
      <c r="F86" s="343"/>
      <c r="R86" s="123"/>
      <c r="S86" s="123"/>
      <c r="T86" s="123"/>
      <c r="U86" s="123"/>
      <c r="V86" s="372"/>
      <c r="W86" s="372"/>
      <c r="X86" s="373"/>
      <c r="Y86" s="374"/>
      <c r="Z86" s="123"/>
    </row>
    <row r="87" spans="1:26" s="342" customFormat="1" ht="62" x14ac:dyDescent="0.35">
      <c r="A87" s="233" t="s">
        <v>113</v>
      </c>
      <c r="B87" s="113" t="s">
        <v>92</v>
      </c>
      <c r="C87" s="113" t="s">
        <v>93</v>
      </c>
      <c r="D87" s="177" t="s">
        <v>94</v>
      </c>
      <c r="E87" s="114" t="s">
        <v>95</v>
      </c>
      <c r="F87" s="343"/>
      <c r="G87" s="34" t="str">
        <f>"Calculated            Balance c/f                 31 Mar "&amp;RIGHT('Version control'!$A$1,4)-1 &amp;"          £'000"</f>
        <v>Calculated            Balance c/f                 31 Mar 2025          £'000</v>
      </c>
      <c r="H87" s="34" t="str">
        <f>"Calculated    Balance c/f                 31 Aug "&amp;RIGHT('Version control'!$A$1,4)-1 &amp;"          £'000"</f>
        <v>Calculated    Balance c/f                 31 Aug 2025          £'000</v>
      </c>
      <c r="I87" s="343"/>
      <c r="J87" s="343"/>
      <c r="K87" s="34" t="str">
        <f>"Calculated            Balance c/f            31 Mar "&amp;RIGHT('Version control'!$A$1,4) &amp;"          £'000"</f>
        <v>Calculated            Balance c/f            31 Mar 2026          £'000</v>
      </c>
      <c r="L87" s="34" t="str">
        <f>"Calculated    Balance c/f           31 Aug "&amp;RIGHT('Version control'!$A$1,4) &amp;"          £'000"</f>
        <v>Calculated    Balance c/f           31 Aug 2026          £'000</v>
      </c>
      <c r="M87" s="120"/>
      <c r="N87" s="120"/>
      <c r="O87" s="34" t="str">
        <f>"Calculated     Balance c/f           31 Mar "&amp;RIGHT('Version control'!$A$1,4)+1 &amp;"          £'000"</f>
        <v>Calculated     Balance c/f           31 Mar 2027          £'000</v>
      </c>
      <c r="P87" s="34" t="str">
        <f>"Calculated     Balance c/f           31 Aug "&amp;RIGHT('Version control'!$A$1,4)+1 &amp;"          £'000"</f>
        <v>Calculated     Balance c/f           31 Aug 2027          £'000</v>
      </c>
      <c r="R87" s="192" t="s">
        <v>114</v>
      </c>
      <c r="S87" s="176" t="s">
        <v>97</v>
      </c>
      <c r="T87" s="177" t="s">
        <v>98</v>
      </c>
      <c r="U87" s="177" t="s">
        <v>99</v>
      </c>
      <c r="V87" s="178" t="s">
        <v>100</v>
      </c>
      <c r="W87" s="178" t="s">
        <v>101</v>
      </c>
      <c r="X87" s="177" t="s">
        <v>102</v>
      </c>
      <c r="Y87" s="179" t="s">
        <v>103</v>
      </c>
      <c r="Z87" s="179" t="s">
        <v>104</v>
      </c>
    </row>
    <row r="88" spans="1:26" s="342" customFormat="1" ht="105" customHeight="1" x14ac:dyDescent="0.35">
      <c r="A88" s="148" t="s">
        <v>206</v>
      </c>
      <c r="B88" s="139">
        <v>430</v>
      </c>
      <c r="C88" s="347" t="s">
        <v>16</v>
      </c>
      <c r="D88" s="347" t="s">
        <v>1498</v>
      </c>
      <c r="E88" s="128" t="str">
        <f>IF(OR(S88&lt;&gt;"",T88&lt;&gt;"",U88&lt;&gt;"",Z88&lt;&gt;""),"Check - see columns S-Z for info","")</f>
        <v/>
      </c>
      <c r="F88" s="343"/>
      <c r="G88" s="254">
        <f>+G81+G84</f>
        <v>0</v>
      </c>
      <c r="H88" s="254">
        <f>+H81+H84</f>
        <v>0</v>
      </c>
      <c r="I88" s="343"/>
      <c r="J88" s="343"/>
      <c r="K88" s="254">
        <f>+K81+K84</f>
        <v>0</v>
      </c>
      <c r="L88" s="254">
        <f>+L81+L84</f>
        <v>0</v>
      </c>
      <c r="O88" s="254">
        <f>+O81+O84</f>
        <v>0</v>
      </c>
      <c r="P88" s="254">
        <f>+P81+P84</f>
        <v>0</v>
      </c>
      <c r="R88" s="661" t="s">
        <v>207</v>
      </c>
      <c r="S88" s="146"/>
      <c r="T88" s="662"/>
      <c r="U88" s="662"/>
      <c r="V88" s="663" t="s">
        <v>16</v>
      </c>
      <c r="W88" s="663" t="s">
        <v>16</v>
      </c>
      <c r="X88" s="664" t="s">
        <v>208</v>
      </c>
      <c r="Y88" s="486" t="str">
        <f>IF(Z88="","","Refer to "&amp;X88&amp;" in the validations table")</f>
        <v/>
      </c>
      <c r="Z88" s="146" t="str">
        <f>IF('Validations table'!E1&lt;&gt;"","",IF(AND($Q$81&lt;0,$P$88&gt;0,$Q$81*-1&gt;$P$88),"For the forecast year, you've forecast a positive closing balance but a high in-year deficit. This can lead to reserves being depleted in future years and the academy being in a deficit position."&amp;
"Tell us what actions you're taking to ensure a balanced/surplus budget will be maintained.",""))</f>
        <v/>
      </c>
    </row>
    <row r="89" spans="1:26" ht="60" customHeight="1" x14ac:dyDescent="0.4">
      <c r="A89" s="143" t="s">
        <v>108</v>
      </c>
      <c r="B89" s="314" t="s">
        <v>16</v>
      </c>
      <c r="C89" s="314" t="s">
        <v>16</v>
      </c>
      <c r="D89" s="338" t="s">
        <v>16</v>
      </c>
      <c r="E89" s="128" t="str">
        <f>IF(OR(S89&lt;&gt;"",T89&lt;&gt;"",U89&lt;&gt;"",Z89&lt;&gt;""),"Check - see columns S-Z for info","")</f>
        <v/>
      </c>
      <c r="K89" s="79"/>
      <c r="L89" s="79"/>
      <c r="O89" s="79"/>
      <c r="P89" s="81"/>
      <c r="Q89" s="80"/>
      <c r="R89" s="375"/>
      <c r="S89" s="143"/>
      <c r="T89" s="190"/>
      <c r="U89" s="190"/>
      <c r="V89" s="334" t="s">
        <v>16</v>
      </c>
      <c r="W89" s="334" t="s">
        <v>16</v>
      </c>
      <c r="X89" s="370" t="s">
        <v>209</v>
      </c>
      <c r="Y89" s="280" t="str">
        <f>IF(Z89="","","Refer to "&amp;X89&amp;" in the validations table")</f>
        <v/>
      </c>
      <c r="Z89" s="143" t="str">
        <f>IF(AND(ISBLANK('Validations table'!E16),OR(H88&lt;0,L88&lt;0,P88&lt;0)),"Your closing reserves for either the prior year, current year or forecast year are currently in deficit. What are your plans to return to a balanced/surplus position?","")</f>
        <v/>
      </c>
    </row>
    <row r="90" spans="1:26" ht="30.65" customHeight="1" x14ac:dyDescent="0.4">
      <c r="A90" s="123"/>
      <c r="B90" s="665"/>
      <c r="C90" s="665"/>
      <c r="D90" s="356"/>
      <c r="E90" s="125"/>
      <c r="K90" s="79"/>
      <c r="L90" s="79"/>
      <c r="O90" s="79"/>
      <c r="P90" s="81"/>
      <c r="Q90" s="80"/>
      <c r="R90" s="666"/>
      <c r="S90" s="123"/>
      <c r="T90" s="194"/>
      <c r="U90" s="194"/>
      <c r="V90" s="372"/>
      <c r="W90" s="372"/>
      <c r="X90" s="373"/>
      <c r="Y90" s="486"/>
      <c r="Z90" s="123"/>
    </row>
    <row r="91" spans="1:26" ht="90" customHeight="1" x14ac:dyDescent="0.6">
      <c r="A91" s="275" t="s">
        <v>211</v>
      </c>
      <c r="B91" s="77"/>
      <c r="C91" s="77"/>
      <c r="D91" s="318"/>
      <c r="E91" s="78"/>
      <c r="K91" s="79"/>
      <c r="L91" s="79"/>
      <c r="O91" s="79"/>
      <c r="P91" s="81"/>
      <c r="Q91" s="80"/>
      <c r="R91" s="73"/>
      <c r="S91" s="73"/>
      <c r="T91" s="73"/>
      <c r="U91" s="73"/>
      <c r="V91" s="75"/>
      <c r="W91" s="75"/>
      <c r="X91" s="82"/>
      <c r="Y91" s="353"/>
      <c r="Z91" s="70"/>
    </row>
    <row r="92" spans="1:26" ht="45" customHeight="1" x14ac:dyDescent="0.6">
      <c r="A92" s="261" t="s">
        <v>212</v>
      </c>
      <c r="B92" s="77"/>
      <c r="C92" s="77"/>
      <c r="D92" s="318"/>
      <c r="E92" s="78"/>
      <c r="K92" s="79"/>
      <c r="L92" s="79"/>
      <c r="O92" s="79"/>
      <c r="P92" s="81"/>
      <c r="Q92" s="80"/>
      <c r="R92" s="73"/>
      <c r="S92" s="73"/>
      <c r="T92" s="73"/>
      <c r="U92" s="73"/>
      <c r="V92" s="75"/>
      <c r="W92" s="75"/>
      <c r="X92" s="82"/>
      <c r="Y92" s="353"/>
      <c r="Z92" s="70"/>
    </row>
    <row r="93" spans="1:26" ht="18.649999999999999" customHeight="1" x14ac:dyDescent="0.35">
      <c r="A93" s="251" t="s">
        <v>1685</v>
      </c>
      <c r="B93" s="77"/>
      <c r="C93" s="77"/>
      <c r="D93" s="318"/>
      <c r="E93" s="78"/>
      <c r="F93" s="59"/>
      <c r="G93" s="20"/>
      <c r="H93" s="57"/>
      <c r="I93" s="57"/>
      <c r="K93" s="10"/>
      <c r="R93" s="8"/>
      <c r="T93" s="8"/>
      <c r="V93" s="13"/>
      <c r="X93" s="8"/>
      <c r="Y93" s="341"/>
    </row>
    <row r="94" spans="1:26" ht="45" customHeight="1" x14ac:dyDescent="0.6">
      <c r="A94" s="603" t="s">
        <v>213</v>
      </c>
      <c r="B94" s="77"/>
      <c r="C94" s="77"/>
      <c r="D94" s="318"/>
      <c r="E94" s="78"/>
      <c r="K94" s="79"/>
      <c r="L94" s="79"/>
      <c r="O94" s="79"/>
      <c r="P94" s="81"/>
      <c r="Q94" s="80"/>
      <c r="R94" s="73"/>
      <c r="S94" s="73"/>
      <c r="T94" s="73"/>
      <c r="U94" s="73"/>
      <c r="V94" s="75"/>
      <c r="W94" s="75"/>
      <c r="X94" s="82"/>
      <c r="Y94" s="353"/>
      <c r="Z94" s="70"/>
    </row>
    <row r="95" spans="1:26" s="342" customFormat="1" ht="62" x14ac:dyDescent="0.35">
      <c r="A95" s="29" t="s">
        <v>113</v>
      </c>
      <c r="B95" s="113" t="s">
        <v>92</v>
      </c>
      <c r="C95" s="113" t="s">
        <v>93</v>
      </c>
      <c r="D95" s="177" t="s">
        <v>94</v>
      </c>
      <c r="E95" s="114" t="s">
        <v>95</v>
      </c>
      <c r="F95" s="343"/>
      <c r="G95" s="116" t="str">
        <f>$G$17</f>
        <v>Prior Year       Actuals                       Sep 24 - Mar 25 £'000</v>
      </c>
      <c r="H95" s="116" t="str">
        <f>$H$17</f>
        <v>Prior Year       Calculated                       Apr 25 - Aug 25 £'000</v>
      </c>
      <c r="I95" s="34" t="str">
        <f>$I$17</f>
        <v>TOTAL                 2024/25            £'000</v>
      </c>
      <c r="J95" s="117"/>
      <c r="K95" s="116" t="str">
        <f>$K$17</f>
        <v>Current Year       Actuals                       Sep 25 - Mar 26 £'000</v>
      </c>
      <c r="L95" s="116" t="str">
        <f>$L$17</f>
        <v>Current Year       Calculated                       Apr 26 - Aug 26 £'000</v>
      </c>
      <c r="M95" s="34" t="str">
        <f>$M$17</f>
        <v>TOTAL            2025/26            £'000</v>
      </c>
      <c r="N95" s="118"/>
      <c r="O95" s="116" t="str">
        <f>$O$17</f>
        <v>Forecast Year                              Sep 26 - Mar 27 £'000</v>
      </c>
      <c r="P95" s="116" t="str">
        <f>$P$17</f>
        <v>Forecast Year       Calculated                       Apr 27 - Aug 27 £'000</v>
      </c>
      <c r="Q95" s="34" t="str">
        <f>$Q$17</f>
        <v>TOTAL              2026/27                   £'000</v>
      </c>
      <c r="R95" s="192" t="s">
        <v>114</v>
      </c>
      <c r="S95" s="176" t="s">
        <v>97</v>
      </c>
      <c r="T95" s="177" t="s">
        <v>98</v>
      </c>
      <c r="U95" s="177" t="s">
        <v>99</v>
      </c>
      <c r="V95" s="178" t="s">
        <v>100</v>
      </c>
      <c r="W95" s="178" t="s">
        <v>101</v>
      </c>
      <c r="X95" s="177" t="s">
        <v>102</v>
      </c>
      <c r="Y95" s="179" t="s">
        <v>103</v>
      </c>
      <c r="Z95" s="179" t="s">
        <v>104</v>
      </c>
    </row>
    <row r="96" spans="1:26" s="342" customFormat="1" ht="48" customHeight="1" x14ac:dyDescent="0.35">
      <c r="A96" s="143" t="s">
        <v>214</v>
      </c>
      <c r="B96" s="131">
        <v>510</v>
      </c>
      <c r="C96" s="436" t="s">
        <v>116</v>
      </c>
      <c r="D96" s="347"/>
      <c r="E96" s="128" t="str">
        <f>IF(OR(S96&lt;&gt;"",T96&lt;&gt;"",U96&lt;&gt;"",Z96&lt;&gt;""),"Check - see columns S-Z for info","")</f>
        <v/>
      </c>
      <c r="F96" s="343"/>
      <c r="G96" s="321">
        <f>ROUND(IF($B$5="BFR",SUMIF('Prior year BFR download report'!A:A,B96,'Prior year BFR download report'!G:G),0),0)</f>
        <v>0</v>
      </c>
      <c r="H96" s="254">
        <f t="shared" ref="H96:H99" si="50">+I96-G96</f>
        <v>0</v>
      </c>
      <c r="I96" s="321"/>
      <c r="J96" s="343"/>
      <c r="K96" s="321"/>
      <c r="L96" s="254">
        <f>+M96-K96</f>
        <v>0</v>
      </c>
      <c r="M96" s="321"/>
      <c r="N96" s="350"/>
      <c r="O96" s="321"/>
      <c r="P96" s="254">
        <f>+Q96-O96</f>
        <v>0</v>
      </c>
      <c r="Q96" s="321"/>
      <c r="R96" s="363" t="s">
        <v>215</v>
      </c>
      <c r="S96" s="143" t="str">
        <f>IF(OR(G96-ROUND(G96,)&lt;&gt;0,I96-ROUND(I96,)&lt;&gt;0,K96-ROUND(K96,)&lt;&gt;0,M96-ROUND(M96,)&lt;&gt;0,O96-ROUND(O96,)&lt;&gt;0,Q96-ROUND(Q96,)&lt;&gt;0),"No decimal places, letters &amp; odd characters allowed","")</f>
        <v/>
      </c>
      <c r="T96" s="190" t="str">
        <f>IF(OR(G96&lt;V96,I96&lt;V96,K96&lt;V96,M96&lt;V96,O96&lt;V96,Q96&lt;V96),"Input value is below the minimum value allowed","")</f>
        <v/>
      </c>
      <c r="U96" s="190" t="str">
        <f t="shared" ref="U96" si="51">IF(OR(G96&gt;W96,H96&gt;W96,I96&gt;W96,K96&gt;W96,L96&gt;W96,M96&gt;W96,O96&gt;W96,P96&gt;W96,Q96&gt;W96),"Input value is above the maximum value allowed","")</f>
        <v/>
      </c>
      <c r="V96" s="272">
        <f>VLOOKUP($B96,'Min max table'!$A$6:$C$209,2,FALSE)</f>
        <v>-400000</v>
      </c>
      <c r="W96" s="334">
        <f>VLOOKUP($B96,'Min max table'!$A$6:$C$206,3,FALSE)</f>
        <v>400000</v>
      </c>
      <c r="X96" s="351" t="s">
        <v>16</v>
      </c>
      <c r="Y96" s="351" t="s">
        <v>16</v>
      </c>
      <c r="Z96" s="351"/>
    </row>
    <row r="97" spans="1:26" s="342" customFormat="1" ht="94.4" customHeight="1" x14ac:dyDescent="0.35">
      <c r="A97" s="319" t="s">
        <v>1767</v>
      </c>
      <c r="B97" s="131">
        <v>520</v>
      </c>
      <c r="C97" s="436" t="s">
        <v>116</v>
      </c>
      <c r="D97" s="347" t="s">
        <v>1498</v>
      </c>
      <c r="E97" s="128" t="str">
        <f>IF(OR(S97&lt;&gt;"",T97&lt;&gt;"",U97&lt;&gt;"",Z97&lt;&gt;""),"Check - see columns S-Z for info","")</f>
        <v/>
      </c>
      <c r="F97" s="343"/>
      <c r="G97" s="321">
        <f>ROUND(IF($B$5="BFR",SUMIF('Prior year BFR download report'!A:A,B97,'Prior year BFR download report'!G:G),0),0)</f>
        <v>0</v>
      </c>
      <c r="H97" s="254">
        <f t="shared" si="50"/>
        <v>0</v>
      </c>
      <c r="I97" s="321"/>
      <c r="J97" s="343"/>
      <c r="K97" s="321"/>
      <c r="L97" s="254">
        <f>+M97-K97</f>
        <v>0</v>
      </c>
      <c r="M97" s="321"/>
      <c r="N97" s="350"/>
      <c r="O97" s="321"/>
      <c r="P97" s="254">
        <f t="shared" ref="P97:P107" si="52">+Q97-O97</f>
        <v>0</v>
      </c>
      <c r="Q97" s="321"/>
      <c r="R97" s="363" t="s">
        <v>1782</v>
      </c>
      <c r="S97" s="143" t="str">
        <f>IF(OR(G97-ROUND(G97,)&lt;&gt;0,I97-ROUND(I97,)&lt;&gt;0,K97-ROUND(K97,)&lt;&gt;0,M97-ROUND(M97,)&lt;&gt;0,O97-ROUND(O97,)&lt;&gt;0,Q97-ROUND(Q97,)&lt;&gt;0),"No decimal places, letters &amp; odd characters allowed","")</f>
        <v/>
      </c>
      <c r="T97" s="190" t="str">
        <f t="shared" ref="T97:T99" si="53">IF(OR(G97&lt;V97,I97&lt;V97,K97&lt;V97,M97&lt;V97,O97&lt;V97,Q97&lt;V97),"Input value is below the minimum value allowed","")</f>
        <v/>
      </c>
      <c r="U97" s="190" t="str">
        <f t="shared" ref="U97:U99" si="54">IF(OR(G97&gt;W97,H97&gt;W97,I97&gt;W97,K97&gt;W97,L97&gt;W97,M97&gt;W97,O97&gt;W97,P97&gt;W97,Q97&gt;W97),"Input value is above the maximum value allowed","")</f>
        <v/>
      </c>
      <c r="V97" s="272">
        <f>VLOOKUP($B97,'Min max table'!$A$6:$C$209,2,FALSE)</f>
        <v>-400000</v>
      </c>
      <c r="W97" s="334">
        <f>VLOOKUP($B97,'Min max table'!$A$6:$C$206,3,FALSE)</f>
        <v>400000</v>
      </c>
      <c r="X97" s="351" t="s">
        <v>16</v>
      </c>
      <c r="Y97" s="351" t="s">
        <v>16</v>
      </c>
      <c r="Z97" s="351"/>
    </row>
    <row r="98" spans="1:26" s="342" customFormat="1" ht="69.650000000000006" customHeight="1" x14ac:dyDescent="0.35">
      <c r="A98" s="143" t="s">
        <v>217</v>
      </c>
      <c r="B98" s="131">
        <v>530</v>
      </c>
      <c r="C98" s="436" t="s">
        <v>116</v>
      </c>
      <c r="D98" s="347" t="s">
        <v>1498</v>
      </c>
      <c r="E98" s="128" t="str">
        <f>IF(OR(S98&lt;&gt;"",T98&lt;&gt;"",U98&lt;&gt;"",Z98&lt;&gt;""),"Check - see columns S-Z for info","")</f>
        <v/>
      </c>
      <c r="F98" s="343"/>
      <c r="G98" s="321">
        <f>ROUND(IF($B$5="BFR",SUMIF('Prior year BFR download report'!A:A,B98,'Prior year BFR download report'!G:G),0),0)</f>
        <v>0</v>
      </c>
      <c r="H98" s="254">
        <f t="shared" si="50"/>
        <v>0</v>
      </c>
      <c r="I98" s="321"/>
      <c r="J98" s="343"/>
      <c r="K98" s="321"/>
      <c r="L98" s="254">
        <f>+M98-K98</f>
        <v>0</v>
      </c>
      <c r="M98" s="321"/>
      <c r="N98" s="350"/>
      <c r="O98" s="321"/>
      <c r="P98" s="254">
        <f t="shared" si="52"/>
        <v>0</v>
      </c>
      <c r="Q98" s="321"/>
      <c r="R98" s="363" t="s">
        <v>218</v>
      </c>
      <c r="S98" s="143" t="str">
        <f>IF(OR(G98-ROUND(G98,)&lt;&gt;0,I98-ROUND(I98,)&lt;&gt;0,K98-ROUND(K98,)&lt;&gt;0,M98-ROUND(M98,)&lt;&gt;0,O98-ROUND(O98,)&lt;&gt;0,Q98-ROUND(Q98,)&lt;&gt;0),"No decimal places, letters &amp; odd characters allowed","")</f>
        <v/>
      </c>
      <c r="T98" s="190" t="str">
        <f t="shared" si="53"/>
        <v/>
      </c>
      <c r="U98" s="190" t="str">
        <f t="shared" si="54"/>
        <v/>
      </c>
      <c r="V98" s="272">
        <f>VLOOKUP($B98,'Min max table'!$A$6:$C$209,2,FALSE)</f>
        <v>-400000</v>
      </c>
      <c r="W98" s="334">
        <f>VLOOKUP($B98,'Min max table'!$A$6:$C$206,3,FALSE)</f>
        <v>400000</v>
      </c>
      <c r="X98" s="351" t="s">
        <v>16</v>
      </c>
      <c r="Y98" s="351" t="s">
        <v>16</v>
      </c>
      <c r="Z98" s="351"/>
    </row>
    <row r="99" spans="1:26" s="342" customFormat="1" ht="197.15" customHeight="1" x14ac:dyDescent="0.35">
      <c r="A99" s="146" t="s">
        <v>219</v>
      </c>
      <c r="B99" s="131">
        <v>540</v>
      </c>
      <c r="C99" s="436" t="s">
        <v>116</v>
      </c>
      <c r="D99" s="460" t="s">
        <v>1498</v>
      </c>
      <c r="E99" s="128" t="str">
        <f>IF(OR(S99&lt;&gt;"",T99&lt;&gt;"",U99&lt;&gt;"",Z99&lt;&gt;""),"Check - see columns S-Z for info","")</f>
        <v/>
      </c>
      <c r="F99" s="343"/>
      <c r="G99" s="321">
        <f>ROUND(IF($B$5="BFR",SUMIF('Prior year BFR download report'!A:A,B99,'Prior year BFR download report'!G:G),0),0)</f>
        <v>0</v>
      </c>
      <c r="H99" s="254">
        <f t="shared" si="50"/>
        <v>0</v>
      </c>
      <c r="I99" s="321"/>
      <c r="J99" s="343"/>
      <c r="K99" s="321"/>
      <c r="L99" s="254">
        <f>+M99-K99</f>
        <v>0</v>
      </c>
      <c r="M99" s="321"/>
      <c r="N99" s="350"/>
      <c r="O99" s="321"/>
      <c r="P99" s="254">
        <f t="shared" si="52"/>
        <v>0</v>
      </c>
      <c r="Q99" s="321"/>
      <c r="R99" s="363" t="s">
        <v>1773</v>
      </c>
      <c r="S99" s="143" t="str">
        <f>IF(OR(G99-ROUND(G99,)&lt;&gt;0,I99-ROUND(I99,)&lt;&gt;0,K99-ROUND(K99,)&lt;&gt;0,M99-ROUND(M99,)&lt;&gt;0,O99-ROUND(O99,)&lt;&gt;0,Q99-ROUND(Q99,)&lt;&gt;0),"No decimal places, letters &amp; odd characters allowed","")</f>
        <v/>
      </c>
      <c r="T99" s="190" t="str">
        <f t="shared" si="53"/>
        <v/>
      </c>
      <c r="U99" s="190" t="str">
        <f t="shared" si="54"/>
        <v/>
      </c>
      <c r="V99" s="272">
        <f>VLOOKUP($B99,'Min max table'!$A$6:$C$209,2,FALSE)</f>
        <v>-400000</v>
      </c>
      <c r="W99" s="334">
        <f>VLOOKUP($B99,'Min max table'!$A$6:$C$206,3,FALSE)</f>
        <v>400000</v>
      </c>
      <c r="X99" s="351" t="s">
        <v>16</v>
      </c>
      <c r="Y99" s="351" t="s">
        <v>16</v>
      </c>
      <c r="Z99" s="351"/>
    </row>
    <row r="100" spans="1:26" s="342" customFormat="1" ht="25.4" customHeight="1" x14ac:dyDescent="0.35">
      <c r="A100" s="148" t="s">
        <v>220</v>
      </c>
      <c r="B100" s="151">
        <v>550</v>
      </c>
      <c r="C100" s="445"/>
      <c r="D100" s="315"/>
      <c r="E100" s="128" t="str">
        <f>IF(OR(S100&lt;&gt;"",T100&lt;&gt;"",U100&lt;&gt;"",Z100&lt;&gt;""),"Check - see columns S-Z for info","")</f>
        <v/>
      </c>
      <c r="F100" s="343"/>
      <c r="G100" s="254">
        <f>SUM(G96:G99)</f>
        <v>0</v>
      </c>
      <c r="H100" s="254">
        <f>+I100-G100</f>
        <v>0</v>
      </c>
      <c r="I100" s="254">
        <f>SUM(I96:I99)</f>
        <v>0</v>
      </c>
      <c r="J100" s="343"/>
      <c r="K100" s="254">
        <f>SUM(K96:K99)</f>
        <v>0</v>
      </c>
      <c r="L100" s="254">
        <f>+M100-K100</f>
        <v>0</v>
      </c>
      <c r="M100" s="254">
        <f>SUM(M96:M99)</f>
        <v>0</v>
      </c>
      <c r="O100" s="254">
        <f>SUM(O96:O99)</f>
        <v>0</v>
      </c>
      <c r="P100" s="254">
        <f t="shared" si="52"/>
        <v>0</v>
      </c>
      <c r="Q100" s="254">
        <f>SUM(Q96:Q99)</f>
        <v>0</v>
      </c>
      <c r="R100" s="133"/>
      <c r="S100" s="133"/>
      <c r="T100" s="133"/>
      <c r="U100" s="133"/>
      <c r="V100" s="353"/>
      <c r="W100" s="353"/>
      <c r="X100" s="353"/>
      <c r="Y100" s="353"/>
      <c r="Z100" s="353"/>
    </row>
    <row r="101" spans="1:26" ht="90" customHeight="1" x14ac:dyDescent="0.6">
      <c r="A101" s="603" t="s">
        <v>221</v>
      </c>
      <c r="B101" s="90"/>
      <c r="C101" s="90"/>
      <c r="D101" s="64"/>
      <c r="E101" s="78"/>
      <c r="K101" s="91"/>
      <c r="L101" s="92"/>
      <c r="M101" s="91"/>
      <c r="O101" s="91"/>
      <c r="P101" s="92"/>
      <c r="Q101" s="91"/>
      <c r="R101" s="73"/>
      <c r="S101" s="73"/>
      <c r="T101" s="73"/>
      <c r="U101" s="73"/>
      <c r="V101" s="75"/>
      <c r="W101" s="75"/>
      <c r="X101" s="82"/>
      <c r="Y101" s="353"/>
      <c r="Z101" s="70"/>
    </row>
    <row r="102" spans="1:26" s="342" customFormat="1" ht="62" x14ac:dyDescent="0.35">
      <c r="A102" s="29" t="s">
        <v>113</v>
      </c>
      <c r="B102" s="113" t="s">
        <v>92</v>
      </c>
      <c r="C102" s="113" t="s">
        <v>93</v>
      </c>
      <c r="D102" s="177" t="s">
        <v>94</v>
      </c>
      <c r="E102" s="114" t="s">
        <v>95</v>
      </c>
      <c r="F102" s="343"/>
      <c r="G102" s="116" t="str">
        <f>$G$17</f>
        <v>Prior Year       Actuals                       Sep 24 - Mar 25 £'000</v>
      </c>
      <c r="H102" s="116" t="str">
        <f>$G$17</f>
        <v>Prior Year       Actuals                       Sep 24 - Mar 25 £'000</v>
      </c>
      <c r="I102" s="34" t="str">
        <f>$I$17</f>
        <v>TOTAL                 2024/25            £'000</v>
      </c>
      <c r="J102" s="117"/>
      <c r="K102" s="116" t="str">
        <f>$K$17</f>
        <v>Current Year       Actuals                       Sep 25 - Mar 26 £'000</v>
      </c>
      <c r="L102" s="116" t="str">
        <f>$L$17</f>
        <v>Current Year       Calculated                       Apr 26 - Aug 26 £'000</v>
      </c>
      <c r="M102" s="34" t="str">
        <f>$M$17</f>
        <v>TOTAL            2025/26            £'000</v>
      </c>
      <c r="N102" s="118"/>
      <c r="O102" s="116" t="str">
        <f>$O$17</f>
        <v>Forecast Year                              Sep 26 - Mar 27 £'000</v>
      </c>
      <c r="P102" s="116" t="str">
        <f>$P$17</f>
        <v>Forecast Year       Calculated                       Apr 27 - Aug 27 £'000</v>
      </c>
      <c r="Q102" s="34" t="str">
        <f>$Q$17</f>
        <v>TOTAL              2026/27                   £'000</v>
      </c>
      <c r="R102" s="192" t="s">
        <v>114</v>
      </c>
      <c r="S102" s="176" t="s">
        <v>97</v>
      </c>
      <c r="T102" s="177" t="s">
        <v>98</v>
      </c>
      <c r="U102" s="177" t="s">
        <v>99</v>
      </c>
      <c r="V102" s="178" t="s">
        <v>100</v>
      </c>
      <c r="W102" s="178" t="s">
        <v>101</v>
      </c>
      <c r="X102" s="177" t="s">
        <v>102</v>
      </c>
      <c r="Y102" s="179" t="s">
        <v>103</v>
      </c>
      <c r="Z102" s="179" t="s">
        <v>104</v>
      </c>
    </row>
    <row r="103" spans="1:26" s="342" customFormat="1" ht="60" customHeight="1" x14ac:dyDescent="0.35">
      <c r="A103" s="143" t="s">
        <v>222</v>
      </c>
      <c r="B103" s="131">
        <v>560</v>
      </c>
      <c r="C103" s="436" t="s">
        <v>116</v>
      </c>
      <c r="D103" s="461" t="s">
        <v>1498</v>
      </c>
      <c r="E103" s="128" t="str">
        <f>IF(OR(S103&lt;&gt;"",T103&lt;&gt;"",U103&lt;&gt;"",Z103&lt;&gt;""),"Check - see columns S-Z for info","")</f>
        <v/>
      </c>
      <c r="F103" s="343"/>
      <c r="G103" s="321">
        <f>ROUND(IF($B$5="BFR",SUMIF('Prior year BFR download report'!A:A,B103,'Prior year BFR download report'!G:G),0),0)</f>
        <v>0</v>
      </c>
      <c r="H103" s="254">
        <f t="shared" ref="H103:H105" si="55">+I103-G103</f>
        <v>0</v>
      </c>
      <c r="I103" s="321"/>
      <c r="J103" s="343"/>
      <c r="K103" s="321"/>
      <c r="L103" s="254">
        <f>+M103-K103</f>
        <v>0</v>
      </c>
      <c r="M103" s="321"/>
      <c r="N103" s="350"/>
      <c r="O103" s="321"/>
      <c r="P103" s="254">
        <f t="shared" si="52"/>
        <v>0</v>
      </c>
      <c r="Q103" s="321"/>
      <c r="R103" s="363" t="s">
        <v>223</v>
      </c>
      <c r="S103" s="143" t="str">
        <f>IF(OR(G103-ROUND(G103,)&lt;&gt;0,I103-ROUND(I103,)&lt;&gt;0,K103-ROUND(K103,)&lt;&gt;0,M103-ROUND(M103,)&lt;&gt;0,O103-ROUND(O103,)&lt;&gt;0,Q103-ROUND(Q103,)&lt;&gt;0),"No decimal places, letters &amp; odd characters allowed","")</f>
        <v/>
      </c>
      <c r="T103" s="190" t="str">
        <f t="shared" ref="T103" si="56">IF(OR(G103&lt;V103,I103&lt;V103,K103&lt;V103,M103&lt;V103,O103&lt;V103,Q103&lt;V103),"Input value is below the minimum value allowed","")</f>
        <v/>
      </c>
      <c r="U103" s="190" t="str">
        <f t="shared" ref="U103" si="57">IF(OR(G103&gt;W103,H103&gt;W103,I103&gt;W103,K103&gt;W103,L103&gt;W103,M103&gt;W103,O103&gt;W103,P103&gt;W103,Q103&gt;W103),"Input value is above the maximum value allowed","")</f>
        <v/>
      </c>
      <c r="V103" s="272">
        <f>VLOOKUP($B103,'Min max table'!$A$6:$C$209,2,FALSE)</f>
        <v>-400000</v>
      </c>
      <c r="W103" s="334">
        <f>VLOOKUP($B103,'Min max table'!$A$6:$C$206,3,FALSE)</f>
        <v>400000</v>
      </c>
      <c r="X103" s="376" t="s">
        <v>224</v>
      </c>
      <c r="Y103" s="223" t="str">
        <f>IF(Z103="","","Refer to "&amp;X103&amp;" in the validations table")</f>
        <v/>
      </c>
      <c r="Z103" s="143" t="str">
        <f>IF(AND(ISBLANK('Validations table'!E21),OR($G$103&gt;0,$H$103&gt;0,$I$103&gt;0,$K$103&gt;0,$L$103&gt;0,$M$103&gt;0,$O$103&gt;0,$P$103&gt;0,$Q$103&gt;0)),"Confirm that this relates to cash receivables only and doesn't include donated assets or conversions.","")</f>
        <v/>
      </c>
    </row>
    <row r="104" spans="1:26" s="342" customFormat="1" ht="60" customHeight="1" x14ac:dyDescent="0.35">
      <c r="A104" s="143" t="s">
        <v>225</v>
      </c>
      <c r="B104" s="131">
        <v>570</v>
      </c>
      <c r="C104" s="436" t="s">
        <v>116</v>
      </c>
      <c r="D104" s="461" t="s">
        <v>1498</v>
      </c>
      <c r="E104" s="128" t="str">
        <f>IF(OR(S104&lt;&gt;"",T104&lt;&gt;"",U104&lt;&gt;"",Z104&lt;&gt;""),"Check - see columns S-Z for info","")</f>
        <v/>
      </c>
      <c r="F104" s="343"/>
      <c r="G104" s="321">
        <f>ROUND(IF($B$5="BFR",SUMIF('Prior year BFR download report'!A:A,B104,'Prior year BFR download report'!G:G),0),0)</f>
        <v>0</v>
      </c>
      <c r="H104" s="254">
        <f t="shared" si="55"/>
        <v>0</v>
      </c>
      <c r="I104" s="321"/>
      <c r="J104" s="343"/>
      <c r="K104" s="321"/>
      <c r="L104" s="254">
        <f>+M104-K104</f>
        <v>0</v>
      </c>
      <c r="M104" s="321"/>
      <c r="N104" s="350"/>
      <c r="O104" s="321"/>
      <c r="P104" s="254">
        <f t="shared" si="52"/>
        <v>0</v>
      </c>
      <c r="Q104" s="321"/>
      <c r="R104" s="363" t="s">
        <v>226</v>
      </c>
      <c r="S104" s="143" t="str">
        <f>IF(OR(G104-ROUND(G104,)&lt;&gt;0,I104-ROUND(I104,)&lt;&gt;0,K104-ROUND(K104,)&lt;&gt;0,M104-ROUND(M104,)&lt;&gt;0,O104-ROUND(O104,)&lt;&gt;0,Q104-ROUND(Q104,)&lt;&gt;0),"No decimal places, letters &amp; odd characters allowed","")</f>
        <v/>
      </c>
      <c r="T104" s="190" t="str">
        <f t="shared" ref="T104:T107" si="58">IF(OR(G104&lt;V104,I104&lt;V104,K104&lt;V104,M104&lt;V104,O104&lt;V104,Q104&lt;V104),"Input value is below the minimum value allowed","")</f>
        <v/>
      </c>
      <c r="U104" s="190" t="str">
        <f t="shared" ref="U104:U107" si="59">IF(OR(G104&gt;W104,H104&gt;W104,I104&gt;W104,K104&gt;W104,L104&gt;W104,M104&gt;W104,O104&gt;W104,P104&gt;W104,Q104&gt;W104),"Input value is above the maximum value allowed","")</f>
        <v/>
      </c>
      <c r="V104" s="272">
        <f>VLOOKUP($B104,'Min max table'!$A$6:$C$209,2,FALSE)</f>
        <v>-400000</v>
      </c>
      <c r="W104" s="334">
        <f>VLOOKUP($B104,'Min max table'!$A$6:$C$206,3,FALSE)</f>
        <v>400000</v>
      </c>
      <c r="X104" s="376" t="s">
        <v>227</v>
      </c>
      <c r="Y104" s="223" t="str">
        <f>IF(Z104="","","Refer to "&amp;X104&amp;" in the validations table")</f>
        <v/>
      </c>
      <c r="Z104" s="143" t="str">
        <f>IF(AND(ISBLANK('Validations table'!E19),OR($G$104&gt;0,$H$104&gt;0,$I$104&gt;0,$K$104&gt;0,$L$104&gt;0,$M$104&gt;0,$O$104&gt;0,$P$104&gt;0,$Q$104&gt;0)),"Provide further details of your non government capital income","")</f>
        <v/>
      </c>
    </row>
    <row r="105" spans="1:26" s="342" customFormat="1" ht="157" customHeight="1" x14ac:dyDescent="0.35">
      <c r="A105" s="143" t="s">
        <v>228</v>
      </c>
      <c r="B105" s="131">
        <v>571</v>
      </c>
      <c r="C105" s="436" t="s">
        <v>116</v>
      </c>
      <c r="D105" s="347" t="s">
        <v>1498</v>
      </c>
      <c r="E105" s="128" t="str">
        <f>IF(OR(S105&lt;&gt;"",T105&lt;&gt;"",U105&lt;&gt;"",Z105&lt;&gt;""),"Check - see columns S-Z for info","")</f>
        <v/>
      </c>
      <c r="F105" s="343"/>
      <c r="G105" s="321">
        <f>ROUND(IF($B$5="BFR",SUMIF('Prior year BFR download report'!A:A,B105,'Prior year BFR download report'!G:G),0),0)</f>
        <v>0</v>
      </c>
      <c r="H105" s="254">
        <f t="shared" si="55"/>
        <v>0</v>
      </c>
      <c r="I105" s="321"/>
      <c r="J105" s="343"/>
      <c r="K105" s="321"/>
      <c r="L105" s="254">
        <f>+M105-K105</f>
        <v>0</v>
      </c>
      <c r="M105" s="321"/>
      <c r="N105" s="350"/>
      <c r="O105" s="321"/>
      <c r="P105" s="254">
        <f t="shared" si="52"/>
        <v>0</v>
      </c>
      <c r="Q105" s="321"/>
      <c r="R105" s="363" t="s">
        <v>1780</v>
      </c>
      <c r="S105" s="143" t="str">
        <f>IF(OR(G105-ROUND(G105,)&lt;&gt;0,I105-ROUND(I105,)&lt;&gt;0,K105-ROUND(K105,)&lt;&gt;0,M105-ROUND(M105,)&lt;&gt;0,O105-ROUND(O105,)&lt;&gt;0,Q105-ROUND(Q105,)&lt;&gt;0),"No decimal places, letters &amp; odd characters allowed","")</f>
        <v/>
      </c>
      <c r="T105" s="190" t="str">
        <f t="shared" si="58"/>
        <v/>
      </c>
      <c r="U105" s="190" t="str">
        <f t="shared" si="59"/>
        <v/>
      </c>
      <c r="V105" s="272">
        <f>VLOOKUP($B105,'Min max table'!$A$6:$C$209,2,FALSE)</f>
        <v>-400000</v>
      </c>
      <c r="W105" s="334">
        <f>VLOOKUP($B105,'Min max table'!$A$6:$C$206,3,FALSE)</f>
        <v>400000</v>
      </c>
      <c r="X105" s="376" t="s">
        <v>229</v>
      </c>
      <c r="Y105" s="223" t="str">
        <f>IF(Z105="","","Refer to "&amp;X105&amp;" in the validations table")</f>
        <v/>
      </c>
      <c r="Z105" s="143" t="str">
        <f>IF(AND(ISBLANK('Validations table'!E20),OR($G$105&gt;0,$H$105&gt;0,$I$105&gt;0,$K$105&gt;0,$L$105&gt;0,$M$105&gt;0,$O$105&gt;0,$P$105&gt;0,$Q$105&gt;0)),"Provide further details of your non government capital income","")</f>
        <v/>
      </c>
    </row>
    <row r="106" spans="1:26" s="342" customFormat="1" ht="41.9" customHeight="1" x14ac:dyDescent="0.35">
      <c r="A106" s="143" t="s">
        <v>230</v>
      </c>
      <c r="B106" s="131">
        <v>574</v>
      </c>
      <c r="C106" s="347" t="s">
        <v>16</v>
      </c>
      <c r="D106" s="347" t="s">
        <v>1498</v>
      </c>
      <c r="E106" s="128" t="str">
        <f t="shared" ref="E106:E108" si="60">IF(OR(S106&lt;&gt;"",T106&lt;&gt;"",U106&lt;&gt;"",Z106&lt;&gt;""),"Check - see columns S-Z for info","")</f>
        <v/>
      </c>
      <c r="F106" s="343"/>
      <c r="G106" s="321">
        <f>ROUND(IF($B$5="BFR",SUMIF('Prior year BFR download report'!A:A,B106,'Prior year BFR download report'!G:G),0),0)</f>
        <v>0</v>
      </c>
      <c r="H106" s="254">
        <f t="shared" ref="H106" si="61">+I106-G106</f>
        <v>0</v>
      </c>
      <c r="I106" s="321"/>
      <c r="J106" s="343"/>
      <c r="K106" s="321"/>
      <c r="L106" s="254">
        <f>+M106-K106</f>
        <v>0</v>
      </c>
      <c r="M106" s="321"/>
      <c r="N106" s="350"/>
      <c r="O106" s="321"/>
      <c r="P106" s="254">
        <f t="shared" si="52"/>
        <v>0</v>
      </c>
      <c r="Q106" s="321"/>
      <c r="R106" s="363" t="s">
        <v>1530</v>
      </c>
      <c r="S106" s="143" t="str">
        <f>IF(OR(G106-ROUND(G106,)&lt;&gt;0,I106-ROUND(I106,)&lt;&gt;0,K106-ROUND(K106,)&lt;&gt;0,M106-ROUND(M106,)&lt;&gt;0,O106-ROUND(O106,)&lt;&gt;0,Q106-ROUND(Q106,)&lt;&gt;0),"No decimal places, letters &amp; odd characters allowed","")</f>
        <v/>
      </c>
      <c r="T106" s="190" t="str">
        <f t="shared" si="58"/>
        <v/>
      </c>
      <c r="U106" s="190" t="str">
        <f t="shared" si="59"/>
        <v/>
      </c>
      <c r="V106" s="272">
        <f>VLOOKUP($B106,'Min max table'!$A$6:$C$209,2,FALSE)</f>
        <v>0</v>
      </c>
      <c r="W106" s="334">
        <f>VLOOKUP($B106,'Min max table'!$A$6:$C$206,3,FALSE)</f>
        <v>400000</v>
      </c>
      <c r="X106" s="351" t="s">
        <v>16</v>
      </c>
      <c r="Y106" s="351" t="s">
        <v>16</v>
      </c>
      <c r="Z106" s="351"/>
    </row>
    <row r="107" spans="1:26" s="342" customFormat="1" ht="54" customHeight="1" x14ac:dyDescent="0.35">
      <c r="A107" s="146" t="s">
        <v>231</v>
      </c>
      <c r="B107" s="131">
        <v>575</v>
      </c>
      <c r="C107" s="436" t="s">
        <v>116</v>
      </c>
      <c r="D107" s="460" t="s">
        <v>1498</v>
      </c>
      <c r="E107" s="128" t="str">
        <f t="shared" si="60"/>
        <v/>
      </c>
      <c r="F107" s="343"/>
      <c r="G107" s="321">
        <f>ROUND(IF($B$5="BFR",SUMIF('Prior year BFR download report'!A:A,B107,'Prior year BFR download report'!G:G),0),0)</f>
        <v>0</v>
      </c>
      <c r="H107" s="254">
        <f t="shared" ref="H107" si="62">+I107-G107</f>
        <v>0</v>
      </c>
      <c r="I107" s="321"/>
      <c r="J107" s="343"/>
      <c r="K107" s="321"/>
      <c r="L107" s="254">
        <f>+M107-K107</f>
        <v>0</v>
      </c>
      <c r="M107" s="321"/>
      <c r="N107" s="350"/>
      <c r="O107" s="321"/>
      <c r="P107" s="254">
        <f t="shared" si="52"/>
        <v>0</v>
      </c>
      <c r="Q107" s="321"/>
      <c r="R107" s="363" t="s">
        <v>232</v>
      </c>
      <c r="S107" s="143" t="str">
        <f>IF(OR(G107-ROUND(G107,)&lt;&gt;0,I107-ROUND(I107,)&lt;&gt;0,K107-ROUND(K107,)&lt;&gt;0,M107-ROUND(M107,)&lt;&gt;0,O107-ROUND(O107,)&lt;&gt;0,Q107-ROUND(Q107,)&lt;&gt;0),"No decimal places, letters &amp; odd characters allowed","")</f>
        <v/>
      </c>
      <c r="T107" s="190" t="str">
        <f t="shared" si="58"/>
        <v/>
      </c>
      <c r="U107" s="190" t="str">
        <f t="shared" si="59"/>
        <v/>
      </c>
      <c r="V107" s="272">
        <f>VLOOKUP($B107,'Min max table'!$A$6:$C$209,2,FALSE)</f>
        <v>0</v>
      </c>
      <c r="W107" s="334">
        <f>VLOOKUP($B107,'Min max table'!$A$6:$C$206,3,FALSE)</f>
        <v>400000</v>
      </c>
      <c r="X107" s="351" t="s">
        <v>16</v>
      </c>
      <c r="Y107" s="351" t="s">
        <v>16</v>
      </c>
      <c r="Z107" s="351"/>
    </row>
    <row r="108" spans="1:26" s="342" customFormat="1" ht="25.4" customHeight="1" x14ac:dyDescent="0.35">
      <c r="A108" s="148" t="s">
        <v>233</v>
      </c>
      <c r="B108" s="151">
        <v>580</v>
      </c>
      <c r="C108" s="139"/>
      <c r="D108" s="315"/>
      <c r="E108" s="128" t="str">
        <f t="shared" si="60"/>
        <v/>
      </c>
      <c r="F108" s="343"/>
      <c r="G108" s="254">
        <f>SUM(G103:G107)</f>
        <v>0</v>
      </c>
      <c r="H108" s="254">
        <f>SUM(H103:H107)</f>
        <v>0</v>
      </c>
      <c r="I108" s="254">
        <f>SUM(I103:I107)</f>
        <v>0</v>
      </c>
      <c r="J108" s="343"/>
      <c r="K108" s="254">
        <f>SUM(K103:K107)</f>
        <v>0</v>
      </c>
      <c r="L108" s="254">
        <f>SUM(L103:L107)</f>
        <v>0</v>
      </c>
      <c r="M108" s="254">
        <f>SUM(M103:M107)</f>
        <v>0</v>
      </c>
      <c r="O108" s="254">
        <f>SUM(O103:O107)</f>
        <v>0</v>
      </c>
      <c r="P108" s="254">
        <f>SUM(P103:P107)</f>
        <v>0</v>
      </c>
      <c r="Q108" s="254">
        <f>SUM(Q103:Q107)</f>
        <v>0</v>
      </c>
      <c r="R108" s="133"/>
      <c r="S108" s="133"/>
      <c r="T108" s="133"/>
      <c r="U108" s="133"/>
      <c r="V108" s="353"/>
      <c r="W108" s="353"/>
      <c r="X108" s="353"/>
      <c r="Y108" s="353"/>
      <c r="Z108" s="353"/>
    </row>
    <row r="109" spans="1:26" ht="90" customHeight="1" x14ac:dyDescent="0.6">
      <c r="A109" s="603" t="s">
        <v>234</v>
      </c>
      <c r="B109" s="90"/>
      <c r="C109" s="90"/>
      <c r="D109" s="64"/>
      <c r="E109" s="78"/>
      <c r="K109" s="91"/>
      <c r="L109" s="92"/>
      <c r="M109" s="91"/>
      <c r="O109" s="91"/>
      <c r="P109" s="92"/>
      <c r="Q109" s="91"/>
      <c r="R109" s="73"/>
      <c r="S109" s="73"/>
      <c r="T109" s="73"/>
      <c r="U109" s="73"/>
      <c r="V109" s="75"/>
      <c r="W109" s="75"/>
      <c r="X109" s="82"/>
      <c r="Y109" s="353"/>
      <c r="Z109" s="70"/>
    </row>
    <row r="110" spans="1:26" s="342" customFormat="1" ht="62" x14ac:dyDescent="0.35">
      <c r="A110" s="29" t="s">
        <v>113</v>
      </c>
      <c r="B110" s="113" t="s">
        <v>92</v>
      </c>
      <c r="C110" s="113" t="s">
        <v>93</v>
      </c>
      <c r="D110" s="177" t="s">
        <v>94</v>
      </c>
      <c r="E110" s="114" t="s">
        <v>95</v>
      </c>
      <c r="F110" s="343"/>
      <c r="G110" s="116" t="str">
        <f>$G$17</f>
        <v>Prior Year       Actuals                       Sep 24 - Mar 25 £'000</v>
      </c>
      <c r="H110" s="116" t="str">
        <f>$H$17</f>
        <v>Prior Year       Calculated                       Apr 25 - Aug 25 £'000</v>
      </c>
      <c r="I110" s="34" t="str">
        <f>$I$17</f>
        <v>TOTAL                 2024/25            £'000</v>
      </c>
      <c r="J110" s="117"/>
      <c r="K110" s="116" t="str">
        <f>$K$17</f>
        <v>Current Year       Actuals                       Sep 25 - Mar 26 £'000</v>
      </c>
      <c r="L110" s="116" t="str">
        <f>$L$17</f>
        <v>Current Year       Calculated                       Apr 26 - Aug 26 £'000</v>
      </c>
      <c r="M110" s="34" t="str">
        <f>$M$17</f>
        <v>TOTAL            2025/26            £'000</v>
      </c>
      <c r="N110" s="118"/>
      <c r="O110" s="116" t="str">
        <f>$O$17</f>
        <v>Forecast Year                              Sep 26 - Mar 27 £'000</v>
      </c>
      <c r="P110" s="116" t="str">
        <f>$P$17</f>
        <v>Forecast Year       Calculated                       Apr 27 - Aug 27 £'000</v>
      </c>
      <c r="Q110" s="34" t="str">
        <f>$Q$17</f>
        <v>TOTAL              2026/27                   £'000</v>
      </c>
      <c r="R110" s="192" t="s">
        <v>114</v>
      </c>
      <c r="S110" s="176" t="s">
        <v>97</v>
      </c>
      <c r="T110" s="177" t="s">
        <v>98</v>
      </c>
      <c r="U110" s="177" t="s">
        <v>99</v>
      </c>
      <c r="V110" s="178" t="s">
        <v>100</v>
      </c>
      <c r="W110" s="178" t="s">
        <v>101</v>
      </c>
      <c r="X110" s="177" t="s">
        <v>102</v>
      </c>
      <c r="Y110" s="179" t="s">
        <v>103</v>
      </c>
      <c r="Z110" s="179" t="s">
        <v>104</v>
      </c>
    </row>
    <row r="111" spans="1:26" s="342" customFormat="1" ht="50.9" customHeight="1" x14ac:dyDescent="0.35">
      <c r="A111" s="143" t="s">
        <v>235</v>
      </c>
      <c r="B111" s="131">
        <v>581</v>
      </c>
      <c r="C111" s="436" t="s">
        <v>116</v>
      </c>
      <c r="D111" s="347" t="s">
        <v>1498</v>
      </c>
      <c r="E111" s="128" t="str">
        <f>IF(OR(S111&lt;&gt;"",T111&lt;&gt;"",U111&lt;&gt;"",Z111&lt;&gt;""),"Check - see columns S-Z for info","")</f>
        <v/>
      </c>
      <c r="F111" s="343"/>
      <c r="G111" s="321">
        <f>ROUND(IF($B$5="BFR",SUMIF('Prior year BFR download report'!A:A,B111,'Prior year BFR download report'!G:G),0),0)</f>
        <v>0</v>
      </c>
      <c r="H111" s="254">
        <f t="shared" ref="H111:H112" si="63">+I111-G111</f>
        <v>0</v>
      </c>
      <c r="I111" s="321"/>
      <c r="J111" s="343"/>
      <c r="K111" s="321"/>
      <c r="L111" s="254">
        <f>+M111-K111</f>
        <v>0</v>
      </c>
      <c r="M111" s="321"/>
      <c r="N111" s="350"/>
      <c r="O111" s="321"/>
      <c r="P111" s="254">
        <f>+Q111-O111</f>
        <v>0</v>
      </c>
      <c r="Q111" s="321"/>
      <c r="R111" s="363" t="s">
        <v>1734</v>
      </c>
      <c r="S111" s="143" t="str">
        <f>IF(OR(G111-ROUND(G111,)&lt;&gt;0,I111-ROUND(I111,)&lt;&gt;0,K111-ROUND(K111,)&lt;&gt;0,M111-ROUND(M111,)&lt;&gt;0,O111-ROUND(O111,)&lt;&gt;0,Q111-ROUND(Q111,)&lt;&gt;0),"No decimal places, letters &amp; odd characters allowed","")</f>
        <v/>
      </c>
      <c r="T111" s="190" t="str">
        <f t="shared" ref="T111:T112" si="64">IF(OR(G111&lt;V111,I111&lt;V111,K111&lt;V111,M111&lt;V111,O111&lt;V111,Q111&lt;V111),"Input value is below the minimum value allowed","")</f>
        <v/>
      </c>
      <c r="U111" s="190" t="str">
        <f t="shared" ref="U111:U112" si="65">IF(OR(G111&gt;W111,H111&gt;W111,I111&gt;W111,K111&gt;W111,L111&gt;W111,M111&gt;W111,O111&gt;W111,P111&gt;W111,Q111&gt;W111),"Input value is above the maximum value allowed","")</f>
        <v/>
      </c>
      <c r="V111" s="334">
        <f>VLOOKUP($B111,'Min max table'!$A$6:$C$209,2,FALSE)</f>
        <v>0</v>
      </c>
      <c r="W111" s="334">
        <f>VLOOKUP($B111,'Min max table'!$A$6:$C$206,3,FALSE)</f>
        <v>400000</v>
      </c>
      <c r="X111" s="351" t="s">
        <v>16</v>
      </c>
      <c r="Y111" s="351" t="s">
        <v>16</v>
      </c>
      <c r="Z111" s="351"/>
    </row>
    <row r="112" spans="1:26" s="342" customFormat="1" ht="52.5" customHeight="1" x14ac:dyDescent="0.35">
      <c r="A112" s="146" t="s">
        <v>236</v>
      </c>
      <c r="B112" s="131">
        <v>582</v>
      </c>
      <c r="C112" s="436" t="s">
        <v>116</v>
      </c>
      <c r="D112" s="460" t="s">
        <v>1498</v>
      </c>
      <c r="E112" s="128" t="str">
        <f>IF(OR(S112&lt;&gt;"",T112&lt;&gt;"",U112&lt;&gt;"",Z112&lt;&gt;""),"Check - see columns S-Z for info","")</f>
        <v/>
      </c>
      <c r="F112" s="343"/>
      <c r="G112" s="321">
        <f>ROUND(IF($B$5="BFR",SUMIF('Prior year BFR download report'!A:A,B112,'Prior year BFR download report'!G:G),0),0)</f>
        <v>0</v>
      </c>
      <c r="H112" s="254">
        <f t="shared" si="63"/>
        <v>0</v>
      </c>
      <c r="I112" s="321"/>
      <c r="J112" s="343"/>
      <c r="K112" s="321"/>
      <c r="L112" s="254">
        <f>+M112-K112</f>
        <v>0</v>
      </c>
      <c r="M112" s="321"/>
      <c r="N112" s="350"/>
      <c r="O112" s="321"/>
      <c r="P112" s="254">
        <f>+Q112-O112</f>
        <v>0</v>
      </c>
      <c r="Q112" s="321"/>
      <c r="R112" s="363" t="s">
        <v>1734</v>
      </c>
      <c r="S112" s="143" t="str">
        <f>IF(OR(G112-ROUND(G112,)&lt;&gt;0,I112-ROUND(I112,)&lt;&gt;0,K112-ROUND(K112,)&lt;&gt;0,M112-ROUND(M112,)&lt;&gt;0,O112-ROUND(O112,)&lt;&gt;0,Q112-ROUND(Q112,)&lt;&gt;0),"No decimal places, letters &amp; odd characters allowed","")</f>
        <v/>
      </c>
      <c r="T112" s="190" t="str">
        <f t="shared" si="64"/>
        <v/>
      </c>
      <c r="U112" s="190" t="str">
        <f t="shared" si="65"/>
        <v/>
      </c>
      <c r="V112" s="334">
        <f>VLOOKUP($B112,'Min max table'!$A$6:$C$209,2,FALSE)</f>
        <v>0</v>
      </c>
      <c r="W112" s="334">
        <f>VLOOKUP($B112,'Min max table'!$A$6:$C$206,3,FALSE)</f>
        <v>200000</v>
      </c>
      <c r="X112" s="351" t="s">
        <v>16</v>
      </c>
      <c r="Y112" s="351" t="s">
        <v>16</v>
      </c>
      <c r="Z112" s="351"/>
    </row>
    <row r="113" spans="1:26" s="342" customFormat="1" ht="25.4" customHeight="1" x14ac:dyDescent="0.35">
      <c r="A113" s="148" t="s">
        <v>237</v>
      </c>
      <c r="B113" s="151">
        <v>584</v>
      </c>
      <c r="C113" s="436"/>
      <c r="D113" s="315"/>
      <c r="E113" s="128" t="str">
        <f>IF(OR(S113&lt;&gt;"",T113&lt;&gt;"",U113&lt;&gt;"",Z113&lt;&gt;""),"Check - see columns S-Z for info","")</f>
        <v/>
      </c>
      <c r="F113" s="343"/>
      <c r="G113" s="254">
        <f>SUM(G111:G112)</f>
        <v>0</v>
      </c>
      <c r="H113" s="254">
        <f>SUM(H111:H112)</f>
        <v>0</v>
      </c>
      <c r="I113" s="254">
        <f>SUM(I111:I112)</f>
        <v>0</v>
      </c>
      <c r="J113" s="343"/>
      <c r="K113" s="254">
        <f>SUM(K111:K112)</f>
        <v>0</v>
      </c>
      <c r="L113" s="254">
        <f>SUM(L111:L112)</f>
        <v>0</v>
      </c>
      <c r="M113" s="254">
        <f>SUM(M111:M112)</f>
        <v>0</v>
      </c>
      <c r="O113" s="254">
        <f>SUM(O111:O112)</f>
        <v>0</v>
      </c>
      <c r="P113" s="254">
        <f>SUM(P111:P112)</f>
        <v>0</v>
      </c>
      <c r="Q113" s="254">
        <f>SUM(Q111:Q112)</f>
        <v>0</v>
      </c>
      <c r="R113" s="133"/>
      <c r="S113" s="133"/>
      <c r="T113" s="133"/>
      <c r="U113" s="353"/>
      <c r="V113" s="353"/>
      <c r="W113" s="353"/>
      <c r="X113" s="353"/>
      <c r="Y113" s="353"/>
      <c r="Z113" s="353"/>
    </row>
    <row r="114" spans="1:26" ht="90" customHeight="1" x14ac:dyDescent="0.6">
      <c r="A114" s="603" t="s">
        <v>238</v>
      </c>
      <c r="B114" s="90"/>
      <c r="C114" s="90"/>
      <c r="D114" s="64"/>
      <c r="E114" s="78"/>
      <c r="K114" s="91"/>
      <c r="L114" s="92"/>
      <c r="M114" s="91"/>
      <c r="O114" s="91"/>
      <c r="P114" s="92"/>
      <c r="Q114" s="91"/>
      <c r="R114" s="73"/>
      <c r="S114" s="73"/>
      <c r="T114" s="73"/>
      <c r="U114" s="73"/>
      <c r="V114" s="75"/>
      <c r="W114" s="75"/>
      <c r="X114" s="82"/>
      <c r="Y114" s="353"/>
      <c r="Z114" s="70"/>
    </row>
    <row r="115" spans="1:26" s="342" customFormat="1" ht="62" x14ac:dyDescent="0.35">
      <c r="A115" s="29" t="s">
        <v>113</v>
      </c>
      <c r="B115" s="113" t="s">
        <v>92</v>
      </c>
      <c r="C115" s="113" t="s">
        <v>93</v>
      </c>
      <c r="D115" s="177" t="s">
        <v>94</v>
      </c>
      <c r="E115" s="114" t="s">
        <v>95</v>
      </c>
      <c r="F115" s="343"/>
      <c r="G115" s="116" t="str">
        <f>$G$17</f>
        <v>Prior Year       Actuals                       Sep 24 - Mar 25 £'000</v>
      </c>
      <c r="H115" s="116" t="str">
        <f>$H$17</f>
        <v>Prior Year       Calculated                       Apr 25 - Aug 25 £'000</v>
      </c>
      <c r="I115" s="34" t="str">
        <f>$I$17</f>
        <v>TOTAL                 2024/25            £'000</v>
      </c>
      <c r="J115" s="117"/>
      <c r="K115" s="116" t="str">
        <f>$K$17</f>
        <v>Current Year       Actuals                       Sep 25 - Mar 26 £'000</v>
      </c>
      <c r="L115" s="116" t="str">
        <f>$L$17</f>
        <v>Current Year       Calculated                       Apr 26 - Aug 26 £'000</v>
      </c>
      <c r="M115" s="34" t="str">
        <f>$M$17</f>
        <v>TOTAL            2025/26            £'000</v>
      </c>
      <c r="N115" s="118"/>
      <c r="O115" s="116" t="str">
        <f>$O$17</f>
        <v>Forecast Year                              Sep 26 - Mar 27 £'000</v>
      </c>
      <c r="P115" s="116" t="str">
        <f>$P$17</f>
        <v>Forecast Year       Calculated                       Apr 27 - Aug 27 £'000</v>
      </c>
      <c r="Q115" s="34" t="str">
        <f>$Q$17</f>
        <v>TOTAL              2026/27                   £'000</v>
      </c>
      <c r="R115" s="192" t="s">
        <v>114</v>
      </c>
      <c r="S115" s="176" t="s">
        <v>97</v>
      </c>
      <c r="T115" s="177" t="s">
        <v>98</v>
      </c>
      <c r="U115" s="177" t="s">
        <v>99</v>
      </c>
      <c r="V115" s="178" t="s">
        <v>100</v>
      </c>
      <c r="W115" s="178" t="s">
        <v>101</v>
      </c>
      <c r="X115" s="177" t="s">
        <v>102</v>
      </c>
      <c r="Y115" s="179" t="s">
        <v>103</v>
      </c>
      <c r="Z115" s="179" t="s">
        <v>104</v>
      </c>
    </row>
    <row r="116" spans="1:26" s="342" customFormat="1" ht="119.15" customHeight="1" x14ac:dyDescent="0.35">
      <c r="A116" s="143" t="s">
        <v>239</v>
      </c>
      <c r="B116" s="204">
        <v>585</v>
      </c>
      <c r="C116" s="347" t="s">
        <v>16</v>
      </c>
      <c r="D116" s="347" t="s">
        <v>1498</v>
      </c>
      <c r="E116" s="128" t="str">
        <f>IF(OR(S116&lt;&gt;"",T116&lt;&gt;"",U116&lt;&gt;"",Z116&lt;&gt;""),"Check - see columns S-Z for info","")</f>
        <v/>
      </c>
      <c r="F116" s="343"/>
      <c r="G116" s="254">
        <f>-G44</f>
        <v>0</v>
      </c>
      <c r="H116" s="254">
        <f>-H44</f>
        <v>0</v>
      </c>
      <c r="I116" s="254">
        <f>-I44</f>
        <v>0</v>
      </c>
      <c r="J116" s="343"/>
      <c r="K116" s="254">
        <f>-K44</f>
        <v>0</v>
      </c>
      <c r="L116" s="254">
        <f>-L44</f>
        <v>0</v>
      </c>
      <c r="M116" s="254">
        <f>-M44</f>
        <v>0</v>
      </c>
      <c r="O116" s="254">
        <f>-O44</f>
        <v>0</v>
      </c>
      <c r="P116" s="254">
        <f>-P44</f>
        <v>0</v>
      </c>
      <c r="Q116" s="254">
        <f>-Q44</f>
        <v>0</v>
      </c>
      <c r="R116" s="273" t="s">
        <v>240</v>
      </c>
      <c r="S116" s="143" t="str">
        <f>IF(OR(G116-ROUND(G116,)&lt;&gt;0,I116-ROUND(I116,)&lt;&gt;0,K116-ROUND(K116,)&lt;&gt;0,M116-ROUND(M116,)&lt;&gt;0,O116-ROUND(O116,)&lt;&gt;0,Q116-ROUND(Q116,)&lt;&gt;0),"No decimal places, letters &amp; odd characters allowed","")</f>
        <v/>
      </c>
      <c r="T116" s="143"/>
      <c r="U116" s="143"/>
      <c r="V116" s="334">
        <f>VLOOKUP($B116,'Min max table'!$A$6:$C$209,2,FALSE)</f>
        <v>0</v>
      </c>
      <c r="W116" s="334">
        <f>VLOOKUP($B116,'Min max table'!$A$6:$C$206,3,FALSE)</f>
        <v>0</v>
      </c>
      <c r="X116" s="370" t="s">
        <v>241</v>
      </c>
      <c r="Y116" s="223" t="str">
        <f>IF(Z116="","","Refer to "&amp;X116&amp;" in the validations table")</f>
        <v/>
      </c>
      <c r="Z116" s="143" t="str">
        <f>IF(AND(ISBLANK('Validations table'!E29),OR($G$116&lt;0,$H$116&lt;0,$I$116&lt;0,$K$116&lt;0,$L$116&lt;0,$M$116&lt;0,$O$116&lt;0,$P$116&lt;0,$Q$116&lt;0)),"Tell us why you're transferring capital income into revenue reserves.","")</f>
        <v/>
      </c>
    </row>
    <row r="117" spans="1:26" hidden="1" x14ac:dyDescent="0.35">
      <c r="E117" s="128"/>
      <c r="G117" s="254"/>
      <c r="H117" s="254"/>
      <c r="I117" s="254"/>
      <c r="J117" s="343"/>
      <c r="K117" s="254"/>
      <c r="L117" s="254"/>
      <c r="M117" s="254"/>
      <c r="N117" s="342"/>
      <c r="O117" s="254"/>
      <c r="P117" s="254"/>
      <c r="Q117" s="254"/>
      <c r="Y117" s="223"/>
    </row>
    <row r="118" spans="1:26" s="342" customFormat="1" ht="25.4" customHeight="1" x14ac:dyDescent="0.35">
      <c r="A118" s="148" t="s">
        <v>242</v>
      </c>
      <c r="B118" s="151">
        <v>599</v>
      </c>
      <c r="C118" s="139"/>
      <c r="D118" s="315"/>
      <c r="E118" s="128"/>
      <c r="F118" s="343"/>
      <c r="G118" s="254">
        <f>G100+G108+G113+G116</f>
        <v>0</v>
      </c>
      <c r="H118" s="254">
        <f>H100+H108+H113+H116</f>
        <v>0</v>
      </c>
      <c r="I118" s="254">
        <f>I100+I108+I113+I116</f>
        <v>0</v>
      </c>
      <c r="J118" s="343"/>
      <c r="K118" s="254">
        <f>K100+K108+K113+K116</f>
        <v>0</v>
      </c>
      <c r="L118" s="254">
        <f>L100+L108+L113+L116</f>
        <v>0</v>
      </c>
      <c r="M118" s="254">
        <f>M100+M108+M113+M116</f>
        <v>0</v>
      </c>
      <c r="O118" s="254">
        <f>O100+O108+O113+O116</f>
        <v>0</v>
      </c>
      <c r="P118" s="254">
        <f>P100+P108+P113+P116</f>
        <v>0</v>
      </c>
      <c r="Q118" s="254">
        <f>Q100+Q108+Q113+Q116</f>
        <v>0</v>
      </c>
      <c r="R118" s="133"/>
      <c r="S118" s="133"/>
      <c r="T118" s="133"/>
      <c r="U118" s="133"/>
      <c r="V118" s="378"/>
      <c r="W118" s="378"/>
      <c r="X118" s="378"/>
      <c r="Y118" s="486"/>
      <c r="Z118" s="353"/>
    </row>
    <row r="119" spans="1:26" ht="90" customHeight="1" x14ac:dyDescent="0.6">
      <c r="A119" s="23" t="s">
        <v>243</v>
      </c>
      <c r="B119" s="77"/>
      <c r="C119" s="77"/>
      <c r="D119" s="318"/>
      <c r="E119" s="78"/>
      <c r="K119" s="10"/>
      <c r="L119" s="10"/>
      <c r="M119" s="10"/>
      <c r="N119" s="10"/>
      <c r="O119" s="10"/>
      <c r="P119" s="10"/>
      <c r="Q119" s="10"/>
      <c r="R119" s="73"/>
      <c r="S119" s="73"/>
      <c r="T119" s="73"/>
      <c r="U119" s="73"/>
      <c r="V119" s="75"/>
      <c r="W119" s="75"/>
      <c r="X119" s="82"/>
      <c r="Y119" s="353"/>
      <c r="Z119" s="70"/>
    </row>
    <row r="120" spans="1:26" ht="34.5" customHeight="1" x14ac:dyDescent="0.35">
      <c r="A120" s="432" t="s">
        <v>1686</v>
      </c>
      <c r="B120" s="77"/>
      <c r="C120" s="77"/>
      <c r="D120" s="318"/>
      <c r="E120" s="78"/>
      <c r="F120" s="59"/>
      <c r="G120" s="20"/>
      <c r="H120" s="57"/>
      <c r="I120" s="57"/>
      <c r="K120" s="10"/>
      <c r="R120" s="8"/>
      <c r="S120" s="12"/>
      <c r="T120" s="8"/>
      <c r="V120" s="13"/>
      <c r="X120" s="8"/>
      <c r="Y120" s="341"/>
    </row>
    <row r="121" spans="1:26" s="342" customFormat="1" ht="162.65" customHeight="1" x14ac:dyDescent="0.35">
      <c r="A121" s="489" t="s">
        <v>244</v>
      </c>
      <c r="B121" s="113" t="s">
        <v>92</v>
      </c>
      <c r="C121" s="113" t="s">
        <v>93</v>
      </c>
      <c r="D121" s="177" t="s">
        <v>94</v>
      </c>
      <c r="E121" s="114" t="s">
        <v>95</v>
      </c>
      <c r="F121" s="343"/>
      <c r="G121" s="34" t="str">
        <f>$G$17</f>
        <v>Prior Year       Actuals                       Sep 24 - Mar 25 £'000</v>
      </c>
      <c r="H121" s="34" t="str">
        <f>$H$17</f>
        <v>Prior Year       Calculated                       Apr 25 - Aug 25 £'000</v>
      </c>
      <c r="I121" s="34" t="str">
        <f>$I$17</f>
        <v>TOTAL                 2024/25            £'000</v>
      </c>
      <c r="J121" s="117"/>
      <c r="K121" s="34" t="str">
        <f>$K$17</f>
        <v>Current Year       Actuals                       Sep 25 - Mar 26 £'000</v>
      </c>
      <c r="L121" s="34" t="str">
        <f>$L$17</f>
        <v>Current Year       Calculated                       Apr 26 - Aug 26 £'000</v>
      </c>
      <c r="M121" s="34" t="str">
        <f>$M$17</f>
        <v>TOTAL            2025/26            £'000</v>
      </c>
      <c r="N121" s="118"/>
      <c r="O121" s="34" t="str">
        <f>$O$17</f>
        <v>Forecast Year                              Sep 26 - Mar 27 £'000</v>
      </c>
      <c r="P121" s="34" t="str">
        <f>$P$17</f>
        <v>Forecast Year       Calculated                       Apr 27 - Aug 27 £'000</v>
      </c>
      <c r="Q121" s="34" t="str">
        <f>$Q$17</f>
        <v>TOTAL              2026/27                   £'000</v>
      </c>
      <c r="R121" s="192" t="s">
        <v>114</v>
      </c>
      <c r="S121" s="176" t="s">
        <v>97</v>
      </c>
      <c r="T121" s="177" t="s">
        <v>98</v>
      </c>
      <c r="U121" s="177" t="s">
        <v>99</v>
      </c>
      <c r="V121" s="178" t="s">
        <v>100</v>
      </c>
      <c r="W121" s="178" t="s">
        <v>101</v>
      </c>
      <c r="X121" s="177" t="s">
        <v>102</v>
      </c>
      <c r="Y121" s="179" t="s">
        <v>103</v>
      </c>
      <c r="Z121" s="179" t="s">
        <v>104</v>
      </c>
    </row>
    <row r="122" spans="1:26" s="342" customFormat="1" ht="120" customHeight="1" x14ac:dyDescent="0.35">
      <c r="A122" s="143" t="s">
        <v>245</v>
      </c>
      <c r="B122" s="131">
        <v>601</v>
      </c>
      <c r="C122" s="436" t="s">
        <v>116</v>
      </c>
      <c r="D122" s="347" t="s">
        <v>1498</v>
      </c>
      <c r="E122" s="128" t="str">
        <f t="shared" ref="E122:E134" si="66">IF(OR(S122&lt;&gt;"",T122&lt;&gt;"",U122&lt;&gt;"",Z122&lt;&gt;""),"Check - see columns S-Z for info","")</f>
        <v/>
      </c>
      <c r="F122" s="343"/>
      <c r="G122" s="321">
        <f>ROUND(IF($B$5="BFR",SUMIF('Prior year BFR download report'!A:A,B122,'Prior year BFR download report'!G:G),0),0)</f>
        <v>0</v>
      </c>
      <c r="H122" s="254">
        <f t="shared" ref="H122:H134" si="67">+I122-G122</f>
        <v>0</v>
      </c>
      <c r="I122" s="321"/>
      <c r="J122" s="343"/>
      <c r="K122" s="321"/>
      <c r="L122" s="254">
        <f>+M122-K122</f>
        <v>0</v>
      </c>
      <c r="M122" s="321"/>
      <c r="N122" s="350"/>
      <c r="O122" s="321"/>
      <c r="P122" s="254">
        <f>+Q122-O122</f>
        <v>0</v>
      </c>
      <c r="Q122" s="321"/>
      <c r="R122" s="363" t="s">
        <v>246</v>
      </c>
      <c r="S122" s="143" t="str">
        <f t="shared" ref="S122:S134" si="68">IF(OR(G122-ROUND(G122,)&lt;&gt;0,I122-ROUND(I122,)&lt;&gt;0,K122-ROUND(K122,)&lt;&gt;0,M122-ROUND(M122,)&lt;&gt;0,O122-ROUND(O122,)&lt;&gt;0,Q122-ROUND(Q122,)&lt;&gt;0),"No decimal places, letters &amp; odd characters allowed","")</f>
        <v/>
      </c>
      <c r="T122" s="190" t="str">
        <f t="shared" ref="T122:T125" si="69">IF(OR(G122&lt;V122,I122&lt;V122,K122&lt;V122,M122&lt;V122,O122&lt;V122,Q122&lt;V122),"Input value is below the minimum value allowed","")</f>
        <v/>
      </c>
      <c r="U122" s="190" t="str">
        <f t="shared" ref="U122:U125" si="70">IF(OR(G122&gt;W122,H122&gt;W122,I122&gt;W122,K122&gt;W122,L122&gt;W122,M122&gt;W122,O122&gt;W122,P122&gt;W122,Q122&gt;W122),"Input value is above the maximum value allowed","")</f>
        <v/>
      </c>
      <c r="V122" s="334">
        <f>VLOOKUP($B122,'Min max table'!$A$6:$C$209,2,FALSE)</f>
        <v>0</v>
      </c>
      <c r="W122" s="334">
        <f>VLOOKUP($B122,'Min max table'!$A$6:$C$206,3,FALSE)</f>
        <v>400000</v>
      </c>
      <c r="X122" s="371" t="s">
        <v>16</v>
      </c>
      <c r="Y122" s="371" t="s">
        <v>16</v>
      </c>
      <c r="Z122" s="371"/>
    </row>
    <row r="123" spans="1:26" s="342" customFormat="1" ht="53.9" customHeight="1" x14ac:dyDescent="0.35">
      <c r="A123" s="143" t="s">
        <v>1695</v>
      </c>
      <c r="B123" s="131">
        <v>605</v>
      </c>
      <c r="C123" s="436" t="s">
        <v>116</v>
      </c>
      <c r="D123" s="347" t="s">
        <v>1498</v>
      </c>
      <c r="E123" s="128" t="str">
        <f t="shared" si="66"/>
        <v/>
      </c>
      <c r="F123" s="343"/>
      <c r="G123" s="321">
        <f>ROUND(IF($B$5="BFR",SUMIF('Prior year BFR download report'!A:A,B123,'Prior year BFR download report'!G:G),0),0)</f>
        <v>0</v>
      </c>
      <c r="H123" s="254">
        <f t="shared" si="67"/>
        <v>0</v>
      </c>
      <c r="I123" s="321"/>
      <c r="J123" s="343"/>
      <c r="K123" s="321"/>
      <c r="L123" s="254">
        <f t="shared" ref="L123:L134" si="71">+M123-K123</f>
        <v>0</v>
      </c>
      <c r="M123" s="321"/>
      <c r="N123" s="350"/>
      <c r="O123" s="321"/>
      <c r="P123" s="254">
        <f t="shared" ref="P123:P134" si="72">+Q123-O123</f>
        <v>0</v>
      </c>
      <c r="Q123" s="321"/>
      <c r="R123" s="363" t="s">
        <v>248</v>
      </c>
      <c r="S123" s="143" t="str">
        <f t="shared" si="68"/>
        <v/>
      </c>
      <c r="T123" s="190" t="str">
        <f t="shared" si="69"/>
        <v/>
      </c>
      <c r="U123" s="190" t="str">
        <f t="shared" si="70"/>
        <v/>
      </c>
      <c r="V123" s="334">
        <f>VLOOKUP($B123,'Min max table'!$A$6:$C$209,2,FALSE)</f>
        <v>0</v>
      </c>
      <c r="W123" s="334">
        <f>VLOOKUP($B123,'Min max table'!$A$6:$C$206,3,FALSE)</f>
        <v>400000</v>
      </c>
      <c r="X123" s="371" t="s">
        <v>16</v>
      </c>
      <c r="Y123" s="371" t="s">
        <v>16</v>
      </c>
      <c r="Z123" s="371"/>
    </row>
    <row r="124" spans="1:26" s="342" customFormat="1" ht="60.5" customHeight="1" x14ac:dyDescent="0.35">
      <c r="A124" s="143" t="s">
        <v>249</v>
      </c>
      <c r="B124" s="131">
        <v>615</v>
      </c>
      <c r="C124" s="436" t="s">
        <v>116</v>
      </c>
      <c r="D124" s="347" t="s">
        <v>1498</v>
      </c>
      <c r="E124" s="128" t="str">
        <f t="shared" si="66"/>
        <v/>
      </c>
      <c r="F124" s="343"/>
      <c r="G124" s="321">
        <f>ROUND(IF($B$5="BFR",SUMIF('Prior year BFR download report'!A:A,B124,'Prior year BFR download report'!G:G),0),0)</f>
        <v>0</v>
      </c>
      <c r="H124" s="254">
        <f t="shared" si="67"/>
        <v>0</v>
      </c>
      <c r="I124" s="321"/>
      <c r="J124" s="343"/>
      <c r="K124" s="321"/>
      <c r="L124" s="254">
        <f t="shared" si="71"/>
        <v>0</v>
      </c>
      <c r="M124" s="321"/>
      <c r="N124" s="350"/>
      <c r="O124" s="321"/>
      <c r="P124" s="254">
        <f t="shared" ref="P124:P130" si="73">+Q124-O124</f>
        <v>0</v>
      </c>
      <c r="Q124" s="321"/>
      <c r="R124" s="363" t="s">
        <v>1696</v>
      </c>
      <c r="S124" s="143" t="str">
        <f t="shared" si="68"/>
        <v/>
      </c>
      <c r="T124" s="190" t="str">
        <f t="shared" si="69"/>
        <v/>
      </c>
      <c r="U124" s="190" t="str">
        <f t="shared" si="70"/>
        <v/>
      </c>
      <c r="V124" s="334">
        <f>VLOOKUP($B124,'Min max table'!$A$6:$C$209,2,FALSE)</f>
        <v>0</v>
      </c>
      <c r="W124" s="334">
        <f>VLOOKUP($B124,'Min max table'!$A$6:$C$206,3,FALSE)</f>
        <v>400000</v>
      </c>
      <c r="X124" s="371" t="s">
        <v>16</v>
      </c>
      <c r="Y124" s="371" t="s">
        <v>16</v>
      </c>
      <c r="Z124" s="371"/>
    </row>
    <row r="125" spans="1:26" s="342" customFormat="1" ht="55.4" customHeight="1" x14ac:dyDescent="0.35">
      <c r="A125" s="143" t="s">
        <v>250</v>
      </c>
      <c r="B125" s="131">
        <v>620</v>
      </c>
      <c r="C125" s="436" t="s">
        <v>116</v>
      </c>
      <c r="D125" s="347" t="s">
        <v>1498</v>
      </c>
      <c r="E125" s="128" t="str">
        <f t="shared" si="66"/>
        <v/>
      </c>
      <c r="F125" s="343"/>
      <c r="G125" s="321">
        <f>ROUND(IF($B$5="BFR",SUMIF('Prior year BFR download report'!A:A,B125,'Prior year BFR download report'!G:G),0),0)</f>
        <v>0</v>
      </c>
      <c r="H125" s="254">
        <f t="shared" si="67"/>
        <v>0</v>
      </c>
      <c r="I125" s="321"/>
      <c r="J125" s="343"/>
      <c r="K125" s="321"/>
      <c r="L125" s="254">
        <f t="shared" si="71"/>
        <v>0</v>
      </c>
      <c r="M125" s="321"/>
      <c r="N125" s="350"/>
      <c r="O125" s="321"/>
      <c r="P125" s="254">
        <f t="shared" si="73"/>
        <v>0</v>
      </c>
      <c r="Q125" s="321"/>
      <c r="R125" s="363" t="s">
        <v>251</v>
      </c>
      <c r="S125" s="143" t="str">
        <f t="shared" si="68"/>
        <v/>
      </c>
      <c r="T125" s="190" t="str">
        <f t="shared" si="69"/>
        <v/>
      </c>
      <c r="U125" s="190" t="str">
        <f t="shared" si="70"/>
        <v/>
      </c>
      <c r="V125" s="334">
        <f>VLOOKUP($B125,'Min max table'!$A$6:$C$209,2,FALSE)</f>
        <v>0</v>
      </c>
      <c r="W125" s="334">
        <f>VLOOKUP($B125,'Min max table'!$A$6:$C$206,3,FALSE)</f>
        <v>400000</v>
      </c>
      <c r="X125" s="371" t="s">
        <v>16</v>
      </c>
      <c r="Y125" s="371" t="s">
        <v>16</v>
      </c>
      <c r="Z125" s="371"/>
    </row>
    <row r="126" spans="1:26" s="342" customFormat="1" ht="90" customHeight="1" x14ac:dyDescent="0.35">
      <c r="A126" s="143" t="s">
        <v>166</v>
      </c>
      <c r="B126" s="131">
        <v>621</v>
      </c>
      <c r="C126" s="347" t="s">
        <v>16</v>
      </c>
      <c r="D126" s="347" t="s">
        <v>1498</v>
      </c>
      <c r="E126" s="128" t="str">
        <f t="shared" si="66"/>
        <v/>
      </c>
      <c r="F126" s="343"/>
      <c r="G126" s="321">
        <f>ROUND(IF($B$5="BFR",SUMIF('Prior year BFR download report'!A:A,B126,'Prior year BFR download report'!G:G),0),0)</f>
        <v>0</v>
      </c>
      <c r="H126" s="254">
        <f t="shared" si="67"/>
        <v>0</v>
      </c>
      <c r="I126" s="321"/>
      <c r="J126" s="343"/>
      <c r="K126" s="321"/>
      <c r="L126" s="254">
        <f>+M126-K126</f>
        <v>0</v>
      </c>
      <c r="M126" s="321"/>
      <c r="N126" s="350"/>
      <c r="O126" s="321"/>
      <c r="P126" s="254">
        <f t="shared" si="73"/>
        <v>0</v>
      </c>
      <c r="Q126" s="321"/>
      <c r="R126" s="363" t="s">
        <v>252</v>
      </c>
      <c r="S126" s="143" t="str">
        <f t="shared" si="68"/>
        <v/>
      </c>
      <c r="T126" s="190" t="str">
        <f t="shared" ref="T126:T134" si="74">IF(OR(G126&lt;V126,I126&lt;V126,K126&lt;V126,M126&lt;V126,O126&lt;V126,Q126&lt;V126),"Input value is below the minimum value allowed","")</f>
        <v/>
      </c>
      <c r="U126" s="190" t="str">
        <f t="shared" ref="U126:U134" si="75">IF(OR(G126&gt;W126,H126&gt;W126,I126&gt;W126,K126&gt;W126,L126&gt;W126,M126&gt;W126,O126&gt;W126,P126&gt;W126,Q126&gt;W126),"Input value is above the maximum value allowed","")</f>
        <v/>
      </c>
      <c r="V126" s="334">
        <f>VLOOKUP($B126,'Min max table'!$A$6:$C$209,2,FALSE)</f>
        <v>0</v>
      </c>
      <c r="W126" s="334">
        <f>VLOOKUP($B126,'Min max table'!$A$6:$C$206,3,FALSE)</f>
        <v>100000</v>
      </c>
      <c r="X126" s="371" t="s">
        <v>16</v>
      </c>
      <c r="Y126" s="371" t="s">
        <v>16</v>
      </c>
      <c r="Z126" s="371"/>
    </row>
    <row r="127" spans="1:26" s="342" customFormat="1" ht="49.5" customHeight="1" x14ac:dyDescent="0.35">
      <c r="A127" s="143" t="s">
        <v>253</v>
      </c>
      <c r="B127" s="131">
        <v>622</v>
      </c>
      <c r="C127" s="347" t="s">
        <v>16</v>
      </c>
      <c r="D127" s="347" t="s">
        <v>1498</v>
      </c>
      <c r="E127" s="128" t="str">
        <f t="shared" si="66"/>
        <v/>
      </c>
      <c r="F127" s="343"/>
      <c r="G127" s="321">
        <f>ROUND(IF($B$5="BFR",SUMIF('Prior year BFR download report'!A:A,B127,'Prior year BFR download report'!G:G),0),0)</f>
        <v>0</v>
      </c>
      <c r="H127" s="254">
        <f t="shared" si="67"/>
        <v>0</v>
      </c>
      <c r="I127" s="321"/>
      <c r="J127" s="343"/>
      <c r="K127" s="321"/>
      <c r="L127" s="254">
        <f>+M127-K127</f>
        <v>0</v>
      </c>
      <c r="M127" s="321"/>
      <c r="N127" s="350"/>
      <c r="O127" s="321"/>
      <c r="P127" s="254">
        <f t="shared" si="73"/>
        <v>0</v>
      </c>
      <c r="Q127" s="321"/>
      <c r="R127" s="363" t="s">
        <v>254</v>
      </c>
      <c r="S127" s="143" t="str">
        <f t="shared" si="68"/>
        <v/>
      </c>
      <c r="T127" s="190" t="str">
        <f t="shared" si="74"/>
        <v/>
      </c>
      <c r="U127" s="190" t="str">
        <f t="shared" si="75"/>
        <v/>
      </c>
      <c r="V127" s="334">
        <f>VLOOKUP($B127,'Min max table'!$A$6:$C$209,2,FALSE)</f>
        <v>0</v>
      </c>
      <c r="W127" s="334">
        <f>VLOOKUP($B127,'Min max table'!$A$6:$C$206,3,FALSE)</f>
        <v>100000</v>
      </c>
      <c r="X127" s="371" t="s">
        <v>16</v>
      </c>
      <c r="Y127" s="371" t="s">
        <v>16</v>
      </c>
      <c r="Z127" s="371"/>
    </row>
    <row r="128" spans="1:26" s="342" customFormat="1" ht="195" customHeight="1" x14ac:dyDescent="0.35">
      <c r="A128" s="143" t="s">
        <v>255</v>
      </c>
      <c r="B128" s="131">
        <v>623</v>
      </c>
      <c r="C128" s="347" t="s">
        <v>16</v>
      </c>
      <c r="D128" s="347" t="s">
        <v>1498</v>
      </c>
      <c r="E128" s="128" t="str">
        <f t="shared" si="66"/>
        <v/>
      </c>
      <c r="F128" s="343"/>
      <c r="G128" s="321">
        <f>ROUND(IF($B$5="BFR",SUMIF('Prior year BFR download report'!A:A,B128,'Prior year BFR download report'!G:G),0),0)</f>
        <v>0</v>
      </c>
      <c r="H128" s="254">
        <f t="shared" si="67"/>
        <v>0</v>
      </c>
      <c r="I128" s="321"/>
      <c r="J128" s="343"/>
      <c r="K128" s="321"/>
      <c r="L128" s="254">
        <f>+M128-K128</f>
        <v>0</v>
      </c>
      <c r="M128" s="321"/>
      <c r="N128" s="350"/>
      <c r="O128" s="321"/>
      <c r="P128" s="254">
        <f t="shared" si="73"/>
        <v>0</v>
      </c>
      <c r="Q128" s="321"/>
      <c r="R128" s="363" t="s">
        <v>256</v>
      </c>
      <c r="S128" s="143" t="str">
        <f t="shared" si="68"/>
        <v/>
      </c>
      <c r="T128" s="190" t="str">
        <f t="shared" si="74"/>
        <v/>
      </c>
      <c r="U128" s="190" t="str">
        <f t="shared" si="75"/>
        <v/>
      </c>
      <c r="V128" s="334">
        <f>VLOOKUP($B128,'Min max table'!$A$6:$C$209,2,FALSE)</f>
        <v>0</v>
      </c>
      <c r="W128" s="334">
        <f>VLOOKUP($B128,'Min max table'!$A$6:$C$206,3,FALSE)</f>
        <v>100000</v>
      </c>
      <c r="X128" s="371" t="s">
        <v>16</v>
      </c>
      <c r="Y128" s="371" t="s">
        <v>16</v>
      </c>
      <c r="Z128" s="371"/>
    </row>
    <row r="129" spans="1:26" s="342" customFormat="1" ht="177.65" customHeight="1" x14ac:dyDescent="0.35">
      <c r="A129" s="143" t="s">
        <v>257</v>
      </c>
      <c r="B129" s="131">
        <v>624</v>
      </c>
      <c r="C129" s="347" t="s">
        <v>16</v>
      </c>
      <c r="D129" s="347" t="s">
        <v>1498</v>
      </c>
      <c r="E129" s="128" t="str">
        <f t="shared" si="66"/>
        <v/>
      </c>
      <c r="F129" s="343"/>
      <c r="G129" s="321">
        <f>ROUND(IF($B$5="BFR",SUMIF('Prior year BFR download report'!A:A,B129,'Prior year BFR download report'!G:G),0),0)</f>
        <v>0</v>
      </c>
      <c r="H129" s="254">
        <f t="shared" si="67"/>
        <v>0</v>
      </c>
      <c r="I129" s="321"/>
      <c r="J129" s="343"/>
      <c r="K129" s="321"/>
      <c r="L129" s="254">
        <f>+M129-K129</f>
        <v>0</v>
      </c>
      <c r="M129" s="321"/>
      <c r="N129" s="350"/>
      <c r="O129" s="321"/>
      <c r="P129" s="254">
        <f t="shared" si="73"/>
        <v>0</v>
      </c>
      <c r="Q129" s="321"/>
      <c r="R129" s="363" t="s">
        <v>258</v>
      </c>
      <c r="S129" s="143" t="str">
        <f t="shared" si="68"/>
        <v/>
      </c>
      <c r="T129" s="190" t="str">
        <f t="shared" si="74"/>
        <v/>
      </c>
      <c r="U129" s="190" t="str">
        <f t="shared" si="75"/>
        <v/>
      </c>
      <c r="V129" s="334">
        <f>VLOOKUP($B129,'Min max table'!$A$6:$C$209,2,FALSE)</f>
        <v>0</v>
      </c>
      <c r="W129" s="334">
        <f>VLOOKUP($B129,'Min max table'!$A$6:$C$206,3,FALSE)</f>
        <v>100000</v>
      </c>
      <c r="X129" s="371" t="s">
        <v>16</v>
      </c>
      <c r="Y129" s="371" t="s">
        <v>16</v>
      </c>
      <c r="Z129" s="371"/>
    </row>
    <row r="130" spans="1:26" s="342" customFormat="1" ht="97.4" customHeight="1" x14ac:dyDescent="0.35">
      <c r="A130" s="143" t="s">
        <v>259</v>
      </c>
      <c r="B130" s="131">
        <v>625</v>
      </c>
      <c r="C130" s="347" t="s">
        <v>16</v>
      </c>
      <c r="D130" s="347" t="s">
        <v>1498</v>
      </c>
      <c r="E130" s="128" t="str">
        <f t="shared" si="66"/>
        <v/>
      </c>
      <c r="F130" s="343"/>
      <c r="G130" s="321">
        <f>ROUND(IF($B$5="BFR",SUMIF('Prior year BFR download report'!A:A,B130,'Prior year BFR download report'!G:G),0),0)</f>
        <v>0</v>
      </c>
      <c r="H130" s="254">
        <f t="shared" si="67"/>
        <v>0</v>
      </c>
      <c r="I130" s="321"/>
      <c r="J130" s="343"/>
      <c r="K130" s="321"/>
      <c r="L130" s="254">
        <f>+M130-K130</f>
        <v>0</v>
      </c>
      <c r="M130" s="321"/>
      <c r="N130" s="350"/>
      <c r="O130" s="321"/>
      <c r="P130" s="254">
        <f t="shared" si="73"/>
        <v>0</v>
      </c>
      <c r="Q130" s="321"/>
      <c r="R130" s="363" t="s">
        <v>260</v>
      </c>
      <c r="S130" s="143" t="str">
        <f t="shared" si="68"/>
        <v/>
      </c>
      <c r="T130" s="190" t="str">
        <f t="shared" si="74"/>
        <v/>
      </c>
      <c r="U130" s="190" t="str">
        <f t="shared" si="75"/>
        <v/>
      </c>
      <c r="V130" s="334">
        <f>VLOOKUP($B130,'Min max table'!$A$6:$C$209,2,FALSE)</f>
        <v>0</v>
      </c>
      <c r="W130" s="334">
        <f>VLOOKUP($B130,'Min max table'!$A$6:$C$206,3,FALSE)</f>
        <v>100000</v>
      </c>
      <c r="X130" s="371" t="s">
        <v>16</v>
      </c>
      <c r="Y130" s="371" t="s">
        <v>16</v>
      </c>
      <c r="Z130" s="371"/>
    </row>
    <row r="131" spans="1:26" s="342" customFormat="1" ht="99" customHeight="1" x14ac:dyDescent="0.35">
      <c r="A131" s="143" t="s">
        <v>261</v>
      </c>
      <c r="B131" s="131">
        <v>636</v>
      </c>
      <c r="C131" s="436" t="s">
        <v>116</v>
      </c>
      <c r="D131" s="347" t="s">
        <v>1498</v>
      </c>
      <c r="E131" s="128" t="str">
        <f t="shared" si="66"/>
        <v/>
      </c>
      <c r="F131" s="343"/>
      <c r="G131" s="321">
        <f>ROUND(IF($B$5="BFR",SUMIF('Prior year BFR download report'!A:A,B131,'Prior year BFR download report'!G:G),0),0)</f>
        <v>0</v>
      </c>
      <c r="H131" s="254">
        <f t="shared" si="67"/>
        <v>0</v>
      </c>
      <c r="I131" s="321"/>
      <c r="J131" s="343"/>
      <c r="K131" s="321"/>
      <c r="L131" s="254">
        <f t="shared" si="71"/>
        <v>0</v>
      </c>
      <c r="M131" s="321"/>
      <c r="N131" s="350"/>
      <c r="O131" s="321"/>
      <c r="P131" s="254">
        <f t="shared" si="72"/>
        <v>0</v>
      </c>
      <c r="Q131" s="321"/>
      <c r="R131" s="363" t="s">
        <v>262</v>
      </c>
      <c r="S131" s="143" t="str">
        <f t="shared" si="68"/>
        <v/>
      </c>
      <c r="T131" s="190" t="str">
        <f t="shared" si="74"/>
        <v/>
      </c>
      <c r="U131" s="190" t="str">
        <f t="shared" si="75"/>
        <v/>
      </c>
      <c r="V131" s="334">
        <f>VLOOKUP($B131,'Min max table'!$A$6:$C$209,2,FALSE)</f>
        <v>0</v>
      </c>
      <c r="W131" s="334">
        <f>VLOOKUP($B131,'Min max table'!$A$6:$C$206,3,FALSE)</f>
        <v>400000</v>
      </c>
      <c r="X131" s="371" t="s">
        <v>16</v>
      </c>
      <c r="Y131" s="371" t="s">
        <v>16</v>
      </c>
      <c r="Z131" s="371"/>
    </row>
    <row r="132" spans="1:26" s="342" customFormat="1" ht="83.9" customHeight="1" x14ac:dyDescent="0.35">
      <c r="A132" s="143" t="s">
        <v>263</v>
      </c>
      <c r="B132" s="131">
        <v>637</v>
      </c>
      <c r="C132" s="436" t="s">
        <v>116</v>
      </c>
      <c r="D132" s="347" t="s">
        <v>1498</v>
      </c>
      <c r="E132" s="128" t="str">
        <f t="shared" si="66"/>
        <v/>
      </c>
      <c r="F132" s="343"/>
      <c r="G132" s="321">
        <f>ROUND(IF($B$5="BFR",SUMIF('Prior year BFR download report'!A:A,B132,'Prior year BFR download report'!G:G),0),0)</f>
        <v>0</v>
      </c>
      <c r="H132" s="254">
        <f t="shared" si="67"/>
        <v>0</v>
      </c>
      <c r="I132" s="321"/>
      <c r="J132" s="343"/>
      <c r="K132" s="321"/>
      <c r="L132" s="254">
        <f t="shared" si="71"/>
        <v>0</v>
      </c>
      <c r="M132" s="321"/>
      <c r="N132" s="350"/>
      <c r="O132" s="321"/>
      <c r="P132" s="254">
        <f t="shared" si="72"/>
        <v>0</v>
      </c>
      <c r="Q132" s="321"/>
      <c r="R132" s="363" t="s">
        <v>264</v>
      </c>
      <c r="S132" s="143" t="str">
        <f t="shared" si="68"/>
        <v/>
      </c>
      <c r="T132" s="190" t="str">
        <f t="shared" si="74"/>
        <v/>
      </c>
      <c r="U132" s="190" t="str">
        <f t="shared" si="75"/>
        <v/>
      </c>
      <c r="V132" s="334">
        <f>VLOOKUP($B132,'Min max table'!$A$6:$C$209,2,FALSE)</f>
        <v>0</v>
      </c>
      <c r="W132" s="334">
        <f>VLOOKUP($B132,'Min max table'!$A$6:$C$206,3,FALSE)</f>
        <v>400000</v>
      </c>
      <c r="X132" s="371" t="s">
        <v>16</v>
      </c>
      <c r="Y132" s="371" t="s">
        <v>16</v>
      </c>
      <c r="Z132" s="371"/>
    </row>
    <row r="133" spans="1:26" s="342" customFormat="1" ht="57" customHeight="1" x14ac:dyDescent="0.35">
      <c r="A133" s="143" t="s">
        <v>265</v>
      </c>
      <c r="B133" s="131">
        <v>638</v>
      </c>
      <c r="C133" s="436" t="s">
        <v>116</v>
      </c>
      <c r="D133" s="347" t="s">
        <v>1498</v>
      </c>
      <c r="E133" s="128" t="str">
        <f t="shared" si="66"/>
        <v/>
      </c>
      <c r="F133" s="343"/>
      <c r="G133" s="321">
        <f>ROUND(IF($B$5="BFR",SUMIF('Prior year BFR download report'!A:A,B133,'Prior year BFR download report'!G:G),0),0)</f>
        <v>0</v>
      </c>
      <c r="H133" s="254">
        <f t="shared" si="67"/>
        <v>0</v>
      </c>
      <c r="I133" s="321"/>
      <c r="J133" s="343"/>
      <c r="K133" s="321"/>
      <c r="L133" s="254">
        <f t="shared" si="71"/>
        <v>0</v>
      </c>
      <c r="M133" s="321"/>
      <c r="N133" s="350"/>
      <c r="O133" s="321"/>
      <c r="P133" s="254">
        <f t="shared" si="72"/>
        <v>0</v>
      </c>
      <c r="Q133" s="321"/>
      <c r="R133" s="363" t="s">
        <v>266</v>
      </c>
      <c r="S133" s="143" t="str">
        <f t="shared" si="68"/>
        <v/>
      </c>
      <c r="T133" s="190" t="str">
        <f t="shared" si="74"/>
        <v/>
      </c>
      <c r="U133" s="190" t="str">
        <f t="shared" si="75"/>
        <v/>
      </c>
      <c r="V133" s="334">
        <f>VLOOKUP($B133,'Min max table'!$A$6:$C$209,2,FALSE)</f>
        <v>0</v>
      </c>
      <c r="W133" s="334">
        <f>VLOOKUP($B133,'Min max table'!$A$6:$C$206,3,FALSE)</f>
        <v>400000</v>
      </c>
      <c r="X133" s="371" t="s">
        <v>16</v>
      </c>
      <c r="Y133" s="371" t="s">
        <v>16</v>
      </c>
      <c r="Z133" s="371"/>
    </row>
    <row r="134" spans="1:26" s="342" customFormat="1" ht="52.5" customHeight="1" x14ac:dyDescent="0.35">
      <c r="A134" s="146" t="s">
        <v>267</v>
      </c>
      <c r="B134" s="131">
        <v>606</v>
      </c>
      <c r="C134" s="436" t="s">
        <v>116</v>
      </c>
      <c r="D134" s="460" t="s">
        <v>1498</v>
      </c>
      <c r="E134" s="128" t="str">
        <f t="shared" si="66"/>
        <v/>
      </c>
      <c r="F134" s="343"/>
      <c r="G134" s="321">
        <f>ROUND(IF($B$5="BFR",SUMIF('Prior year BFR download report'!A:A,B134,'Prior year BFR download report'!G:G),0),0)</f>
        <v>0</v>
      </c>
      <c r="H134" s="254">
        <f t="shared" si="67"/>
        <v>0</v>
      </c>
      <c r="I134" s="321"/>
      <c r="J134" s="343"/>
      <c r="K134" s="321"/>
      <c r="L134" s="254">
        <f t="shared" si="71"/>
        <v>0</v>
      </c>
      <c r="M134" s="321"/>
      <c r="N134" s="350"/>
      <c r="O134" s="321"/>
      <c r="P134" s="254">
        <f t="shared" si="72"/>
        <v>0</v>
      </c>
      <c r="Q134" s="321"/>
      <c r="R134" s="363" t="s">
        <v>268</v>
      </c>
      <c r="S134" s="143" t="str">
        <f t="shared" si="68"/>
        <v/>
      </c>
      <c r="T134" s="190" t="str">
        <f t="shared" si="74"/>
        <v/>
      </c>
      <c r="U134" s="190" t="str">
        <f t="shared" si="75"/>
        <v/>
      </c>
      <c r="V134" s="334">
        <f>VLOOKUP($B134,'Min max table'!$A$6:$C$209,2,FALSE)</f>
        <v>0</v>
      </c>
      <c r="W134" s="334">
        <f>VLOOKUP($B134,'Min max table'!$A$6:$C$206,3,FALSE)</f>
        <v>400000</v>
      </c>
      <c r="X134" s="371" t="s">
        <v>16</v>
      </c>
      <c r="Y134" s="371" t="s">
        <v>16</v>
      </c>
      <c r="Z134" s="371"/>
    </row>
    <row r="135" spans="1:26" s="342" customFormat="1" ht="15.75" customHeight="1" x14ac:dyDescent="0.35">
      <c r="A135" s="148" t="s">
        <v>269</v>
      </c>
      <c r="B135" s="151">
        <v>650</v>
      </c>
      <c r="C135" s="436"/>
      <c r="D135" s="315"/>
      <c r="E135" s="128"/>
      <c r="F135" s="343"/>
      <c r="G135" s="254">
        <f>SUM(G122:G134)</f>
        <v>0</v>
      </c>
      <c r="H135" s="254">
        <f>SUM(H122:H134)</f>
        <v>0</v>
      </c>
      <c r="I135" s="254">
        <f>SUM(I122:I134)</f>
        <v>0</v>
      </c>
      <c r="J135" s="343"/>
      <c r="K135" s="254">
        <f>SUM(K122:K134)</f>
        <v>0</v>
      </c>
      <c r="L135" s="254">
        <f>SUM(L122:L134)</f>
        <v>0</v>
      </c>
      <c r="M135" s="254">
        <f>SUM(M122:M134)</f>
        <v>0</v>
      </c>
      <c r="O135" s="254">
        <f>SUM(O122:O134)</f>
        <v>0</v>
      </c>
      <c r="P135" s="254">
        <f>SUM(P122:P134)</f>
        <v>0</v>
      </c>
      <c r="Q135" s="254">
        <f>SUM(Q122:Q134)</f>
        <v>0</v>
      </c>
      <c r="R135" s="133"/>
      <c r="S135" s="133"/>
      <c r="T135" s="133"/>
      <c r="U135" s="353"/>
      <c r="V135" s="353"/>
      <c r="W135" s="353"/>
      <c r="X135" s="353"/>
      <c r="Y135" s="353"/>
      <c r="Z135" s="353"/>
    </row>
    <row r="136" spans="1:26" ht="90" customHeight="1" x14ac:dyDescent="0.6">
      <c r="A136" s="603" t="s">
        <v>270</v>
      </c>
      <c r="B136" s="90"/>
      <c r="C136" s="90"/>
      <c r="D136" s="64"/>
      <c r="E136" s="78"/>
      <c r="K136" s="91"/>
      <c r="L136" s="91"/>
      <c r="M136" s="91"/>
      <c r="O136" s="91"/>
      <c r="P136" s="93"/>
      <c r="Q136" s="91"/>
      <c r="R136" s="73"/>
      <c r="S136" s="73"/>
      <c r="T136" s="73"/>
      <c r="U136" s="73"/>
      <c r="V136" s="75"/>
      <c r="W136" s="75"/>
      <c r="X136" s="82"/>
      <c r="Y136" s="353"/>
      <c r="Z136" s="70"/>
    </row>
    <row r="137" spans="1:26" ht="27.65" customHeight="1" x14ac:dyDescent="0.4">
      <c r="A137" s="251" t="s">
        <v>1669</v>
      </c>
      <c r="B137" s="90"/>
      <c r="C137" s="90"/>
      <c r="D137" s="64"/>
      <c r="E137" s="78"/>
      <c r="K137" s="91"/>
      <c r="L137" s="91"/>
      <c r="M137" s="91"/>
      <c r="O137" s="91"/>
      <c r="P137" s="93"/>
      <c r="Q137" s="91"/>
      <c r="R137" s="73"/>
      <c r="S137" s="73"/>
      <c r="T137" s="73"/>
      <c r="U137" s="73"/>
      <c r="V137" s="75"/>
      <c r="W137" s="75"/>
      <c r="X137" s="82"/>
      <c r="Y137" s="353"/>
      <c r="Z137" s="70"/>
    </row>
    <row r="138" spans="1:26" s="342" customFormat="1" ht="72" customHeight="1" x14ac:dyDescent="0.35">
      <c r="A138" s="233" t="s">
        <v>113</v>
      </c>
      <c r="B138" s="113" t="s">
        <v>92</v>
      </c>
      <c r="C138" s="113" t="s">
        <v>93</v>
      </c>
      <c r="D138" s="177" t="s">
        <v>94</v>
      </c>
      <c r="E138" s="114" t="s">
        <v>95</v>
      </c>
      <c r="F138" s="343"/>
      <c r="G138" s="34" t="str">
        <f>$G$17</f>
        <v>Prior Year       Actuals                       Sep 24 - Mar 25 £'000</v>
      </c>
      <c r="H138" s="34" t="str">
        <f>$H$17</f>
        <v>Prior Year       Calculated                       Apr 25 - Aug 25 £'000</v>
      </c>
      <c r="I138" s="34" t="str">
        <f>$I$17</f>
        <v>TOTAL                 2024/25            £'000</v>
      </c>
      <c r="J138" s="117"/>
      <c r="K138" s="34" t="str">
        <f>$K$17</f>
        <v>Current Year       Actuals                       Sep 25 - Mar 26 £'000</v>
      </c>
      <c r="L138" s="34" t="str">
        <f>$L$17</f>
        <v>Current Year       Calculated                       Apr 26 - Aug 26 £'000</v>
      </c>
      <c r="M138" s="34" t="str">
        <f>$M$17</f>
        <v>TOTAL            2025/26            £'000</v>
      </c>
      <c r="N138" s="118"/>
      <c r="O138" s="34" t="str">
        <f>$O$17</f>
        <v>Forecast Year                              Sep 26 - Mar 27 £'000</v>
      </c>
      <c r="P138" s="34" t="str">
        <f>$P$17</f>
        <v>Forecast Year       Calculated                       Apr 27 - Aug 27 £'000</v>
      </c>
      <c r="Q138" s="34" t="str">
        <f>$Q$17</f>
        <v>TOTAL              2026/27                   £'000</v>
      </c>
      <c r="R138" s="192" t="s">
        <v>114</v>
      </c>
      <c r="S138" s="176" t="s">
        <v>97</v>
      </c>
      <c r="T138" s="177" t="s">
        <v>98</v>
      </c>
      <c r="U138" s="177" t="s">
        <v>99</v>
      </c>
      <c r="V138" s="178" t="s">
        <v>100</v>
      </c>
      <c r="W138" s="178" t="s">
        <v>101</v>
      </c>
      <c r="X138" s="177" t="s">
        <v>102</v>
      </c>
      <c r="Y138" s="179" t="s">
        <v>103</v>
      </c>
      <c r="Z138" s="179" t="s">
        <v>104</v>
      </c>
    </row>
    <row r="139" spans="1:26" s="342" customFormat="1" ht="105" customHeight="1" x14ac:dyDescent="0.35">
      <c r="A139" s="148" t="s">
        <v>271</v>
      </c>
      <c r="B139" s="151">
        <v>660</v>
      </c>
      <c r="C139" s="347" t="s">
        <v>16</v>
      </c>
      <c r="D139" s="315"/>
      <c r="E139" s="128" t="str">
        <f>IF(OR(S139&lt;&gt;"",T139&lt;&gt;"",U139&lt;&gt;"",Z139&lt;&gt;""),"Check - see columns S-Z for info","")</f>
        <v/>
      </c>
      <c r="F139" s="343"/>
      <c r="G139" s="254">
        <f>G118-G135</f>
        <v>0</v>
      </c>
      <c r="H139" s="254">
        <f>H118-H135</f>
        <v>0</v>
      </c>
      <c r="I139" s="254">
        <f>I118-I135</f>
        <v>0</v>
      </c>
      <c r="J139" s="343"/>
      <c r="K139" s="254">
        <f>K118-K135</f>
        <v>0</v>
      </c>
      <c r="L139" s="254">
        <f>L118-L135</f>
        <v>0</v>
      </c>
      <c r="M139" s="254">
        <f>M118-M135</f>
        <v>0</v>
      </c>
      <c r="O139" s="254">
        <f>O118-O135</f>
        <v>0</v>
      </c>
      <c r="P139" s="254">
        <f>P118-P135</f>
        <v>0</v>
      </c>
      <c r="Q139" s="254">
        <f>Q118-Q135</f>
        <v>0</v>
      </c>
      <c r="R139" s="363"/>
      <c r="S139" s="143"/>
      <c r="T139" s="143"/>
      <c r="U139" s="143"/>
      <c r="V139" s="334">
        <f>VLOOKUP($B139,'Min max table'!$A$6:$C$209,2,FALSE)</f>
        <v>0</v>
      </c>
      <c r="W139" s="334">
        <f>VLOOKUP($B139,'Min max table'!$A$6:$C$206,3,FALSE)</f>
        <v>0</v>
      </c>
      <c r="X139" s="370" t="s">
        <v>272</v>
      </c>
      <c r="Y139" s="223" t="str">
        <f>IF(Z139="","","Refer to "&amp;X139&amp;" in the validations table")</f>
        <v/>
      </c>
      <c r="Z139" s="143" t="str">
        <f>IF(AND(ISBLANK('Validations table'!E22),OR($I$139&lt;0,$M$139&lt;0,$Q$139&lt;0)), "Your capital expenditure exceeds capital income during either the prior year, current year or forecast year."&amp;
"                                                                           Tell us: 
- how you've managed capital income and expenditure during the year
- whether you plan to carry forward surplus capital funds from prior years, and how much","")</f>
        <v/>
      </c>
    </row>
    <row r="140" spans="1:26" s="31" customFormat="1" ht="40.4" customHeight="1" x14ac:dyDescent="0.35">
      <c r="A140" s="94"/>
      <c r="B140" s="95"/>
      <c r="C140" s="95"/>
      <c r="D140" s="98"/>
      <c r="E140" s="96"/>
      <c r="F140" s="97"/>
      <c r="G140" s="97"/>
      <c r="H140" s="97"/>
      <c r="I140" s="97"/>
      <c r="J140" s="97"/>
      <c r="V140" s="75"/>
      <c r="W140" s="75"/>
      <c r="X140" s="98"/>
      <c r="Y140" s="379"/>
      <c r="Z140" s="99"/>
    </row>
    <row r="141" spans="1:26" s="342" customFormat="1" ht="62" x14ac:dyDescent="0.35">
      <c r="A141" s="233" t="s">
        <v>113</v>
      </c>
      <c r="B141" s="113" t="s">
        <v>92</v>
      </c>
      <c r="C141" s="113" t="s">
        <v>93</v>
      </c>
      <c r="D141" s="177" t="s">
        <v>94</v>
      </c>
      <c r="E141" s="114" t="s">
        <v>95</v>
      </c>
      <c r="F141" s="380"/>
      <c r="G141" s="34" t="str">
        <f>G83</f>
        <v>Actuals            Balance b/f                 1 Sep 2024          £'000</v>
      </c>
      <c r="H141" s="34" t="str">
        <f>H83</f>
        <v>Calculated    Balance b/f                 1 Apr 2025          £'000</v>
      </c>
      <c r="I141" s="343"/>
      <c r="J141" s="380"/>
      <c r="K141" s="34" t="str">
        <f>K83</f>
        <v>Calculated            Balance b/f            1 Sep 2025          £'000</v>
      </c>
      <c r="L141" s="34" t="str">
        <f>L83</f>
        <v>Calculated    Balance b/f           1 Apr 2026          £'000</v>
      </c>
      <c r="O141" s="34" t="str">
        <f>O83</f>
        <v>Calculated     Balance b/f           1 Sep 2026          £'000</v>
      </c>
      <c r="P141" s="34" t="str">
        <f>P83</f>
        <v>Calculated     Balance b/f           1 Apr 2027          £'000</v>
      </c>
      <c r="R141" s="192" t="s">
        <v>114</v>
      </c>
      <c r="S141" s="176" t="s">
        <v>97</v>
      </c>
      <c r="T141" s="177" t="s">
        <v>98</v>
      </c>
      <c r="U141" s="177" t="s">
        <v>99</v>
      </c>
      <c r="V141" s="178" t="s">
        <v>100</v>
      </c>
      <c r="W141" s="178" t="s">
        <v>101</v>
      </c>
      <c r="X141" s="177" t="s">
        <v>102</v>
      </c>
      <c r="Y141" s="179" t="s">
        <v>103</v>
      </c>
      <c r="Z141" s="179" t="s">
        <v>104</v>
      </c>
    </row>
    <row r="142" spans="1:26" s="342" customFormat="1" ht="165" customHeight="1" x14ac:dyDescent="0.35">
      <c r="A142" s="148" t="s">
        <v>273</v>
      </c>
      <c r="B142" s="152">
        <v>670</v>
      </c>
      <c r="C142" s="347" t="s">
        <v>16</v>
      </c>
      <c r="D142" s="347" t="s">
        <v>1498</v>
      </c>
      <c r="E142" s="128" t="str">
        <f>IF(OR(S142&lt;&gt;"",T142&lt;&gt;"",U142&lt;&gt;"",Z142&lt;&gt;""),"Check - see columns S-Z for info","")</f>
        <v/>
      </c>
      <c r="F142" s="380"/>
      <c r="G142" s="321"/>
      <c r="H142" s="254">
        <f>G145</f>
        <v>0</v>
      </c>
      <c r="I142" s="380"/>
      <c r="J142" s="380"/>
      <c r="K142" s="254">
        <f>H145</f>
        <v>0</v>
      </c>
      <c r="L142" s="254">
        <f>K145</f>
        <v>0</v>
      </c>
      <c r="O142" s="254">
        <f>L145</f>
        <v>0</v>
      </c>
      <c r="P142" s="254">
        <f>O145</f>
        <v>0</v>
      </c>
      <c r="R142" s="182" t="s">
        <v>1661</v>
      </c>
      <c r="S142" s="143" t="str">
        <f>IF(OR(G142-ROUND(G142,)&lt;&gt;0),"No decimal places, letters &amp; odd characters allowed","")</f>
        <v/>
      </c>
      <c r="T142" s="190" t="str">
        <f t="shared" ref="T142" si="76">IF(OR(G142&lt;V142,I142&lt;V142,K142&lt;V142,M142&lt;V142,O142&lt;V142,Q142&lt;V142),"Input value is below the minimum value allowed","")</f>
        <v/>
      </c>
      <c r="U142" s="190" t="str">
        <f t="shared" ref="U142" si="77">IF(OR(G142&gt;W142,H142&gt;W142,I142&gt;W142,K142&gt;W142,L142&gt;W142,M142&gt;W142,O142&gt;W142,P142&gt;W142,Q142&gt;W142),"Input value is above the maximum value allowed","")</f>
        <v/>
      </c>
      <c r="V142" s="272">
        <f>VLOOKUP($B142,'Min max table'!$A$6:$C$209,2,FALSE)</f>
        <v>-400000</v>
      </c>
      <c r="W142" s="334">
        <f>VLOOKUP($B142,'Min max table'!$A$6:$C$206,3,FALSE)</f>
        <v>400000</v>
      </c>
      <c r="X142" s="351" t="s">
        <v>16</v>
      </c>
      <c r="Y142" s="351" t="s">
        <v>16</v>
      </c>
      <c r="Z142" s="351"/>
    </row>
    <row r="143" spans="1:26" s="31" customFormat="1" ht="40.4" customHeight="1" x14ac:dyDescent="0.4">
      <c r="A143" s="94"/>
      <c r="B143" s="95"/>
      <c r="C143" s="95"/>
      <c r="D143" s="98"/>
      <c r="E143" s="96"/>
      <c r="F143" s="97"/>
      <c r="G143" s="15"/>
      <c r="H143" s="15"/>
      <c r="I143" s="15"/>
      <c r="J143" s="15"/>
      <c r="K143" s="100"/>
      <c r="L143" s="101"/>
      <c r="M143" s="8"/>
      <c r="N143" s="8"/>
      <c r="O143" s="8"/>
      <c r="P143" s="8"/>
      <c r="V143" s="75"/>
      <c r="W143" s="75"/>
      <c r="X143" s="98"/>
      <c r="Y143" s="379"/>
      <c r="Z143" s="99"/>
    </row>
    <row r="144" spans="1:26" s="342" customFormat="1" ht="62" x14ac:dyDescent="0.35">
      <c r="A144" s="233" t="s">
        <v>113</v>
      </c>
      <c r="B144" s="113" t="s">
        <v>92</v>
      </c>
      <c r="C144" s="113" t="s">
        <v>93</v>
      </c>
      <c r="D144" s="177" t="s">
        <v>94</v>
      </c>
      <c r="E144" s="114" t="s">
        <v>95</v>
      </c>
      <c r="F144" s="380"/>
      <c r="G144" s="34" t="str">
        <f>G87</f>
        <v>Calculated            Balance c/f                 31 Mar 2025          £'000</v>
      </c>
      <c r="H144" s="34" t="str">
        <f>H87</f>
        <v>Calculated    Balance c/f                 31 Aug 2025          £'000</v>
      </c>
      <c r="I144" s="343"/>
      <c r="J144" s="343"/>
      <c r="K144" s="34" t="str">
        <f>K87</f>
        <v>Calculated            Balance c/f            31 Mar 2026          £'000</v>
      </c>
      <c r="L144" s="34" t="str">
        <f>L87</f>
        <v>Calculated    Balance c/f           31 Aug 2026          £'000</v>
      </c>
      <c r="O144" s="34" t="str">
        <f>O87</f>
        <v>Calculated     Balance c/f           31 Mar 2027          £'000</v>
      </c>
      <c r="P144" s="34" t="str">
        <f>P87</f>
        <v>Calculated     Balance c/f           31 Aug 2027          £'000</v>
      </c>
      <c r="V144" s="354"/>
      <c r="W144" s="354"/>
      <c r="X144" s="341"/>
      <c r="Y144" s="379"/>
      <c r="Z144" s="379"/>
    </row>
    <row r="145" spans="1:26" s="342" customFormat="1" ht="15.75" customHeight="1" x14ac:dyDescent="0.35">
      <c r="A145" s="148" t="s">
        <v>274</v>
      </c>
      <c r="B145" s="151">
        <v>680</v>
      </c>
      <c r="C145" s="347" t="s">
        <v>16</v>
      </c>
      <c r="D145" s="315"/>
      <c r="E145" s="128" t="str">
        <f>IF(OR(S145&lt;&gt;"",T145&lt;&gt;"",U145&lt;&gt;"",Z145&lt;&gt;""),"Check - see columns S-Z for info","")</f>
        <v/>
      </c>
      <c r="F145" s="380"/>
      <c r="G145" s="254">
        <f>G139+G142</f>
        <v>0</v>
      </c>
      <c r="H145" s="254">
        <f>H139+H142</f>
        <v>0</v>
      </c>
      <c r="I145" s="380"/>
      <c r="J145" s="380"/>
      <c r="K145" s="254">
        <f>K139+K142</f>
        <v>0</v>
      </c>
      <c r="L145" s="254">
        <f>L139+L142</f>
        <v>0</v>
      </c>
      <c r="O145" s="254">
        <f>O139+O142</f>
        <v>0</v>
      </c>
      <c r="P145" s="254">
        <f>P139+P142</f>
        <v>0</v>
      </c>
      <c r="V145" s="354"/>
      <c r="W145" s="354"/>
      <c r="X145" s="341"/>
      <c r="Y145" s="379"/>
      <c r="Z145" s="379"/>
    </row>
    <row r="146" spans="1:26" s="31" customFormat="1" ht="90" customHeight="1" x14ac:dyDescent="0.6">
      <c r="A146" s="603" t="s">
        <v>1666</v>
      </c>
      <c r="B146" s="95"/>
      <c r="C146" s="95"/>
      <c r="D146" s="98"/>
      <c r="E146" s="96"/>
      <c r="F146" s="96"/>
      <c r="G146" s="96"/>
      <c r="H146" s="96"/>
      <c r="I146" s="96"/>
      <c r="J146" s="96"/>
      <c r="K146" s="96"/>
      <c r="L146" s="96"/>
      <c r="M146" s="96"/>
      <c r="N146" s="96"/>
      <c r="O146" s="96"/>
      <c r="P146" s="96"/>
      <c r="Q146" s="96"/>
      <c r="R146" s="96"/>
      <c r="S146" s="96"/>
      <c r="T146" s="342"/>
      <c r="U146" s="342"/>
      <c r="V146" s="75"/>
      <c r="W146" s="75"/>
      <c r="X146" s="98"/>
      <c r="Y146" s="379"/>
      <c r="Z146" s="99"/>
    </row>
    <row r="147" spans="1:26" s="31" customFormat="1" ht="24" customHeight="1" x14ac:dyDescent="0.35">
      <c r="A147" s="251" t="s">
        <v>1687</v>
      </c>
      <c r="B147" s="95"/>
      <c r="C147" s="95"/>
      <c r="D147" s="98"/>
      <c r="E147" s="96"/>
      <c r="F147" s="96"/>
      <c r="G147" s="96"/>
      <c r="H147" s="96"/>
      <c r="I147" s="96"/>
      <c r="J147" s="96"/>
      <c r="K147" s="96"/>
      <c r="L147" s="96"/>
      <c r="M147" s="96"/>
      <c r="N147" s="96"/>
      <c r="O147" s="96"/>
      <c r="P147" s="96"/>
      <c r="Q147" s="96"/>
      <c r="R147" s="96"/>
      <c r="S147" s="96"/>
      <c r="T147" s="342"/>
      <c r="U147" s="342"/>
      <c r="V147" s="75"/>
      <c r="W147" s="75"/>
      <c r="X147" s="98"/>
      <c r="Y147" s="379"/>
      <c r="Z147" s="99"/>
    </row>
    <row r="148" spans="1:26" s="342" customFormat="1" ht="67.5" customHeight="1" x14ac:dyDescent="0.35">
      <c r="A148" s="29" t="s">
        <v>113</v>
      </c>
      <c r="B148" s="113" t="s">
        <v>92</v>
      </c>
      <c r="C148" s="113" t="s">
        <v>93</v>
      </c>
      <c r="D148" s="177" t="s">
        <v>94</v>
      </c>
      <c r="E148" s="114" t="s">
        <v>95</v>
      </c>
      <c r="F148" s="380"/>
      <c r="G148" s="34" t="str">
        <f>$G$17</f>
        <v>Prior Year       Actuals                       Sep 24 - Mar 25 £'000</v>
      </c>
      <c r="H148" s="34" t="str">
        <f>$H$17</f>
        <v>Prior Year       Calculated                       Apr 25 - Aug 25 £'000</v>
      </c>
      <c r="I148" s="34" t="str">
        <f>$I$17</f>
        <v>TOTAL                 2024/25            £'000</v>
      </c>
      <c r="J148" s="117"/>
      <c r="K148" s="34" t="str">
        <f>$K$17</f>
        <v>Current Year       Actuals                       Sep 25 - Mar 26 £'000</v>
      </c>
      <c r="L148" s="34" t="str">
        <f>$L$17</f>
        <v>Current Year       Calculated                       Apr 26 - Aug 26 £'000</v>
      </c>
      <c r="M148" s="34" t="str">
        <f>$M$17</f>
        <v>TOTAL            2025/26            £'000</v>
      </c>
      <c r="N148" s="118"/>
      <c r="O148" s="34" t="str">
        <f>$O$17</f>
        <v>Forecast Year                              Sep 26 - Mar 27 £'000</v>
      </c>
      <c r="P148" s="34" t="str">
        <f>$P$17</f>
        <v>Forecast Year       Calculated                       Apr 27 - Aug 27 £'000</v>
      </c>
      <c r="Q148" s="34" t="str">
        <f>$Q$17</f>
        <v>TOTAL              2026/27                   £'000</v>
      </c>
      <c r="R148" s="192" t="s">
        <v>114</v>
      </c>
      <c r="S148" s="176" t="s">
        <v>97</v>
      </c>
      <c r="T148" s="177" t="s">
        <v>98</v>
      </c>
      <c r="U148" s="177" t="s">
        <v>99</v>
      </c>
      <c r="V148" s="178" t="s">
        <v>100</v>
      </c>
      <c r="W148" s="178" t="s">
        <v>101</v>
      </c>
      <c r="X148" s="177" t="s">
        <v>102</v>
      </c>
      <c r="Y148" s="179" t="s">
        <v>103</v>
      </c>
      <c r="Z148" s="179" t="s">
        <v>104</v>
      </c>
    </row>
    <row r="149" spans="1:26" s="342" customFormat="1" ht="265.89999999999998" customHeight="1" x14ac:dyDescent="0.35">
      <c r="A149" s="143" t="s">
        <v>275</v>
      </c>
      <c r="B149" s="131">
        <v>572</v>
      </c>
      <c r="C149" s="436" t="s">
        <v>116</v>
      </c>
      <c r="D149" s="347" t="s">
        <v>1498</v>
      </c>
      <c r="E149" s="128" t="str">
        <f>IF(OR(S149&lt;&gt;"",T149&lt;&gt;"",U149&lt;&gt;"",Z149&lt;&gt;""),"Check - see columns S-Z for info","")</f>
        <v/>
      </c>
      <c r="F149" s="343"/>
      <c r="G149" s="321">
        <f>ROUND(IF($B$5="BFR",SUMIF('Prior year BFR download report'!A:A,B149,'Prior year BFR download report'!G:G),0),0)</f>
        <v>0</v>
      </c>
      <c r="H149" s="254">
        <f t="shared" ref="H149:H151" si="78">+I149-G149</f>
        <v>0</v>
      </c>
      <c r="I149" s="321"/>
      <c r="J149" s="343"/>
      <c r="K149" s="321"/>
      <c r="L149" s="254">
        <f>+M149-K149</f>
        <v>0</v>
      </c>
      <c r="M149" s="321"/>
      <c r="N149" s="350"/>
      <c r="O149" s="321"/>
      <c r="P149" s="254">
        <f>+Q149-O149</f>
        <v>0</v>
      </c>
      <c r="Q149" s="321"/>
      <c r="R149" s="363" t="s">
        <v>1737</v>
      </c>
      <c r="S149" s="143" t="str">
        <f>IF(OR(G149-ROUND(G149,)&lt;&gt;0,I149-ROUND(I149,)&lt;&gt;0,K149-ROUND(K149,)&lt;&gt;0,M149-ROUND(M149,)&lt;&gt;0,O149-ROUND(O149,)&lt;&gt;0,Q149-ROUND(Q149,)&lt;&gt;0),"No decimal places, letters &amp; odd characters allowed","")</f>
        <v/>
      </c>
      <c r="T149" s="190" t="str">
        <f t="shared" ref="T149:T151" si="79">IF(OR(G149&lt;V149,I149&lt;V149,K149&lt;V149,M149&lt;V149,O149&lt;V149,Q149&lt;V149),"Input value is below the minimum value allowed","")</f>
        <v/>
      </c>
      <c r="U149" s="190" t="str">
        <f t="shared" ref="U149:U150" si="80">IF(OR(G149&gt;W149,H149&gt;W149,I149&gt;W149,K149&gt;W149,L149&gt;W149,M149&gt;W149,O149&gt;W149,P149&gt;W149,Q149&gt;W149),"Input value is above the maximum value allowed","")</f>
        <v/>
      </c>
      <c r="V149" s="334">
        <f>VLOOKUP($B149,'Min max table'!$A$6:$C$209,2,FALSE)</f>
        <v>0</v>
      </c>
      <c r="W149" s="334">
        <f>VLOOKUP($B149,'Min max table'!$A$6:$C$206,3,FALSE)</f>
        <v>400000</v>
      </c>
      <c r="X149" s="351" t="s">
        <v>16</v>
      </c>
      <c r="Y149" s="351" t="s">
        <v>16</v>
      </c>
      <c r="Z149" s="351"/>
    </row>
    <row r="150" spans="1:26" s="342" customFormat="1" ht="117" customHeight="1" x14ac:dyDescent="0.35">
      <c r="A150" s="143" t="s">
        <v>276</v>
      </c>
      <c r="B150" s="131">
        <v>573</v>
      </c>
      <c r="C150" s="436" t="s">
        <v>116</v>
      </c>
      <c r="D150" s="347" t="s">
        <v>1498</v>
      </c>
      <c r="E150" s="128" t="str">
        <f>IF(OR(S150&lt;&gt;"",T150&lt;&gt;"",U150&lt;&gt;"",Z150&lt;&gt;""),"Check - see columns S-Z for info","")</f>
        <v/>
      </c>
      <c r="F150" s="343"/>
      <c r="G150" s="321">
        <f>ROUND(IF($B$5="BFR",SUMIF('Prior year BFR download report'!A:A,B150,'Prior year BFR download report'!G:G),0),0)</f>
        <v>0</v>
      </c>
      <c r="H150" s="254">
        <f t="shared" si="78"/>
        <v>0</v>
      </c>
      <c r="I150" s="321"/>
      <c r="J150" s="343"/>
      <c r="K150" s="321"/>
      <c r="L150" s="254">
        <f>+M150-K150</f>
        <v>0</v>
      </c>
      <c r="M150" s="321"/>
      <c r="N150" s="350"/>
      <c r="O150" s="321"/>
      <c r="P150" s="254">
        <f>+Q150-O150</f>
        <v>0</v>
      </c>
      <c r="Q150" s="321"/>
      <c r="R150" s="363" t="s">
        <v>1736</v>
      </c>
      <c r="S150" s="143" t="str">
        <f>IF(OR(G150-ROUND(G150,)&lt;&gt;0,I150-ROUND(I150,)&lt;&gt;0,K150-ROUND(K150,)&lt;&gt;0,M150-ROUND(M150,)&lt;&gt;0,O150-ROUND(O150,)&lt;&gt;0,Q150-ROUND(Q150,)&lt;&gt;0),"No decimal places, letters &amp; odd characters allowed","")</f>
        <v/>
      </c>
      <c r="T150" s="190" t="str">
        <f t="shared" si="79"/>
        <v/>
      </c>
      <c r="U150" s="190" t="str">
        <f t="shared" si="80"/>
        <v/>
      </c>
      <c r="V150" s="334">
        <f>VLOOKUP($B150,'Min max table'!$A$6:$C$209,2,FALSE)</f>
        <v>0</v>
      </c>
      <c r="W150" s="334">
        <f>VLOOKUP($B150,'Min max table'!$A$6:$C$206,3,FALSE)</f>
        <v>400000</v>
      </c>
      <c r="X150" s="351" t="s">
        <v>16</v>
      </c>
      <c r="Y150" s="351" t="s">
        <v>16</v>
      </c>
      <c r="Z150" s="351"/>
    </row>
    <row r="151" spans="1:26" s="342" customFormat="1" ht="66.650000000000006" customHeight="1" x14ac:dyDescent="0.35">
      <c r="A151" s="143" t="s">
        <v>277</v>
      </c>
      <c r="B151" s="131">
        <v>639</v>
      </c>
      <c r="C151" s="436" t="s">
        <v>116</v>
      </c>
      <c r="D151" s="347" t="s">
        <v>1498</v>
      </c>
      <c r="E151" s="305" t="str">
        <f>IF(OR(S151&lt;&gt;"",T151&lt;&gt;"",U151&lt;&gt;"",Z151&lt;&gt;""),"Check - see columns S-Z for info","")</f>
        <v/>
      </c>
      <c r="F151" s="343"/>
      <c r="G151" s="321">
        <f>ROUND(IF($B$5="BFR",SUMIF('Prior year BFR download report'!A:A,B151,'Prior year BFR download report'!G:G),0),0)</f>
        <v>0</v>
      </c>
      <c r="H151" s="254">
        <f t="shared" si="78"/>
        <v>0</v>
      </c>
      <c r="I151" s="321"/>
      <c r="J151" s="343"/>
      <c r="K151" s="321"/>
      <c r="L151" s="254">
        <f>+M151-K151</f>
        <v>0</v>
      </c>
      <c r="M151" s="321"/>
      <c r="N151" s="350"/>
      <c r="O151" s="321"/>
      <c r="P151" s="254">
        <f>+Q151-O151</f>
        <v>0</v>
      </c>
      <c r="Q151" s="321"/>
      <c r="R151" s="363" t="s">
        <v>1735</v>
      </c>
      <c r="S151" s="143" t="str">
        <f>IF(OR(G151-ROUND(G151,)&lt;&gt;0,I151-ROUND(I151,)&lt;&gt;0,K151-ROUND(K151,)&lt;&gt;0,M151-ROUND(M151,)&lt;&gt;0,O151-ROUND(O151,)&lt;&gt;0,Q151-ROUND(Q151,)&lt;&gt;0),"No decimal places, letters &amp; odd characters allowed","")</f>
        <v/>
      </c>
      <c r="T151" s="190" t="str">
        <f t="shared" si="79"/>
        <v/>
      </c>
      <c r="U151" s="190" t="str">
        <f>IF(OR(G151&gt;W151,I151&gt;W151,K151&gt;W151,M151&gt;W151,O151&gt;W151,Q151&gt;W151),"Input value is above the maximum value allowed","")</f>
        <v/>
      </c>
      <c r="V151" s="272">
        <f>VLOOKUP($B151,'Min max table'!$A$6:$C$209,2,FALSE)</f>
        <v>-400000</v>
      </c>
      <c r="W151" s="334">
        <f>VLOOKUP($B151,'Min max table'!$A$6:$C$206,3,FALSE)</f>
        <v>0</v>
      </c>
      <c r="X151" s="351" t="s">
        <v>16</v>
      </c>
      <c r="Y151" s="351" t="s">
        <v>16</v>
      </c>
      <c r="Z151" s="351"/>
    </row>
    <row r="152" spans="1:26" ht="90" customHeight="1" x14ac:dyDescent="0.6">
      <c r="A152" s="275" t="s">
        <v>278</v>
      </c>
      <c r="B152" s="77"/>
      <c r="C152" s="77"/>
      <c r="D152" s="318"/>
      <c r="E152" s="78"/>
      <c r="K152" s="79"/>
      <c r="L152" s="79"/>
      <c r="M152" s="79"/>
      <c r="O152" s="79"/>
      <c r="P152" s="81"/>
      <c r="Q152" s="80"/>
      <c r="R152" s="73"/>
      <c r="S152" s="73"/>
      <c r="T152" s="73"/>
      <c r="U152" s="73"/>
      <c r="V152" s="75"/>
      <c r="W152" s="75"/>
      <c r="X152" s="82"/>
      <c r="Y152" s="353"/>
      <c r="Z152" s="70"/>
    </row>
    <row r="153" spans="1:26" ht="45" customHeight="1" x14ac:dyDescent="0.6">
      <c r="A153" s="261" t="s">
        <v>279</v>
      </c>
      <c r="B153" s="77"/>
      <c r="C153" s="77"/>
      <c r="D153" s="318"/>
      <c r="E153" s="78"/>
      <c r="K153" s="79"/>
      <c r="L153" s="79"/>
      <c r="M153" s="79"/>
      <c r="O153" s="79"/>
      <c r="P153" s="81"/>
      <c r="Q153" s="80"/>
      <c r="R153" s="73"/>
      <c r="S153" s="73"/>
      <c r="T153" s="73"/>
      <c r="U153" s="73"/>
      <c r="V153" s="75"/>
      <c r="W153" s="75"/>
      <c r="X153" s="82"/>
      <c r="Y153" s="353"/>
      <c r="Z153" s="70"/>
    </row>
    <row r="154" spans="1:26" ht="18.649999999999999" customHeight="1" x14ac:dyDescent="0.35">
      <c r="A154" s="251" t="s">
        <v>1688</v>
      </c>
      <c r="B154" s="77"/>
      <c r="C154" s="77"/>
      <c r="D154" s="318"/>
      <c r="E154" s="78"/>
      <c r="F154" s="59"/>
      <c r="G154" s="20"/>
      <c r="H154" s="57"/>
      <c r="I154" s="57"/>
      <c r="K154" s="10"/>
      <c r="R154" s="8"/>
      <c r="S154" s="12"/>
      <c r="T154" s="8"/>
      <c r="V154" s="13"/>
      <c r="X154" s="8"/>
      <c r="Y154" s="341"/>
    </row>
    <row r="155" spans="1:26" s="342" customFormat="1" ht="46.5" x14ac:dyDescent="0.35">
      <c r="A155" s="29" t="s">
        <v>113</v>
      </c>
      <c r="B155" s="113" t="s">
        <v>92</v>
      </c>
      <c r="C155" s="113" t="s">
        <v>93</v>
      </c>
      <c r="D155" s="177" t="s">
        <v>94</v>
      </c>
      <c r="E155" s="114" t="s">
        <v>95</v>
      </c>
      <c r="F155" s="343"/>
      <c r="G155" s="34" t="str">
        <f>"Balance at                 31 Aug "&amp;RIGHT('Version control'!$A$1,4)-2 &amp;"          £'000"</f>
        <v>Balance at                 31 Aug 2024          £'000</v>
      </c>
      <c r="H155" s="34" t="str">
        <f>"Balance at                 31 Mar "&amp;RIGHT('Version control'!$A$1,4)-1 &amp;"          £'000"</f>
        <v>Balance at                 31 Mar 2025          £'000</v>
      </c>
      <c r="I155" s="343"/>
      <c r="J155" s="343"/>
      <c r="K155" s="34" t="str">
        <f>"Balance at            31 Aug "&amp;RIGHT('Version control'!$A$1,4)-1 &amp;"          £'000"</f>
        <v>Balance at            31 Aug 2025          £'000</v>
      </c>
      <c r="L155" s="34" t="str">
        <f>"Balance at           31 Mar "&amp;RIGHT('Version control'!$A$1,4) &amp;"          £'000"</f>
        <v>Balance at           31 Mar 2026          £'000</v>
      </c>
      <c r="M155" s="34" t="str">
        <f>"Balance at           31 Aug "&amp;RIGHT('Version control'!$A$1,4) &amp;"          £'000"</f>
        <v>Balance at           31 Aug 2026          £'000</v>
      </c>
      <c r="O155" s="34" t="str">
        <f>"Balance at          31 Mar "&amp;RIGHT('Version control'!$A$1,4)+1 &amp;"          £'000"</f>
        <v>Balance at          31 Mar 2027          £'000</v>
      </c>
      <c r="P155" s="34" t="str">
        <f>"Balance at          31 Aug "&amp;RIGHT('Version control'!$A$1,4)+1 &amp;"          £'000"</f>
        <v>Balance at          31 Aug 2027          £'000</v>
      </c>
      <c r="R155" s="192" t="s">
        <v>114</v>
      </c>
      <c r="S155" s="176" t="s">
        <v>97</v>
      </c>
      <c r="T155" s="177" t="s">
        <v>98</v>
      </c>
      <c r="U155" s="177" t="s">
        <v>99</v>
      </c>
      <c r="V155" s="178" t="s">
        <v>100</v>
      </c>
      <c r="W155" s="178" t="s">
        <v>101</v>
      </c>
      <c r="X155" s="177" t="s">
        <v>102</v>
      </c>
      <c r="Y155" s="179" t="s">
        <v>103</v>
      </c>
      <c r="Z155" s="179" t="s">
        <v>104</v>
      </c>
    </row>
    <row r="156" spans="1:26" s="342" customFormat="1" ht="103.4" customHeight="1" x14ac:dyDescent="0.35">
      <c r="A156" s="143" t="s">
        <v>280</v>
      </c>
      <c r="B156" s="131">
        <v>700</v>
      </c>
      <c r="C156" s="436" t="s">
        <v>116</v>
      </c>
      <c r="D156" s="347" t="s">
        <v>1498</v>
      </c>
      <c r="E156" s="128" t="str">
        <f>IF(OR(S156&lt;&gt;"",T156&lt;&gt;"",U156&lt;&gt;"",Z156&lt;&gt;""),"Check - see columns S-Z for info","")</f>
        <v>Check - see columns S-Z for info</v>
      </c>
      <c r="F156" s="343"/>
      <c r="G156" s="321">
        <f>SUMIF('Prior year BFR download report'!$A:$A,$B156,'Prior year BFR download report'!F:F)</f>
        <v>0</v>
      </c>
      <c r="H156" s="321">
        <f>SUMIF('Prior year BFR download report'!$A:$A,$B156,'Prior year BFR download report'!G:G)</f>
        <v>0</v>
      </c>
      <c r="I156" s="343"/>
      <c r="J156" s="343"/>
      <c r="K156" s="321"/>
      <c r="L156" s="321"/>
      <c r="M156" s="321"/>
      <c r="O156" s="321"/>
      <c r="P156" s="321"/>
      <c r="R156" s="363" t="s">
        <v>281</v>
      </c>
      <c r="S156" s="274" t="str">
        <f>IF(OR(G156-ROUND(G156,)&lt;&gt;0,H156-ROUND(H156,)&lt;&gt;0,K156-ROUND(K156,)&lt;&gt;0,L156-ROUND(L156,)&lt;&gt;0,M156-ROUND(M156,)&lt;&gt;0,O156-ROUND(O156,)&lt;&gt;0,P156-ROUND(P156,)&lt;&gt;0),"No decimal places, letters &amp; odd characters allowed","")</f>
        <v/>
      </c>
      <c r="T156" s="190" t="str">
        <f>IF(OR(G156&lt;V156,H156&lt;V156,K156&lt;V156,L156&lt;V156,M156&lt;V156,O156&lt;V156,P156&lt;V156),"Input value is below the minimum value allowed","")</f>
        <v/>
      </c>
      <c r="U156" s="190" t="str">
        <f>IF(OR(G156&gt;W156,H156&gt;W156,K156&gt;W156,L156&gt;W156,M156&gt;W156,O156&gt;W156,P156&gt;W156),"Input value is above the maximum value allowed","")</f>
        <v/>
      </c>
      <c r="V156" s="334">
        <f>VLOOKUP($B156,'Min max table'!$A$6:$C$209,2,FALSE)</f>
        <v>0</v>
      </c>
      <c r="W156" s="334">
        <f>VLOOKUP($B156,'Min max table'!$A$6:$C$206,3,FALSE)</f>
        <v>400000</v>
      </c>
      <c r="X156" s="370" t="s">
        <v>282</v>
      </c>
      <c r="Y156" s="223" t="str">
        <f>IF(Z156="","","Refer to "&amp;X156&amp;" in the validations table")</f>
        <v>Refer to QU15 in the validations table</v>
      </c>
      <c r="Z156" s="143" t="str">
        <f>IF(AND(ISBLANK('Validations table'!E23),SUM(G156:H156,K156:M156,O156:P156)=0), "Check that the figures you've entered for Cash at bank and in hand (700) are correct. If so,  explain why your bank balances are all NIL","")</f>
        <v>Check that the figures you've entered for Cash at bank and in hand (700) are correct. If so,  explain why your bank balances are all NIL</v>
      </c>
    </row>
    <row r="157" spans="1:26" s="342" customFormat="1" ht="78" customHeight="1" x14ac:dyDescent="0.35">
      <c r="A157" s="143" t="s">
        <v>283</v>
      </c>
      <c r="B157" s="131">
        <v>701</v>
      </c>
      <c r="C157" s="436" t="s">
        <v>116</v>
      </c>
      <c r="D157" s="347" t="s">
        <v>1498</v>
      </c>
      <c r="E157" s="128" t="str">
        <f>IF(OR(S157&lt;&gt;"",T157&lt;&gt;"",U157&lt;&gt;"",Z157&lt;&gt;""),"Check - see columns S-Z for info","")</f>
        <v>Check - see columns S-Z for info</v>
      </c>
      <c r="F157" s="343"/>
      <c r="G157" s="321">
        <f>-SUMIF('Prior year BFR download report'!$A:$A,$B157,'Prior year BFR download report'!F:F)</f>
        <v>0</v>
      </c>
      <c r="H157" s="321">
        <f>-SUMIF('Prior year BFR download report'!$A:$A,$B157,'Prior year BFR download report'!G:G)</f>
        <v>0</v>
      </c>
      <c r="I157" s="343"/>
      <c r="J157" s="343"/>
      <c r="K157" s="321"/>
      <c r="L157" s="321"/>
      <c r="M157" s="321"/>
      <c r="O157" s="321"/>
      <c r="P157" s="321"/>
      <c r="R157" s="363" t="s">
        <v>284</v>
      </c>
      <c r="S157" s="274" t="str">
        <f>IF(OR(G157-ROUND(G157,)&lt;&gt;0,H157-ROUND(H157,)&lt;&gt;0,K157-ROUND(K157,)&lt;&gt;0,L157-ROUND(L157,)&lt;&gt;0,M157-ROUND(M157,)&lt;&gt;0,O157-ROUND(O157,)&lt;&gt;0,P157-ROUND(P157,)&lt;&gt;0),"No decimal places, letters &amp; odd characters allowed","")</f>
        <v/>
      </c>
      <c r="T157" s="190" t="str">
        <f>IF(OR(G157&lt;V157,H157&lt;V157,K157&lt;V157,L157&lt;V157,M157&lt;V157,O157&lt;V157,P157&lt;V157),"Input value is below the minimum value allowed","")</f>
        <v/>
      </c>
      <c r="U157" s="190" t="str">
        <f>IF(OR(G157&gt;W157,H157&gt;W157,K157&gt;W157,L157&gt;W157,M157&gt;W157,O157&gt;W157,P157&gt;W157),"Input value is above the maximum value allowed","")</f>
        <v/>
      </c>
      <c r="V157" s="272">
        <f>VLOOKUP($B157,'Min max table'!$A$6:$C$209,2,FALSE)</f>
        <v>-200000</v>
      </c>
      <c r="W157" s="334">
        <f>VLOOKUP($B157,'Min max table'!$A$6:$C$206,3,FALSE)</f>
        <v>0</v>
      </c>
      <c r="X157" s="370" t="s">
        <v>285</v>
      </c>
      <c r="Y157" s="223" t="str">
        <f>IF(Z157="","","Refer to "&amp;X157&amp;" in the validations table")</f>
        <v>Refer to QU16 in the validations table</v>
      </c>
      <c r="Z157" s="143" t="str">
        <f>IF(AND(ISBLANK('Validations table'!E24),SUM(G157:H157,K157:M157,O157:P157)=0), "Enter your overdraft balances, if not applicable, please state this. If your overdraft was cleared before the balance dates then provide a brief explanation.","")</f>
        <v>Enter your overdraft balances, if not applicable, please state this. If your overdraft was cleared before the balance dates then provide a brief explanation.</v>
      </c>
    </row>
    <row r="158" spans="1:26" ht="90" customHeight="1" x14ac:dyDescent="0.6">
      <c r="A158" s="261" t="s">
        <v>286</v>
      </c>
      <c r="B158" s="77"/>
      <c r="C158" s="77"/>
      <c r="D158" s="318"/>
      <c r="E158" s="78"/>
      <c r="K158" s="79"/>
      <c r="L158" s="79"/>
      <c r="M158" s="79"/>
      <c r="O158" s="79"/>
      <c r="P158" s="81"/>
      <c r="Q158" s="80"/>
      <c r="R158" s="73"/>
      <c r="S158" s="75"/>
      <c r="T158" s="75"/>
      <c r="U158" s="75"/>
      <c r="V158" s="75"/>
      <c r="W158" s="75"/>
      <c r="X158" s="82"/>
      <c r="Y158" s="353"/>
      <c r="Z158" s="70"/>
    </row>
    <row r="159" spans="1:26" ht="18.649999999999999" customHeight="1" x14ac:dyDescent="0.35">
      <c r="A159" s="251" t="s">
        <v>1689</v>
      </c>
      <c r="B159" s="77"/>
      <c r="C159" s="77"/>
      <c r="D159" s="318"/>
      <c r="E159" s="78"/>
      <c r="F159" s="59"/>
      <c r="G159" s="20"/>
      <c r="H159" s="57"/>
      <c r="I159" s="57"/>
      <c r="K159" s="10"/>
      <c r="R159" s="8"/>
      <c r="S159" s="12"/>
      <c r="T159" s="8"/>
      <c r="V159" s="13"/>
      <c r="X159" s="8"/>
      <c r="Y159" s="341"/>
    </row>
    <row r="160" spans="1:26" s="342" customFormat="1" ht="62" x14ac:dyDescent="0.35">
      <c r="A160" s="29" t="s">
        <v>113</v>
      </c>
      <c r="B160" s="113" t="s">
        <v>92</v>
      </c>
      <c r="C160" s="113" t="s">
        <v>93</v>
      </c>
      <c r="D160" s="177" t="s">
        <v>94</v>
      </c>
      <c r="E160" s="114" t="s">
        <v>95</v>
      </c>
      <c r="F160" s="380"/>
      <c r="G160" s="34" t="str">
        <f>$G$17</f>
        <v>Prior Year       Actuals                       Sep 24 - Mar 25 £'000</v>
      </c>
      <c r="H160" s="34" t="str">
        <f>$H$17</f>
        <v>Prior Year       Calculated                       Apr 25 - Aug 25 £'000</v>
      </c>
      <c r="I160" s="34" t="str">
        <f>$I$17</f>
        <v>TOTAL                 2024/25            £'000</v>
      </c>
      <c r="J160" s="117"/>
      <c r="K160" s="34" t="str">
        <f>$K$17</f>
        <v>Current Year       Actuals                       Sep 25 - Mar 26 £'000</v>
      </c>
      <c r="L160" s="34" t="str">
        <f>$L$17</f>
        <v>Current Year       Calculated                       Apr 26 - Aug 26 £'000</v>
      </c>
      <c r="M160" s="34" t="str">
        <f>$M$17</f>
        <v>TOTAL            2025/26            £'000</v>
      </c>
      <c r="N160" s="118"/>
      <c r="O160" s="34" t="str">
        <f>$O$17</f>
        <v>Forecast Year                              Sep 26 - Mar 27 £'000</v>
      </c>
      <c r="P160" s="34" t="str">
        <f>$P$17</f>
        <v>Forecast Year       Calculated                       Apr 27 - Aug 27 £'000</v>
      </c>
      <c r="Q160" s="34" t="str">
        <f>$Q$17</f>
        <v>TOTAL              2026/27                   £'000</v>
      </c>
      <c r="R160" s="192" t="s">
        <v>114</v>
      </c>
      <c r="S160" s="176" t="s">
        <v>97</v>
      </c>
      <c r="T160" s="177" t="s">
        <v>98</v>
      </c>
      <c r="U160" s="177" t="s">
        <v>99</v>
      </c>
      <c r="V160" s="178" t="s">
        <v>100</v>
      </c>
      <c r="W160" s="178" t="s">
        <v>101</v>
      </c>
      <c r="X160" s="177" t="s">
        <v>102</v>
      </c>
      <c r="Y160" s="179" t="s">
        <v>103</v>
      </c>
      <c r="Z160" s="179" t="s">
        <v>104</v>
      </c>
    </row>
    <row r="161" spans="1:26" s="342" customFormat="1" ht="56.9" customHeight="1" x14ac:dyDescent="0.35">
      <c r="A161" s="143" t="s">
        <v>287</v>
      </c>
      <c r="B161" s="131">
        <v>710</v>
      </c>
      <c r="C161" s="436" t="s">
        <v>116</v>
      </c>
      <c r="D161" s="347" t="s">
        <v>1498</v>
      </c>
      <c r="E161" s="128" t="str">
        <f>IF(OR(S161&lt;&gt;"",T161&lt;&gt;"",U161&lt;&gt;"",Z161&lt;&gt;""),"Check - see columns S-Z for info","")</f>
        <v/>
      </c>
      <c r="F161" s="380"/>
      <c r="G161" s="321">
        <f>ROUND(IF($B$5="BFR",SUMIF('Prior year BFR download report'!A:A,B161,'Prior year BFR download report'!G:G),0),0)</f>
        <v>0</v>
      </c>
      <c r="H161" s="254">
        <f t="shared" ref="H161:H162" si="81">+I161-G161</f>
        <v>0</v>
      </c>
      <c r="I161" s="321"/>
      <c r="J161" s="343"/>
      <c r="K161" s="321"/>
      <c r="L161" s="254">
        <f>+M161-K161</f>
        <v>0</v>
      </c>
      <c r="M161" s="321"/>
      <c r="N161" s="350"/>
      <c r="O161" s="321"/>
      <c r="P161" s="254">
        <f>+Q161-O161</f>
        <v>0</v>
      </c>
      <c r="Q161" s="321"/>
      <c r="R161" s="363" t="s">
        <v>288</v>
      </c>
      <c r="S161" s="274" t="str">
        <f>IF(OR(G161-ROUND(G161,)&lt;&gt;0,I161-ROUND(I161,)&lt;&gt;0,K161-ROUND(K161,)&lt;&gt;0,M161-ROUND(M161,)&lt;&gt;0,O161-ROUND(O161,)&lt;&gt;0,Q161-ROUND(Q161,)&lt;&gt;0),"No decimal places, letters &amp; odd characters allowed","")</f>
        <v/>
      </c>
      <c r="T161" s="190" t="str">
        <f>IF(OR(G161&lt;V161,I161&lt;V161,K161&lt;V161,M161&lt;V161,O161&lt;V161,Q161&lt;V161),"Input value is below the minimum value allowed","")</f>
        <v/>
      </c>
      <c r="U161" s="190" t="str">
        <f>IF(OR(G161&gt;W161,H161&gt;W161,I161&gt;W161,K161&gt;W161,L161&gt;W161,M161&gt;W161,O161&gt;W161,P161&gt;W161,Q161&gt;W161),"Input value is above the maximum value allowed","")</f>
        <v/>
      </c>
      <c r="V161" s="272">
        <f>VLOOKUP($B161,'Min max table'!$A$6:$C$209,2,FALSE)</f>
        <v>-100000</v>
      </c>
      <c r="W161" s="334">
        <f>VLOOKUP($B161,'Min max table'!$A$6:$C$206,3,FALSE)</f>
        <v>100000</v>
      </c>
      <c r="X161" s="351" t="s">
        <v>16</v>
      </c>
      <c r="Y161" s="351" t="s">
        <v>16</v>
      </c>
      <c r="Z161" s="351"/>
    </row>
    <row r="162" spans="1:26" s="342" customFormat="1" ht="69.650000000000006" customHeight="1" x14ac:dyDescent="0.35">
      <c r="A162" s="143" t="s">
        <v>289</v>
      </c>
      <c r="B162" s="131">
        <v>712</v>
      </c>
      <c r="C162" s="436" t="s">
        <v>116</v>
      </c>
      <c r="D162" s="347" t="s">
        <v>1498</v>
      </c>
      <c r="E162" s="128" t="str">
        <f>IF(OR(S162&lt;&gt;"",T162&lt;&gt;"",U162&lt;&gt;"",Z162&lt;&gt;""),"Check - see columns S-Z for info","")</f>
        <v/>
      </c>
      <c r="F162" s="380"/>
      <c r="G162" s="321">
        <f>ROUND(IF($B$5="BFR",SUMIF('Prior year BFR download report'!A:A,B162,'Prior year BFR download report'!G:G),0),0)</f>
        <v>0</v>
      </c>
      <c r="H162" s="254">
        <f t="shared" si="81"/>
        <v>0</v>
      </c>
      <c r="I162" s="321"/>
      <c r="J162" s="343"/>
      <c r="K162" s="321"/>
      <c r="L162" s="254">
        <f>+M162-K162</f>
        <v>0</v>
      </c>
      <c r="M162" s="321"/>
      <c r="N162" s="350"/>
      <c r="O162" s="321"/>
      <c r="P162" s="254">
        <f>+Q162-O162</f>
        <v>0</v>
      </c>
      <c r="Q162" s="321"/>
      <c r="R162" s="363" t="s">
        <v>290</v>
      </c>
      <c r="S162" s="274" t="str">
        <f>IF(OR(G162-ROUND(G162,)&lt;&gt;0,I162-ROUND(I162,)&lt;&gt;0,K162-ROUND(K162,)&lt;&gt;0,M162-ROUND(M162,)&lt;&gt;0,O162-ROUND(O162,)&lt;&gt;0,Q162-ROUND(Q162,)&lt;&gt;0),"No decimal places, letters &amp; odd characters allowed","")</f>
        <v/>
      </c>
      <c r="T162" s="190" t="str">
        <f>IF(OR(G162&lt;V162,I162&lt;V162,K162&lt;V162,M162&lt;V162,O162&lt;V162,Q162&lt;V162),"Input value is below the minimum value allowed","")</f>
        <v/>
      </c>
      <c r="U162" s="190" t="str">
        <f>IF(OR(G162&gt;W162,H162&gt;W162,I162&gt;W162,K162&gt;W162,L162&gt;W162,M162&gt;W162,O162&gt;W162,P162&gt;W162,Q162&gt;W162),"Input value is above the maximum value allowed","")</f>
        <v/>
      </c>
      <c r="V162" s="272">
        <f>VLOOKUP($B162,'Min max table'!$A$6:$C$209,2,FALSE)</f>
        <v>-100000</v>
      </c>
      <c r="W162" s="334">
        <f>VLOOKUP($B162,'Min max table'!$A$6:$C$206,3,FALSE)</f>
        <v>400000</v>
      </c>
      <c r="X162" s="376" t="s">
        <v>291</v>
      </c>
      <c r="Y162" s="223" t="str">
        <f>IF(Z162="","","Refer to "&amp;X162&amp;" in the validations table")</f>
        <v/>
      </c>
      <c r="Z162" s="143" t="str">
        <f>IF(AND(ISBLANK('Validations table'!E28),OR(G162&lt;&gt;0,H162&lt;&gt;0,I162&lt;&gt;0,K162&lt;&gt;0,L162&lt;&gt;0,M162&lt;&gt;0,O162&lt;&gt;0,P162&lt;&gt;0,Q162&lt;&gt;0)), "Provide details of your impairments.","")</f>
        <v/>
      </c>
    </row>
    <row r="163" spans="1:26" ht="90" customHeight="1" x14ac:dyDescent="0.6">
      <c r="A163" s="261" t="s">
        <v>292</v>
      </c>
      <c r="B163" s="77"/>
      <c r="C163" s="77"/>
      <c r="D163" s="64"/>
      <c r="E163" s="78"/>
      <c r="I163" s="88"/>
      <c r="J163" s="88"/>
      <c r="K163" s="88"/>
      <c r="L163" s="88"/>
      <c r="M163" s="88"/>
      <c r="N163" s="88"/>
      <c r="O163" s="88"/>
      <c r="P163" s="88"/>
      <c r="Q163" s="88"/>
      <c r="R163" s="68"/>
      <c r="S163" s="73"/>
      <c r="T163" s="73"/>
      <c r="U163" s="73"/>
      <c r="V163" s="75"/>
      <c r="W163" s="75"/>
      <c r="X163" s="83"/>
      <c r="Y163" s="381"/>
    </row>
    <row r="164" spans="1:26" ht="18.649999999999999" customHeight="1" x14ac:dyDescent="0.35">
      <c r="A164" s="251" t="s">
        <v>1690</v>
      </c>
      <c r="B164" s="77"/>
      <c r="C164" s="77"/>
      <c r="D164" s="64"/>
      <c r="E164" s="78"/>
      <c r="F164" s="59"/>
      <c r="G164" s="20"/>
      <c r="H164" s="57"/>
      <c r="I164" s="57"/>
      <c r="K164" s="10"/>
      <c r="R164" s="8"/>
      <c r="S164" s="12"/>
      <c r="T164" s="8"/>
      <c r="V164" s="13"/>
      <c r="X164" s="8"/>
      <c r="Y164" s="341"/>
    </row>
    <row r="165" spans="1:26" ht="18.649999999999999" customHeight="1" x14ac:dyDescent="0.35">
      <c r="A165" s="251" t="s">
        <v>1691</v>
      </c>
      <c r="B165" s="77"/>
      <c r="C165" s="77"/>
      <c r="D165" s="64"/>
      <c r="E165" s="78"/>
      <c r="F165" s="59"/>
      <c r="G165" s="20"/>
      <c r="H165" s="57"/>
      <c r="I165" s="57"/>
      <c r="K165" s="10"/>
      <c r="R165" s="8"/>
      <c r="S165" s="12"/>
      <c r="T165" s="8"/>
      <c r="V165" s="13"/>
      <c r="X165" s="8"/>
      <c r="Y165" s="341"/>
    </row>
    <row r="166" spans="1:26" s="342" customFormat="1" ht="46.5" x14ac:dyDescent="0.35">
      <c r="A166" s="233" t="s">
        <v>113</v>
      </c>
      <c r="B166" s="113" t="s">
        <v>92</v>
      </c>
      <c r="C166" s="113" t="s">
        <v>93</v>
      </c>
      <c r="D166" s="177" t="s">
        <v>94</v>
      </c>
      <c r="E166" s="114" t="s">
        <v>95</v>
      </c>
      <c r="F166" s="343"/>
      <c r="G166" s="34" t="str">
        <f>G155</f>
        <v>Balance at                 31 Aug 2024          £'000</v>
      </c>
      <c r="H166" s="34" t="str">
        <f>H155</f>
        <v>Balance at                 31 Mar 2025          £'000</v>
      </c>
      <c r="I166" s="343"/>
      <c r="J166" s="343"/>
      <c r="K166" s="34" t="str">
        <f>K155</f>
        <v>Balance at            31 Aug 2025          £'000</v>
      </c>
      <c r="L166" s="34" t="str">
        <f>L155</f>
        <v>Balance at           31 Mar 2026          £'000</v>
      </c>
      <c r="M166" s="34" t="str">
        <f>M155</f>
        <v>Balance at           31 Aug 2026          £'000</v>
      </c>
      <c r="N166" s="122"/>
      <c r="O166" s="34" t="str">
        <f>O155</f>
        <v>Balance at          31 Mar 2027          £'000</v>
      </c>
      <c r="P166" s="34" t="str">
        <f>P155</f>
        <v>Balance at          31 Aug 2027          £'000</v>
      </c>
      <c r="R166" s="192" t="s">
        <v>114</v>
      </c>
      <c r="S166" s="176" t="s">
        <v>97</v>
      </c>
      <c r="T166" s="177" t="s">
        <v>98</v>
      </c>
      <c r="U166" s="177" t="s">
        <v>99</v>
      </c>
      <c r="V166" s="178" t="s">
        <v>100</v>
      </c>
      <c r="W166" s="178" t="s">
        <v>101</v>
      </c>
      <c r="X166" s="177" t="s">
        <v>102</v>
      </c>
      <c r="Y166" s="179" t="s">
        <v>103</v>
      </c>
      <c r="Z166" s="179" t="s">
        <v>104</v>
      </c>
    </row>
    <row r="167" spans="1:26" s="342" customFormat="1" ht="60" customHeight="1" x14ac:dyDescent="0.35">
      <c r="A167" s="143" t="s">
        <v>292</v>
      </c>
      <c r="B167" s="152">
        <v>725</v>
      </c>
      <c r="C167" s="436" t="s">
        <v>116</v>
      </c>
      <c r="D167" s="347" t="s">
        <v>1498</v>
      </c>
      <c r="E167" s="128" t="str">
        <f>IF(OR(S167&lt;&gt;"",T167&lt;&gt;"",U167&lt;&gt;"",Z167&lt;&gt;""),"Check - see columns S-Z for info","")</f>
        <v/>
      </c>
      <c r="F167" s="343"/>
      <c r="G167" s="321">
        <f>SUMIF('Prior year BFR download report'!$A:$A,$B167,'Prior year BFR download report'!F:F)</f>
        <v>0</v>
      </c>
      <c r="H167" s="321">
        <f>SUMIF('Prior year BFR download report'!$A:$A,$B167,'Prior year BFR download report'!G:G)</f>
        <v>0</v>
      </c>
      <c r="I167" s="343"/>
      <c r="J167" s="343"/>
      <c r="K167" s="321"/>
      <c r="L167" s="321"/>
      <c r="M167" s="321"/>
      <c r="O167" s="321"/>
      <c r="P167" s="321"/>
      <c r="R167" s="281" t="s">
        <v>293</v>
      </c>
      <c r="S167" s="143" t="str">
        <f>IF(OR(G167-ROUND(G167,)&lt;&gt;0,H167-ROUND(H167,)&lt;&gt;0,K167-ROUND(K167,)&lt;&gt;0,L167-ROUND(L167,)&lt;&gt;0,M167-ROUND(M167,)&lt;&gt;0,O167-ROUND(O167,)&lt;&gt;0,P167-ROUND(P167,)&lt;&gt;0),"No decimal places, letters &amp; odd characters allowed","")</f>
        <v/>
      </c>
      <c r="T167" s="190" t="str">
        <f>IF(OR(G167&lt;V167,H167&lt;V167,K167&lt;V167,L167&lt;V167,M167&lt;V167,O167&lt;V167,P167&lt;V167),"Input value is below the minimum value allowed","")</f>
        <v/>
      </c>
      <c r="U167" s="190" t="str">
        <f>IF(OR(G167&gt;W167,H167&gt;W167,K167&gt;W167,L167&gt;W167,M167&gt;W167,O167&gt;W167,P167&gt;W167),"Input value is above the maximum value allowed","")</f>
        <v/>
      </c>
      <c r="V167" s="334">
        <f>VLOOKUP($B167,'Min max table'!$A$6:$C$209,2,FALSE)</f>
        <v>0</v>
      </c>
      <c r="W167" s="334">
        <f>VLOOKUP($B167,'Min max table'!$A$6:$C$206,3,FALSE)</f>
        <v>400000</v>
      </c>
      <c r="X167" s="370" t="s">
        <v>294</v>
      </c>
      <c r="Y167" s="223" t="str">
        <f>IF(Z167="","","Refer to "&amp;X167&amp;" in the validations table")</f>
        <v/>
      </c>
      <c r="Z167" s="143" t="str">
        <f>IF(AND(ISBLANK('Validations table'!E25),OR(G167&lt;&gt;0,H167&lt;&gt;0,K167&lt;&gt;0,L167&lt;&gt;0,M167&lt;&gt;0,O167&lt;&gt;0,P167&lt;&gt;0)),"Provide details of your investments. If your investments were sold/paid back before the balance dates then provide a brief explanation.","")</f>
        <v/>
      </c>
    </row>
    <row r="168" spans="1:26" s="342" customFormat="1" ht="47.25" customHeight="1" x14ac:dyDescent="0.35">
      <c r="A168" s="123"/>
      <c r="B168" s="124"/>
      <c r="C168" s="124"/>
      <c r="D168" s="382"/>
      <c r="E168" s="125"/>
      <c r="F168" s="343"/>
      <c r="G168" s="116" t="str">
        <f>"Movements                       Sep "&amp;MID($I$17,25,2)&amp;" - Mar "&amp;MID($I$17,28,2) &amp;" £'000"</f>
        <v>Movements                       Sep 24 - Mar 25 £'000</v>
      </c>
      <c r="H168" s="116" t="str">
        <f>"Movements                       Apr "&amp;MID($I$17,28,2)&amp;" - Aug "&amp;MID($I$17,28,2) &amp;" £'000"</f>
        <v>Movements                       Apr 25 - Aug 25 £'000</v>
      </c>
      <c r="K168" s="116" t="str">
        <f>"Movements                       Sep "&amp;MID($M$17,20,2)&amp;" - Mar "&amp;MID($M$17,23,2) &amp;" £'000"</f>
        <v>Movements                       Sep 25 - Mar 26 £'000</v>
      </c>
      <c r="L168" s="116" t="str">
        <f>"Movements                       Apr "&amp;MID($M$17,23,2)&amp;" - Aug "&amp;MID($M$17,23,2) &amp;" £'000"</f>
        <v>Movements                       Apr 26 - Aug 26 £'000</v>
      </c>
      <c r="O168" s="116" t="str">
        <f>"Movements                       Sep "&amp;MID($Q$17,22,2)&amp;" - Mar "&amp;MID($Q$17,25,2) &amp;" £'000"</f>
        <v>Movements                       Sep 26 - Mar 27 £'000</v>
      </c>
      <c r="P168" s="116" t="str">
        <f>"Movements                       Apr "&amp;MID($Q$17,25,2)&amp;" - Aug "&amp;MID($Q$17,25,2) &amp;" £'000"</f>
        <v>Movements                       Apr 27 - Aug 27 £'000</v>
      </c>
      <c r="R168" s="383"/>
      <c r="S168" s="132"/>
      <c r="T168" s="132"/>
      <c r="U168" s="132"/>
      <c r="V168" s="372"/>
      <c r="W168" s="372"/>
      <c r="X168" s="378"/>
      <c r="Y168" s="366"/>
      <c r="Z168" s="366"/>
    </row>
    <row r="169" spans="1:26" s="342" customFormat="1" ht="60" customHeight="1" x14ac:dyDescent="0.35">
      <c r="A169" s="143" t="s">
        <v>295</v>
      </c>
      <c r="B169" s="152">
        <v>730</v>
      </c>
      <c r="C169" s="436" t="s">
        <v>116</v>
      </c>
      <c r="D169" s="347" t="s">
        <v>1498</v>
      </c>
      <c r="E169" s="128" t="str">
        <f>IF(OR(S169&lt;&gt;"",T169&lt;&gt;"",U169&lt;&gt;"",Z169&lt;&gt;""),"Check - see columns S-Z for info","")</f>
        <v/>
      </c>
      <c r="F169" s="343"/>
      <c r="G169" s="321">
        <f>SUMIF('Prior year BFR download report'!$A:$A,$B169,'Prior year BFR download report'!F:F)</f>
        <v>0</v>
      </c>
      <c r="H169" s="321">
        <f>SUMIF('Prior year BFR download report'!$A:$A,$B169,'Prior year BFR download report'!G:G)</f>
        <v>0</v>
      </c>
      <c r="K169" s="321"/>
      <c r="L169" s="321"/>
      <c r="O169" s="321"/>
      <c r="P169" s="321"/>
      <c r="R169" s="384" t="s">
        <v>296</v>
      </c>
      <c r="S169" s="143" t="str">
        <f>IF(OR(G169-ROUND(G169,)&lt;&gt;0,H169-ROUND(H169,)&lt;&gt;0,K169-ROUND(K169,)&lt;&gt;0,L169-ROUND(L169,)&lt;&gt;0,O169-ROUND(O169,)&lt;&gt;0,P169-ROUND(P169,)&lt;&gt;0),"No decimal places, letters &amp; odd characters allowed","")</f>
        <v/>
      </c>
      <c r="T169" s="190" t="str">
        <f>IF(OR(G169&lt;V169,H169&lt;V169,K169&lt;V169,L169&lt;V169,O169&lt;V169,P169&lt;V169),"Input value is below the minimum value allowed","")</f>
        <v/>
      </c>
      <c r="U169" s="190" t="str">
        <f>IF(OR(G169&gt;W169,H169&gt;W169,K169&gt;W169,L169&gt;W169,O169&gt;W169,P169&gt;W169),"Input value is above the maximum value allowed","")</f>
        <v/>
      </c>
      <c r="V169" s="334">
        <f>VLOOKUP($B169,'Min max table'!$A$6:$C$209,2,FALSE)</f>
        <v>0</v>
      </c>
      <c r="W169" s="334">
        <f>VLOOKUP($B169,'Min max table'!$A$6:$C$206,3,FALSE)</f>
        <v>100000</v>
      </c>
      <c r="X169" s="351" t="s">
        <v>16</v>
      </c>
      <c r="Y169" s="351" t="s">
        <v>16</v>
      </c>
      <c r="Z169" s="351"/>
    </row>
    <row r="170" spans="1:26" ht="90" customHeight="1" x14ac:dyDescent="0.6">
      <c r="A170" s="261" t="s">
        <v>297</v>
      </c>
      <c r="B170" s="77"/>
      <c r="C170" s="77"/>
      <c r="D170" s="64"/>
      <c r="E170" s="78"/>
      <c r="I170" s="88"/>
      <c r="J170" s="88"/>
      <c r="K170" s="88"/>
      <c r="L170" s="88"/>
      <c r="M170" s="88"/>
      <c r="N170" s="88"/>
      <c r="O170" s="88"/>
      <c r="P170" s="88"/>
      <c r="Q170" s="88"/>
      <c r="R170" s="68"/>
      <c r="S170" s="73"/>
      <c r="T170" s="73"/>
      <c r="U170" s="73"/>
      <c r="V170" s="75"/>
      <c r="W170" s="75"/>
      <c r="X170" s="83"/>
      <c r="Y170" s="381"/>
    </row>
    <row r="171" spans="1:26" ht="18.649999999999999" customHeight="1" x14ac:dyDescent="0.35">
      <c r="A171" s="251" t="s">
        <v>1693</v>
      </c>
      <c r="B171" s="77"/>
      <c r="C171" s="77"/>
      <c r="D171" s="64"/>
      <c r="E171" s="78"/>
      <c r="F171" s="59"/>
      <c r="G171" s="20"/>
      <c r="H171" s="57"/>
      <c r="I171" s="57"/>
      <c r="K171" s="10"/>
      <c r="R171" s="8"/>
      <c r="S171" s="12"/>
      <c r="T171" s="8"/>
      <c r="V171" s="13"/>
      <c r="X171" s="8"/>
      <c r="Y171" s="341"/>
    </row>
    <row r="172" spans="1:26" ht="35.25" customHeight="1" x14ac:dyDescent="0.35">
      <c r="A172" s="432" t="s">
        <v>1692</v>
      </c>
      <c r="B172" s="77"/>
      <c r="C172" s="77"/>
      <c r="D172" s="64"/>
      <c r="E172" s="78"/>
      <c r="F172" s="59"/>
      <c r="G172" s="20"/>
      <c r="H172" s="57"/>
      <c r="I172" s="57"/>
      <c r="K172" s="10"/>
      <c r="R172" s="8"/>
      <c r="S172" s="12"/>
      <c r="T172" s="8"/>
      <c r="V172" s="13"/>
      <c r="X172" s="8"/>
      <c r="Y172" s="341"/>
    </row>
    <row r="173" spans="1:26" s="342" customFormat="1" ht="46.5" x14ac:dyDescent="0.35">
      <c r="A173" s="233" t="s">
        <v>113</v>
      </c>
      <c r="B173" s="113" t="s">
        <v>92</v>
      </c>
      <c r="C173" s="113" t="s">
        <v>93</v>
      </c>
      <c r="D173" s="177" t="s">
        <v>94</v>
      </c>
      <c r="E173" s="114" t="s">
        <v>95</v>
      </c>
      <c r="F173" s="343"/>
      <c r="G173" s="34" t="str">
        <f>$G$166</f>
        <v>Balance at                 31 Aug 2024          £'000</v>
      </c>
      <c r="H173" s="34" t="str">
        <f>$H$166</f>
        <v>Balance at                 31 Mar 2025          £'000</v>
      </c>
      <c r="I173" s="343"/>
      <c r="J173" s="343"/>
      <c r="K173" s="34" t="str">
        <f>$K$166</f>
        <v>Balance at            31 Aug 2025          £'000</v>
      </c>
      <c r="L173" s="34" t="str">
        <f>$L$166</f>
        <v>Balance at           31 Mar 2026          £'000</v>
      </c>
      <c r="M173" s="34" t="str">
        <f>$M$166</f>
        <v>Balance at           31 Aug 2026          £'000</v>
      </c>
      <c r="N173" s="122"/>
      <c r="O173" s="34" t="str">
        <f>$O$166</f>
        <v>Balance at          31 Mar 2027          £'000</v>
      </c>
      <c r="P173" s="136"/>
      <c r="Q173" s="137"/>
      <c r="R173" s="192" t="s">
        <v>114</v>
      </c>
      <c r="S173" s="176" t="s">
        <v>97</v>
      </c>
      <c r="T173" s="177" t="s">
        <v>98</v>
      </c>
      <c r="U173" s="177" t="s">
        <v>99</v>
      </c>
      <c r="V173" s="178" t="s">
        <v>100</v>
      </c>
      <c r="W173" s="178" t="s">
        <v>101</v>
      </c>
      <c r="X173" s="177" t="s">
        <v>102</v>
      </c>
      <c r="Y173" s="179" t="s">
        <v>103</v>
      </c>
      <c r="Z173" s="179" t="s">
        <v>104</v>
      </c>
    </row>
    <row r="174" spans="1:26" s="342" customFormat="1" ht="81.650000000000006" customHeight="1" x14ac:dyDescent="0.35">
      <c r="A174" s="148" t="s">
        <v>298</v>
      </c>
      <c r="B174" s="151">
        <v>780</v>
      </c>
      <c r="C174" s="436" t="s">
        <v>116</v>
      </c>
      <c r="D174" s="347" t="s">
        <v>1498</v>
      </c>
      <c r="E174" s="128" t="str">
        <f>IF(OR(S174&lt;&gt;"",T174&lt;&gt;"",U174&lt;&gt;"",Z174&lt;&gt;""),"Check - see columns S-Z for info","")</f>
        <v/>
      </c>
      <c r="F174" s="343"/>
      <c r="G174" s="321">
        <f>SUMIF('Prior year BFR download report'!$A:$A,$B174,'Prior year BFR download report'!F:F)</f>
        <v>0</v>
      </c>
      <c r="H174" s="254">
        <f>G178</f>
        <v>0</v>
      </c>
      <c r="I174" s="343"/>
      <c r="J174" s="343"/>
      <c r="K174" s="254">
        <f>H178</f>
        <v>0</v>
      </c>
      <c r="L174" s="254">
        <f>K178</f>
        <v>0</v>
      </c>
      <c r="M174" s="254">
        <f>L178</f>
        <v>0</v>
      </c>
      <c r="O174" s="254">
        <f>M178</f>
        <v>0</v>
      </c>
      <c r="Q174" s="137"/>
      <c r="R174" s="385" t="s">
        <v>299</v>
      </c>
      <c r="S174" s="129" t="str">
        <f>IF(OR(G174-ROUND(G174,)&lt;&gt;0,H174-ROUND(H174,)&lt;&gt;0,K174-ROUND(K174,)&lt;&gt;0,L174-ROUND(L174,)&lt;&gt;0,M174-ROUND(M174,)&lt;&gt;0,O174-ROUND(O174,)&lt;&gt;0),"No decimal places, letters &amp; odd characters allowed","")</f>
        <v/>
      </c>
      <c r="T174" s="129" t="str">
        <f>IF(OR(G174&lt;V174,H174&lt;V174,K174&lt;V174,L174&lt;V174,M174&lt;V174,O174&lt;V174),"Balance has exceeded the minimum value allowed","")</f>
        <v/>
      </c>
      <c r="U174" s="129" t="str">
        <f>IF(OR(G174&gt;W174,H174&gt;W174,K174&gt;W174,L174&gt;W174,M174&gt;W174,O174&gt;W174),"Balance has exceeded the maximum value allowed","")</f>
        <v/>
      </c>
      <c r="V174" s="334">
        <f>VLOOKUP($B174,'Min max table'!$A$6:$C$209,2,FALSE)</f>
        <v>0</v>
      </c>
      <c r="W174" s="334">
        <f>VLOOKUP($B174,'Min max table'!$A$6:$C$206,3,FALSE)</f>
        <v>100000</v>
      </c>
      <c r="X174" s="386" t="s">
        <v>16</v>
      </c>
      <c r="Y174" s="386" t="s">
        <v>16</v>
      </c>
      <c r="Z174" s="386"/>
    </row>
    <row r="175" spans="1:26" s="342" customFormat="1" ht="69.650000000000006" customHeight="1" x14ac:dyDescent="0.35">
      <c r="A175" s="126"/>
      <c r="B175" s="121"/>
      <c r="C175" s="121"/>
      <c r="D175" s="341"/>
      <c r="E175" s="125"/>
      <c r="F175" s="343"/>
      <c r="G175" s="116" t="str">
        <f>"Movements to                     31 Mar "&amp;MID($I$17,28,2) &amp;"         £'000"</f>
        <v>Movements to                     31 Mar 25         £'000</v>
      </c>
      <c r="H175" s="116" t="str">
        <f>"Movements to                    31 Aug "&amp;MID($I$17,28,2) &amp;"          £'000"</f>
        <v>Movements to                    31 Aug 25          £'000</v>
      </c>
      <c r="K175" s="116" t="str">
        <f>"Movements to                     31 Mar "&amp;MID($M$17,23,2) &amp;"       £'000"</f>
        <v>Movements to                     31 Mar 26       £'000</v>
      </c>
      <c r="L175" s="116" t="str">
        <f>"Movements to                     31 Aug "&amp;MID($M$17,23,2) &amp;"       £'000"</f>
        <v>Movements to                     31 Aug 26       £'000</v>
      </c>
      <c r="M175" s="116" t="str">
        <f>"Movements to                     31 Mar "&amp;MID($M$17,23,2)+1 &amp;"       £'000"</f>
        <v>Movements to                     31 Mar 27       £'000</v>
      </c>
      <c r="N175" s="357"/>
      <c r="O175" s="116" t="str">
        <f>"Movements to                       31 Aug "&amp;MID($Q$17,25,2) &amp;"       £'000"</f>
        <v>Movements to                       31 Aug 27       £'000</v>
      </c>
      <c r="R175" s="387"/>
      <c r="S175" s="132"/>
      <c r="T175" s="132"/>
      <c r="U175" s="132"/>
      <c r="V175" s="372"/>
      <c r="W175" s="372"/>
      <c r="X175" s="388"/>
      <c r="Y175" s="389"/>
      <c r="Z175" s="389"/>
    </row>
    <row r="176" spans="1:26" s="342" customFormat="1" ht="75" customHeight="1" x14ac:dyDescent="0.35">
      <c r="A176" s="143" t="s">
        <v>300</v>
      </c>
      <c r="B176" s="152">
        <v>785</v>
      </c>
      <c r="C176" s="436" t="s">
        <v>116</v>
      </c>
      <c r="D176" s="347" t="s">
        <v>1498</v>
      </c>
      <c r="E176" s="128" t="str">
        <f>IF(OR(S176&lt;&gt;"",T176&lt;&gt;"",U176&lt;&gt;"",Z176&lt;&gt;""),"Check - see columns S-Z for info","")</f>
        <v/>
      </c>
      <c r="F176" s="343"/>
      <c r="G176" s="321">
        <f>SUMIF('Prior year BFR download report'!$A:$A,$B176,'Prior year BFR download report'!F:F)</f>
        <v>0</v>
      </c>
      <c r="H176" s="321"/>
      <c r="I176" s="343"/>
      <c r="J176" s="343"/>
      <c r="K176" s="321"/>
      <c r="L176" s="321"/>
      <c r="M176" s="321"/>
      <c r="O176" s="321"/>
      <c r="R176" s="385" t="s">
        <v>301</v>
      </c>
      <c r="S176" s="129" t="str">
        <f>IF(OR(G176-ROUND(G176,)&lt;&gt;0,H176-ROUND(H176,)&lt;&gt;0,K176-ROUND(K176,)&lt;&gt;0,L176-ROUND(L176,)&lt;&gt;0,M176-ROUND(M176,)&lt;&gt;0,O176-ROUND(O176,)&lt;&gt;0),"No decimal places, letters &amp; odd characters allowed","")</f>
        <v/>
      </c>
      <c r="T176" s="129" t="str">
        <f>IF(OR(G176&lt;V176,H176&lt;V176,K176&lt;V176,L176&lt;V176,M176&lt;V176,O176&lt;V176),"Balance has exceeded the minimum value allowed","")</f>
        <v/>
      </c>
      <c r="U176" s="129" t="str">
        <f>IF(OR(G176&gt;W176,H176&gt;W176,K176&gt;W176,L176&gt;W176,M176&gt;W176,O176&gt;W176),"Balance has exceeded the maximum value allowed","")</f>
        <v/>
      </c>
      <c r="V176" s="272">
        <f>VLOOKUP($B176,'Min max table'!$A$6:$C$209,2,FALSE)</f>
        <v>-100000</v>
      </c>
      <c r="W176" s="334">
        <f>VLOOKUP($B176,'Min max table'!$A$6:$C$206,3,FALSE)</f>
        <v>100000</v>
      </c>
      <c r="X176" s="390" t="s">
        <v>302</v>
      </c>
      <c r="Y176" s="280" t="str">
        <f>IF(Z176="","","Refer to "&amp;X176&amp;" in the validations table")</f>
        <v/>
      </c>
      <c r="Z176" s="129" t="str">
        <f>IF(AND(ISBLANK('Validations table'!E26),OR(G176&lt;&gt;0,H176&lt;&gt;0,K176&lt;&gt;0,L176&lt;&gt;0,M176&lt;&gt;0,O176&lt;&gt;0)), "Tell us about any loan movements.","")</f>
        <v/>
      </c>
    </row>
    <row r="177" spans="1:26" s="342" customFormat="1" ht="46.5" x14ac:dyDescent="0.35">
      <c r="A177" s="126"/>
      <c r="B177" s="121"/>
      <c r="C177" s="121"/>
      <c r="D177" s="341"/>
      <c r="E177" s="125"/>
      <c r="F177" s="343"/>
      <c r="G177" s="34" t="str">
        <f>"Balance c/f"&amp; CHAR(10) &amp;"31 Mar "&amp;MID($I$17,28,2) &amp;"       £'000"</f>
        <v>Balance c/f
31 Mar 25       £'000</v>
      </c>
      <c r="H177" s="34" t="str">
        <f>"Balance c/f"&amp; CHAR(10) &amp;"31 Aug "&amp;MID($I$17,28,2) &amp;"          £'000"</f>
        <v>Balance c/f
31 Aug 25          £'000</v>
      </c>
      <c r="I177" s="343"/>
      <c r="J177" s="343"/>
      <c r="K177" s="34" t="str">
        <f>"Balance c/f"&amp; CHAR(10) &amp;"31 Mar "&amp;MID($Q$17,22,2) &amp;"       £'000"</f>
        <v>Balance c/f
31 Mar 26       £'000</v>
      </c>
      <c r="L177" s="34" t="str">
        <f>"Balance c/f"&amp; CHAR(10) &amp;"31 Aug "&amp;MID($Q$17,22,2) &amp;"       £'000"</f>
        <v>Balance c/f
31 Aug 26       £'000</v>
      </c>
      <c r="M177" s="34" t="str">
        <f>"Balance c/f"&amp;CHAR(10)&amp;"31 Mar "&amp;MID($Q$17,22,2)+1 &amp;"       £'000"</f>
        <v>Balance c/f
31 Mar 27       £'000</v>
      </c>
      <c r="O177" s="34" t="str">
        <f>"Balance c/f"&amp; CHAR(10) &amp;"31 Aug "&amp;MID($Q$17,22,2)+1 &amp;"         £'000"</f>
        <v>Balance c/f
31 Aug 27         £'000</v>
      </c>
      <c r="R177" s="387"/>
      <c r="S177" s="132"/>
      <c r="T177" s="132"/>
      <c r="U177" s="133"/>
      <c r="V177" s="354"/>
      <c r="W177" s="354"/>
      <c r="X177" s="378"/>
      <c r="Y177" s="353"/>
      <c r="Z177" s="353"/>
    </row>
    <row r="178" spans="1:26" s="342" customFormat="1" ht="60" customHeight="1" x14ac:dyDescent="0.35">
      <c r="A178" s="148" t="s">
        <v>303</v>
      </c>
      <c r="B178" s="151">
        <v>789</v>
      </c>
      <c r="C178" s="377"/>
      <c r="D178" s="315"/>
      <c r="E178" s="128" t="str">
        <f>IF(OR(S178&lt;&gt;"",T178&lt;&gt;"",U178&lt;&gt;"",Z178&lt;&gt;""),"Check - see columns S-Z for info","")</f>
        <v/>
      </c>
      <c r="F178" s="343"/>
      <c r="G178" s="254">
        <f>+G176+G174</f>
        <v>0</v>
      </c>
      <c r="H178" s="254">
        <f>+H176+H174</f>
        <v>0</v>
      </c>
      <c r="I178" s="343"/>
      <c r="J178" s="343"/>
      <c r="K178" s="254">
        <f>+K176+K174</f>
        <v>0</v>
      </c>
      <c r="L178" s="254">
        <f>+L176+L174</f>
        <v>0</v>
      </c>
      <c r="M178" s="254">
        <f>+M176+M174</f>
        <v>0</v>
      </c>
      <c r="O178" s="254">
        <f>+O176+O174</f>
        <v>0</v>
      </c>
      <c r="R178" s="391"/>
      <c r="S178" s="129" t="str">
        <f>IF(OR(G178-ROUND(G178,)&lt;&gt;0,H178-ROUND(H178,)&lt;&gt;0,K178-ROUND(K178,)&lt;&gt;0,L178-ROUND(L178,)&lt;&gt;0,M178-ROUND(M178,)&lt;&gt;0,O178-ROUND(O178,)&lt;&gt;0),"No decimal places, letters &amp; odd characters allowed","")</f>
        <v/>
      </c>
      <c r="T178" s="129"/>
      <c r="U178" s="129" t="str">
        <f>IF(OR(G178&gt;W178,H178&gt;W178,K178&gt;W178,L178&gt;W178,M178&gt;W178,O178&gt;W178),"Balance has exceeded the maximum value allowed","")</f>
        <v/>
      </c>
      <c r="V178" s="334" t="s">
        <v>16</v>
      </c>
      <c r="W178" s="334" t="s">
        <v>16</v>
      </c>
      <c r="X178" s="370" t="s">
        <v>304</v>
      </c>
      <c r="Y178" s="280" t="str">
        <f>IF(Z178="","","Refer to "&amp;X178&amp;" in the validations table")</f>
        <v/>
      </c>
      <c r="Z178" s="143" t="str">
        <f>IF(AND(ISBLANK('Validations table'!E27),OR(G178&lt;0,H178&lt;0,K178&lt;0,L178&lt;0,M178&lt;0,O178&lt;0,P178&lt;0)),"Confirm your loan balances are correct. Balances shouldn't be negative.",IF(AND('Finance questions'!E7="",SUM(G178:P178)&lt;&gt;0,ISBLANK('Validations table'!E27)),"Confirm your loan balances are correct. You have stated you have no loans in Q2 of the finance questions but have provided closing balances.",IF(AND('Finance questions'!E7="follow this link to complete the loans section",ISBLANK('Validations table'!E27),AND(G178=0,H178=0,K178=0,L178=0,M178=0,O178=0,P178=0)),"Confirm your loan balances are correct. You have stated you have loans in Q2 of the finance questions but have no closing balances.","")))</f>
        <v/>
      </c>
    </row>
    <row r="179" spans="1:26" ht="60" customHeight="1" x14ac:dyDescent="0.6">
      <c r="A179" s="22" t="s">
        <v>305</v>
      </c>
      <c r="B179" s="77"/>
      <c r="C179" s="77"/>
      <c r="D179" s="64"/>
      <c r="I179" s="88"/>
      <c r="J179" s="88"/>
      <c r="K179" s="88"/>
      <c r="L179" s="88"/>
      <c r="M179" s="88"/>
      <c r="N179" s="88"/>
      <c r="O179" s="88"/>
      <c r="P179" s="88"/>
      <c r="Q179" s="88"/>
      <c r="R179" s="68"/>
      <c r="S179" s="73"/>
      <c r="T179" s="73"/>
      <c r="U179" s="73"/>
      <c r="V179" s="75"/>
      <c r="W179" s="75"/>
      <c r="X179" s="83"/>
      <c r="Y179" s="381"/>
    </row>
    <row r="180" spans="1:26" ht="18.649999999999999" customHeight="1" x14ac:dyDescent="0.35">
      <c r="A180" s="251" t="s">
        <v>1689</v>
      </c>
      <c r="B180" s="77"/>
      <c r="C180" s="77"/>
      <c r="D180" s="64"/>
      <c r="F180" s="59"/>
      <c r="G180" s="20"/>
      <c r="H180" s="57"/>
      <c r="I180" s="57"/>
      <c r="K180" s="10"/>
      <c r="R180" s="8"/>
      <c r="S180" s="12"/>
      <c r="T180" s="8"/>
      <c r="V180" s="13"/>
      <c r="X180" s="8"/>
      <c r="Y180" s="341"/>
    </row>
    <row r="181" spans="1:26" s="342" customFormat="1" ht="86.9" customHeight="1" x14ac:dyDescent="0.35">
      <c r="A181" s="29" t="s">
        <v>113</v>
      </c>
      <c r="B181" s="113" t="s">
        <v>92</v>
      </c>
      <c r="C181" s="113" t="s">
        <v>93</v>
      </c>
      <c r="D181" s="177" t="s">
        <v>94</v>
      </c>
      <c r="E181" s="114" t="s">
        <v>95</v>
      </c>
      <c r="F181" s="343"/>
      <c r="G181" s="34" t="str">
        <f>$G$17</f>
        <v>Prior Year       Actuals                       Sep 24 - Mar 25 £'000</v>
      </c>
      <c r="H181" s="34" t="str">
        <f>$H$17</f>
        <v>Prior Year       Calculated                       Apr 25 - Aug 25 £'000</v>
      </c>
      <c r="I181" s="34" t="str">
        <f>$I$17</f>
        <v>TOTAL                 2024/25            £'000</v>
      </c>
      <c r="J181" s="117"/>
      <c r="K181" s="34" t="str">
        <f>$K$17</f>
        <v>Current Year       Actuals                       Sep 25 - Mar 26 £'000</v>
      </c>
      <c r="L181" s="34" t="str">
        <f>$L$17</f>
        <v>Current Year       Calculated                       Apr 26 - Aug 26 £'000</v>
      </c>
      <c r="M181" s="34" t="str">
        <f>$M$17</f>
        <v>TOTAL            2025/26            £'000</v>
      </c>
      <c r="N181" s="118"/>
      <c r="O181" s="34" t="str">
        <f>$O$17</f>
        <v>Forecast Year                              Sep 26 - Mar 27 £'000</v>
      </c>
      <c r="P181" s="34" t="str">
        <f>$P$17</f>
        <v>Forecast Year       Calculated                       Apr 27 - Aug 27 £'000</v>
      </c>
      <c r="Q181" s="34" t="str">
        <f>$Q$17</f>
        <v>TOTAL              2026/27                   £'000</v>
      </c>
      <c r="R181" s="192" t="s">
        <v>114</v>
      </c>
      <c r="S181" s="176" t="s">
        <v>97</v>
      </c>
      <c r="T181" s="177" t="s">
        <v>98</v>
      </c>
      <c r="U181" s="177" t="s">
        <v>99</v>
      </c>
      <c r="V181" s="178" t="s">
        <v>100</v>
      </c>
      <c r="W181" s="178" t="s">
        <v>101</v>
      </c>
      <c r="X181" s="177" t="s">
        <v>102</v>
      </c>
      <c r="Y181" s="179" t="s">
        <v>103</v>
      </c>
      <c r="Z181" s="179" t="s">
        <v>104</v>
      </c>
    </row>
    <row r="182" spans="1:26" s="342" customFormat="1" ht="71.900000000000006" customHeight="1" x14ac:dyDescent="0.35">
      <c r="A182" s="143" t="s">
        <v>306</v>
      </c>
      <c r="B182" s="131">
        <v>736</v>
      </c>
      <c r="C182" s="436" t="s">
        <v>116</v>
      </c>
      <c r="D182" s="347" t="s">
        <v>1498</v>
      </c>
      <c r="E182" s="128" t="str">
        <f>IF(OR(S182&lt;&gt;"",T182&lt;&gt;"",U182&lt;&gt;"",Z182&lt;&gt;""),"Check - see columns S-Z for info","")</f>
        <v/>
      </c>
      <c r="F182" s="343"/>
      <c r="G182" s="321">
        <f>ROUND(IF($B$5="BFR",SUMIF('Prior year BFR download report'!A:A,B182,'Prior year BFR download report'!G:G),0),0)</f>
        <v>0</v>
      </c>
      <c r="H182" s="254">
        <f t="shared" ref="H182:H184" si="82">+I182-G182</f>
        <v>0</v>
      </c>
      <c r="I182" s="321"/>
      <c r="J182" s="343"/>
      <c r="K182" s="321"/>
      <c r="L182" s="254">
        <f>+M182-K182</f>
        <v>0</v>
      </c>
      <c r="M182" s="321"/>
      <c r="N182" s="350"/>
      <c r="O182" s="321"/>
      <c r="P182" s="254">
        <f>+Q182-O182</f>
        <v>0</v>
      </c>
      <c r="Q182" s="321"/>
      <c r="R182" s="324" t="s">
        <v>307</v>
      </c>
      <c r="S182" s="274" t="str">
        <f>IF(OR(G182-ROUND(G182,)&lt;&gt;0,I182-ROUND(I182,)&lt;&gt;0,K182-ROUND(K182,)&lt;&gt;0,M182-ROUND(M182,)&lt;&gt;0,O182-ROUND(O182,)&lt;&gt;0,Q182-ROUND(Q182,)&lt;&gt;0),"No decimal places, letters &amp; odd characters allowed","")</f>
        <v/>
      </c>
      <c r="T182" s="190" t="str">
        <f>IF(OR(G182&lt;V182,I182&lt;V182,K182&lt;V182,M182&lt;V182,O182&lt;V182,Q182&lt;V182),"Input value is below the minimum value allowed","")</f>
        <v/>
      </c>
      <c r="U182" s="190" t="str">
        <f>IF(OR(G182&gt;W182,H182&gt;W182,I182&gt;W182,K182&gt;W182,L182&gt;W182,M182&gt;W182,O182&gt;W182,P182&gt;W182,Q182&gt;W182),"Input value is above the maximum value allowed","")</f>
        <v/>
      </c>
      <c r="V182" s="358">
        <f>VLOOKUP($B182,'Min max table'!$A$6:$C$209,2,FALSE)</f>
        <v>0</v>
      </c>
      <c r="W182" s="358">
        <f>VLOOKUP($B182,'Min max table'!$A$6:$C$206,3,FALSE)</f>
        <v>100000</v>
      </c>
      <c r="X182" s="359" t="s">
        <v>16</v>
      </c>
      <c r="Y182" s="359" t="s">
        <v>16</v>
      </c>
      <c r="Z182" s="359"/>
    </row>
    <row r="183" spans="1:26" s="342" customFormat="1" ht="68.150000000000006" customHeight="1" x14ac:dyDescent="0.35">
      <c r="A183" s="143" t="s">
        <v>308</v>
      </c>
      <c r="B183" s="131">
        <v>737</v>
      </c>
      <c r="C183" s="436" t="s">
        <v>116</v>
      </c>
      <c r="D183" s="347" t="s">
        <v>1498</v>
      </c>
      <c r="E183" s="128" t="str">
        <f>IF(OR(S183&lt;&gt;"",T183&lt;&gt;"",U183&lt;&gt;"",Z183&lt;&gt;""),"Check - see columns S-Z for info","")</f>
        <v/>
      </c>
      <c r="F183" s="343"/>
      <c r="G183" s="321">
        <f>ROUND(IF($B$5="BFR",SUMIF('Prior year BFR download report'!A:A,B183,'Prior year BFR download report'!G:G),0),0)</f>
        <v>0</v>
      </c>
      <c r="H183" s="254">
        <f t="shared" si="82"/>
        <v>0</v>
      </c>
      <c r="I183" s="321"/>
      <c r="J183" s="343"/>
      <c r="K183" s="321"/>
      <c r="L183" s="254">
        <f>+M183-K183</f>
        <v>0</v>
      </c>
      <c r="M183" s="321"/>
      <c r="N183" s="350"/>
      <c r="O183" s="321"/>
      <c r="P183" s="254">
        <f>+Q183-O183</f>
        <v>0</v>
      </c>
      <c r="Q183" s="321"/>
      <c r="R183" s="324" t="s">
        <v>309</v>
      </c>
      <c r="S183" s="274" t="str">
        <f>IF(OR(G183-ROUND(G183,)&lt;&gt;0,I183-ROUND(I183,)&lt;&gt;0,K183-ROUND(K183,)&lt;&gt;0,M183-ROUND(M183,)&lt;&gt;0,O183-ROUND(O183,)&lt;&gt;0,Q183-ROUND(Q183,)&lt;&gt;0),"No decimal places, letters &amp; odd characters allowed","")</f>
        <v/>
      </c>
      <c r="T183" s="190" t="str">
        <f>IF(OR(G183&lt;V183,I183&lt;V183,K183&lt;V183,M183&lt;V183,O183&lt;V183,Q183&lt;V183),"Input value is below the minimum value allowed","")</f>
        <v/>
      </c>
      <c r="U183" s="190" t="str">
        <f>IF(OR(G183&gt;W183,I183&gt;W183,K183&gt;W183,M183&gt;W183,O183&gt;W183,Q183&gt;W183),"Input value is above the maximum value allowed","")</f>
        <v/>
      </c>
      <c r="V183" s="272">
        <f>VLOOKUP($B183,'Min max table'!$A$6:$C$209,2,FALSE)</f>
        <v>-100000</v>
      </c>
      <c r="W183" s="358">
        <f>VLOOKUP($B183,'Min max table'!$A$6:$C$206,3,FALSE)</f>
        <v>0</v>
      </c>
      <c r="X183" s="359" t="s">
        <v>16</v>
      </c>
      <c r="Y183" s="359" t="s">
        <v>16</v>
      </c>
      <c r="Z183" s="359"/>
    </row>
    <row r="184" spans="1:26" s="342" customFormat="1" ht="57" customHeight="1" x14ac:dyDescent="0.35">
      <c r="A184" s="143" t="s">
        <v>310</v>
      </c>
      <c r="B184" s="131">
        <v>738</v>
      </c>
      <c r="C184" s="436" t="s">
        <v>116</v>
      </c>
      <c r="D184" s="347" t="s">
        <v>1498</v>
      </c>
      <c r="E184" s="128" t="str">
        <f>IF(OR(S184&lt;&gt;"",T184&lt;&gt;"",U184&lt;&gt;"",Z184&lt;&gt;""),"Check - see columns S-Z for info","")</f>
        <v/>
      </c>
      <c r="F184" s="343"/>
      <c r="G184" s="321">
        <f>ROUND(IF($B$5="BFR",SUMIF('Prior year BFR download report'!A:A,B184,'Prior year BFR download report'!G:G),0),0)</f>
        <v>0</v>
      </c>
      <c r="H184" s="254">
        <f t="shared" si="82"/>
        <v>0</v>
      </c>
      <c r="I184" s="321"/>
      <c r="J184" s="343"/>
      <c r="K184" s="321"/>
      <c r="L184" s="254">
        <f>+M184-K184</f>
        <v>0</v>
      </c>
      <c r="M184" s="321"/>
      <c r="N184" s="350"/>
      <c r="O184" s="321"/>
      <c r="P184" s="254">
        <f>+Q184-O184</f>
        <v>0</v>
      </c>
      <c r="Q184" s="321"/>
      <c r="R184" s="324" t="s">
        <v>311</v>
      </c>
      <c r="S184" s="274" t="str">
        <f>IF(OR(G184-ROUND(G184,)&lt;&gt;0,I184-ROUND(I184,)&lt;&gt;0,K184-ROUND(K184,)&lt;&gt;0,M184-ROUND(M184,)&lt;&gt;0,O184-ROUND(O184,)&lt;&gt;0,Q184-ROUND(Q184,)&lt;&gt;0),"No decimal places, letters &amp; odd characters allowed","")</f>
        <v/>
      </c>
      <c r="T184" s="190" t="str">
        <f>IF(OR(G184&lt;V184,I184&lt;V184,K184&lt;V184,M184&lt;V184,O184&lt;V184,Q184&lt;V184),"Input value is below the minimum value allowed","")</f>
        <v/>
      </c>
      <c r="U184" s="190" t="str">
        <f>IF(OR(G184&gt;W184,I184&gt;W184,K184&gt;W184,M184&gt;W184,O184&gt;W184,Q184&gt;W184),"Input value is above the maximum value allowed","")</f>
        <v/>
      </c>
      <c r="V184" s="272">
        <f>VLOOKUP($B184,'Min max table'!$A$6:$C$209,2,FALSE)</f>
        <v>-100000</v>
      </c>
      <c r="W184" s="358">
        <f>VLOOKUP($B184,'Min max table'!$A$6:$C$206,3,FALSE)</f>
        <v>0</v>
      </c>
      <c r="X184" s="359" t="s">
        <v>16</v>
      </c>
      <c r="Y184" s="359" t="s">
        <v>16</v>
      </c>
      <c r="Z184" s="359"/>
    </row>
    <row r="185" spans="1:26" ht="90" customHeight="1" x14ac:dyDescent="0.6">
      <c r="A185" s="22" t="s">
        <v>312</v>
      </c>
      <c r="B185" s="77"/>
      <c r="C185" s="77"/>
      <c r="D185" s="64"/>
      <c r="E185" s="78"/>
      <c r="I185" s="88"/>
      <c r="J185" s="88"/>
      <c r="K185" s="88"/>
      <c r="L185" s="88"/>
      <c r="M185" s="88"/>
      <c r="N185" s="88"/>
      <c r="O185" s="88"/>
      <c r="P185" s="88"/>
      <c r="Q185" s="88"/>
      <c r="R185" s="68"/>
      <c r="S185" s="73"/>
      <c r="T185" s="73"/>
      <c r="U185" s="73"/>
      <c r="V185" s="75"/>
      <c r="W185" s="75"/>
      <c r="X185" s="83"/>
      <c r="Y185" s="381"/>
    </row>
    <row r="186" spans="1:26" ht="18.649999999999999" customHeight="1" x14ac:dyDescent="0.35">
      <c r="A186" s="251" t="s">
        <v>1689</v>
      </c>
      <c r="B186" s="77"/>
      <c r="C186" s="77"/>
      <c r="D186" s="64"/>
      <c r="E186" s="78"/>
      <c r="F186" s="59"/>
      <c r="G186" s="20"/>
      <c r="H186" s="57"/>
      <c r="I186" s="57"/>
      <c r="K186" s="10"/>
      <c r="R186" s="8"/>
      <c r="S186" s="12"/>
      <c r="T186" s="8"/>
      <c r="V186" s="13"/>
      <c r="X186" s="8"/>
      <c r="Y186" s="341"/>
    </row>
    <row r="187" spans="1:26" s="342" customFormat="1" ht="69" customHeight="1" x14ac:dyDescent="0.35">
      <c r="A187" s="29" t="s">
        <v>113</v>
      </c>
      <c r="B187" s="113" t="s">
        <v>92</v>
      </c>
      <c r="C187" s="113" t="s">
        <v>93</v>
      </c>
      <c r="D187" s="177" t="s">
        <v>94</v>
      </c>
      <c r="E187" s="114" t="s">
        <v>95</v>
      </c>
      <c r="F187" s="343"/>
      <c r="G187" s="34" t="str">
        <f>$G$17</f>
        <v>Prior Year       Actuals                       Sep 24 - Mar 25 £'000</v>
      </c>
      <c r="H187" s="34" t="str">
        <f>$H$17</f>
        <v>Prior Year       Calculated                       Apr 25 - Aug 25 £'000</v>
      </c>
      <c r="I187" s="34" t="str">
        <f>$I$17</f>
        <v>TOTAL                 2024/25            £'000</v>
      </c>
      <c r="J187" s="117"/>
      <c r="K187" s="34" t="str">
        <f>$K$17</f>
        <v>Current Year       Actuals                       Sep 25 - Mar 26 £'000</v>
      </c>
      <c r="L187" s="34" t="str">
        <f>$L$17</f>
        <v>Current Year       Calculated                       Apr 26 - Aug 26 £'000</v>
      </c>
      <c r="M187" s="34" t="str">
        <f>$M$17</f>
        <v>TOTAL            2025/26            £'000</v>
      </c>
      <c r="N187" s="118"/>
      <c r="O187" s="34" t="str">
        <f>$O$17</f>
        <v>Forecast Year                              Sep 26 - Mar 27 £'000</v>
      </c>
      <c r="P187" s="34" t="str">
        <f>$P$17</f>
        <v>Forecast Year       Calculated                       Apr 27 - Aug 27 £'000</v>
      </c>
      <c r="Q187" s="34" t="str">
        <f>$Q$17</f>
        <v>TOTAL              2026/27                   £'000</v>
      </c>
      <c r="R187" s="192" t="s">
        <v>114</v>
      </c>
      <c r="S187" s="177" t="s">
        <v>97</v>
      </c>
      <c r="T187" s="177" t="s">
        <v>98</v>
      </c>
      <c r="U187" s="177" t="s">
        <v>99</v>
      </c>
      <c r="V187" s="178" t="s">
        <v>100</v>
      </c>
      <c r="W187" s="178" t="s">
        <v>101</v>
      </c>
      <c r="X187" s="177" t="s">
        <v>102</v>
      </c>
      <c r="Y187" s="179" t="s">
        <v>103</v>
      </c>
      <c r="Z187" s="179" t="s">
        <v>104</v>
      </c>
    </row>
    <row r="188" spans="1:26" s="342" customFormat="1" ht="70.400000000000006" customHeight="1" x14ac:dyDescent="0.35">
      <c r="A188" s="143" t="s">
        <v>313</v>
      </c>
      <c r="B188" s="131">
        <v>715</v>
      </c>
      <c r="C188" s="436" t="s">
        <v>116</v>
      </c>
      <c r="D188" s="347" t="s">
        <v>1498</v>
      </c>
      <c r="E188" s="128" t="str">
        <f>IF(OR(S188&lt;&gt;"",T188&lt;&gt;"",U188&lt;&gt;"",Z188&lt;&gt;""),"Check - see columns S-Z for info","")</f>
        <v/>
      </c>
      <c r="F188" s="343"/>
      <c r="G188" s="321">
        <f>ROUND(IF($B$5="BFR",SUMIF('Prior year BFR download report'!A:A,B188,'Prior year BFR download report'!G:G),0),0)</f>
        <v>0</v>
      </c>
      <c r="H188" s="254">
        <f t="shared" ref="H188:H190" si="83">+I188-G188</f>
        <v>0</v>
      </c>
      <c r="I188" s="321"/>
      <c r="J188" s="343"/>
      <c r="K188" s="321"/>
      <c r="L188" s="254">
        <f>+M188-K188</f>
        <v>0</v>
      </c>
      <c r="M188" s="321"/>
      <c r="N188" s="350"/>
      <c r="O188" s="321"/>
      <c r="P188" s="254">
        <f>+Q188-O188</f>
        <v>0</v>
      </c>
      <c r="Q188" s="321"/>
      <c r="R188" s="392" t="s">
        <v>314</v>
      </c>
      <c r="S188" s="143" t="str">
        <f>IF(OR(G188-ROUND(G188,)&lt;&gt;0,I188-ROUND(I188,)&lt;&gt;0,K188-ROUND(K188,)&lt;&gt;0,M188-ROUND(M188,)&lt;&gt;0,O188-ROUND(O188,)&lt;&gt;0,Q188-ROUND(Q188,)&lt;&gt;0),"No decimal places, letters &amp; odd characters allowed","")</f>
        <v/>
      </c>
      <c r="T188" s="190" t="str">
        <f>IF(OR(G188&lt;V188,I188&lt;V188,K188&lt;V188,M188&lt;V188,O188&lt;V188,Q188&lt;V188),"Input value is below the minimum value allowed","")</f>
        <v/>
      </c>
      <c r="U188" s="190" t="str">
        <f>IF(OR(G188&gt;W188,I188&gt;W188,K188&gt;W188,M188&gt;W188,O188&gt;W188,Q188&gt;W188),"Input value is above the maximum value allowed","")</f>
        <v/>
      </c>
      <c r="V188" s="358">
        <f>VLOOKUP($B188,'Min max table'!$A$6:$C$209,2,FALSE)</f>
        <v>0</v>
      </c>
      <c r="W188" s="358">
        <f>VLOOKUP($B188,'Min max table'!$A$6:$C$206,3,FALSE)</f>
        <v>200000</v>
      </c>
      <c r="X188" s="359" t="s">
        <v>16</v>
      </c>
      <c r="Y188" s="359" t="s">
        <v>16</v>
      </c>
      <c r="Z188" s="359"/>
    </row>
    <row r="189" spans="1:26" s="342" customFormat="1" ht="60.75" customHeight="1" x14ac:dyDescent="0.35">
      <c r="A189" s="143" t="s">
        <v>315</v>
      </c>
      <c r="B189" s="131">
        <v>716</v>
      </c>
      <c r="C189" s="347" t="s">
        <v>16</v>
      </c>
      <c r="D189" s="347" t="s">
        <v>1498</v>
      </c>
      <c r="E189" s="128" t="str">
        <f>IF(OR(S189&lt;&gt;"",T189&lt;&gt;"",U189&lt;&gt;"",Z189&lt;&gt;""),"Check - see columns S-Z for info","")</f>
        <v/>
      </c>
      <c r="F189" s="343"/>
      <c r="G189" s="321">
        <f>ROUND(IF($B$5="BFR",SUMIF('Prior year BFR download report'!A:A,B189,'Prior year BFR download report'!G:G),0),0)</f>
        <v>0</v>
      </c>
      <c r="H189" s="254">
        <f t="shared" si="83"/>
        <v>0</v>
      </c>
      <c r="I189" s="321"/>
      <c r="J189" s="343"/>
      <c r="K189" s="321"/>
      <c r="L189" s="254">
        <f>+M189-K189</f>
        <v>0</v>
      </c>
      <c r="M189" s="321"/>
      <c r="N189" s="350"/>
      <c r="O189" s="321"/>
      <c r="P189" s="254">
        <f>+Q189-O189</f>
        <v>0</v>
      </c>
      <c r="Q189" s="321"/>
      <c r="R189" s="392" t="s">
        <v>316</v>
      </c>
      <c r="S189" s="143" t="str">
        <f>IF(OR(G189-ROUND(G189,)&lt;&gt;0,I189-ROUND(I189,)&lt;&gt;0,K189-ROUND(K189,)&lt;&gt;0,M189-ROUND(M189,)&lt;&gt;0,O189-ROUND(O189,)&lt;&gt;0,Q189-ROUND(Q189,)&lt;&gt;0),"No decimal places, letters &amp; odd characters allowed","")</f>
        <v/>
      </c>
      <c r="T189" s="190" t="str">
        <f>IF(OR(G189&lt;V189,I189&lt;V189,K189&lt;V189,M189&lt;V189,O189&lt;V189,Q189&lt;V189),"Input value is below the minimum value allowed","")</f>
        <v/>
      </c>
      <c r="U189" s="190" t="str">
        <f>IF(OR(G189&gt;W189,I189&gt;W189,K189&gt;W189,M189&gt;W189,O189&gt;W189,Q189&gt;W189),"Input value is above the maximum value allowed","")</f>
        <v/>
      </c>
      <c r="V189" s="358">
        <f>VLOOKUP($B189,'Min max table'!$A$6:$C$209,2,FALSE)</f>
        <v>0</v>
      </c>
      <c r="W189" s="358">
        <f>VLOOKUP($B189,'Min max table'!$A$6:$C$206,3,FALSE)</f>
        <v>200000</v>
      </c>
      <c r="X189" s="359" t="s">
        <v>16</v>
      </c>
      <c r="Y189" s="359" t="s">
        <v>16</v>
      </c>
      <c r="Z189" s="359"/>
    </row>
    <row r="190" spans="1:26" s="342" customFormat="1" ht="60.75" customHeight="1" x14ac:dyDescent="0.35">
      <c r="A190" s="146" t="s">
        <v>317</v>
      </c>
      <c r="B190" s="131">
        <v>717</v>
      </c>
      <c r="C190" s="436" t="s">
        <v>116</v>
      </c>
      <c r="D190" s="347" t="s">
        <v>1498</v>
      </c>
      <c r="E190" s="128" t="str">
        <f>IF(OR(S190&lt;&gt;"",T190&lt;&gt;"",U190&lt;&gt;"",Z190&lt;&gt;""),"Check - see columns S-Z for info","")</f>
        <v/>
      </c>
      <c r="F190" s="343"/>
      <c r="G190" s="321">
        <f>ROUND(IF($B$5="BFR",SUMIF('Prior year BFR download report'!A:A,B190,'Prior year BFR download report'!G:G),0),0)</f>
        <v>0</v>
      </c>
      <c r="H190" s="254">
        <f t="shared" si="83"/>
        <v>0</v>
      </c>
      <c r="I190" s="321"/>
      <c r="J190" s="343"/>
      <c r="K190" s="321"/>
      <c r="L190" s="254">
        <f>+M190-K190</f>
        <v>0</v>
      </c>
      <c r="M190" s="321"/>
      <c r="N190" s="350"/>
      <c r="O190" s="321"/>
      <c r="P190" s="254">
        <f>+Q190-O190</f>
        <v>0</v>
      </c>
      <c r="Q190" s="321"/>
      <c r="R190" s="392" t="s">
        <v>318</v>
      </c>
      <c r="S190" s="143" t="str">
        <f>IF(OR(G190-ROUND(G190,)&lt;&gt;0,I190-ROUND(I190,)&lt;&gt;0,K190-ROUND(K190,)&lt;&gt;0,M190-ROUND(M190,)&lt;&gt;0,O190-ROUND(O190,)&lt;&gt;0,Q190-ROUND(Q190,)&lt;&gt;0),"No decimal places, letters &amp; odd characters allowed","")</f>
        <v/>
      </c>
      <c r="T190" s="190" t="str">
        <f>IF(OR(G190&lt;V190,I190&lt;V190,K190&lt;V190,M190&lt;V190,O190&lt;V190,Q190&lt;V190),"Input value is below the minimum value allowed","")</f>
        <v/>
      </c>
      <c r="U190" s="190" t="str">
        <f>IF(OR(G190&gt;W190,I190&gt;W190,K190&gt;W190,M190&gt;W190,O190&gt;W190,Q190&gt;W190),"Input value is above the maximum value allowed","")</f>
        <v/>
      </c>
      <c r="V190" s="358">
        <f>VLOOKUP($B190,'Min max table'!$A$6:$C$209,2,FALSE)</f>
        <v>0</v>
      </c>
      <c r="W190" s="358">
        <f>VLOOKUP($B190,'Min max table'!$A$6:$C$206,3,FALSE)</f>
        <v>200000</v>
      </c>
      <c r="X190" s="359" t="s">
        <v>16</v>
      </c>
      <c r="Y190" s="359" t="s">
        <v>16</v>
      </c>
      <c r="Z190" s="359"/>
    </row>
    <row r="191" spans="1:26" s="342" customFormat="1" ht="25.4" customHeight="1" x14ac:dyDescent="0.35">
      <c r="A191" s="148" t="s">
        <v>319</v>
      </c>
      <c r="B191" s="135">
        <v>720</v>
      </c>
      <c r="C191" s="436"/>
      <c r="D191" s="315"/>
      <c r="E191" s="128"/>
      <c r="F191" s="343"/>
      <c r="G191" s="254">
        <f>SUM(G188:G190)</f>
        <v>0</v>
      </c>
      <c r="H191" s="254">
        <f t="shared" ref="H191" si="84">+I191-G191</f>
        <v>0</v>
      </c>
      <c r="I191" s="254">
        <f>SUM(I188:I190)</f>
        <v>0</v>
      </c>
      <c r="J191" s="343"/>
      <c r="K191" s="254">
        <f>SUM(K188:K190)</f>
        <v>0</v>
      </c>
      <c r="L191" s="254">
        <f>+M191-K191</f>
        <v>0</v>
      </c>
      <c r="M191" s="254">
        <f>SUM(M188:M190)</f>
        <v>0</v>
      </c>
      <c r="O191" s="254">
        <f>SUM(O188:O190)</f>
        <v>0</v>
      </c>
      <c r="P191" s="254">
        <f>+Q191-O191</f>
        <v>0</v>
      </c>
      <c r="Q191" s="254">
        <f>SUM(Q188:Q190)</f>
        <v>0</v>
      </c>
      <c r="R191" s="383"/>
      <c r="S191" s="133"/>
      <c r="T191" s="133"/>
      <c r="U191" s="353"/>
      <c r="V191" s="353"/>
      <c r="W191" s="353"/>
      <c r="X191" s="353"/>
      <c r="Y191" s="353"/>
      <c r="Z191" s="353"/>
    </row>
    <row r="192" spans="1:26" ht="90" customHeight="1" x14ac:dyDescent="0.6">
      <c r="A192" s="23" t="s">
        <v>320</v>
      </c>
      <c r="B192" s="77"/>
      <c r="C192" s="77"/>
      <c r="D192" s="318"/>
      <c r="E192" s="78"/>
      <c r="K192" s="79"/>
      <c r="L192" s="79"/>
      <c r="M192" s="79"/>
      <c r="O192" s="79"/>
      <c r="P192" s="81"/>
      <c r="Q192" s="80"/>
      <c r="R192" s="68"/>
      <c r="S192" s="73"/>
      <c r="T192" s="73"/>
      <c r="U192" s="73"/>
      <c r="V192" s="75"/>
      <c r="W192" s="75"/>
      <c r="X192" s="82"/>
      <c r="Y192" s="353"/>
      <c r="Z192" s="70"/>
    </row>
    <row r="193" spans="1:26" ht="34.5" customHeight="1" x14ac:dyDescent="0.35">
      <c r="A193" s="432" t="s">
        <v>1694</v>
      </c>
      <c r="B193" s="77"/>
      <c r="C193" s="77"/>
      <c r="D193" s="318"/>
      <c r="E193" s="78"/>
      <c r="F193" s="59"/>
      <c r="G193" s="20"/>
      <c r="H193" s="57"/>
      <c r="I193" s="57"/>
      <c r="K193" s="10"/>
      <c r="R193" s="8"/>
      <c r="S193" s="12"/>
      <c r="T193" s="8"/>
      <c r="V193" s="13"/>
      <c r="X193" s="8"/>
      <c r="Y193" s="341"/>
    </row>
    <row r="194" spans="1:26" ht="45" customHeight="1" x14ac:dyDescent="0.6">
      <c r="A194" s="261" t="s">
        <v>1670</v>
      </c>
      <c r="B194" s="77"/>
      <c r="C194" s="77"/>
      <c r="D194" s="318"/>
      <c r="E194" s="78"/>
      <c r="K194" s="79"/>
      <c r="L194" s="79"/>
      <c r="M194" s="79"/>
      <c r="O194" s="79"/>
      <c r="P194" s="81"/>
      <c r="Q194" s="80"/>
      <c r="R194" s="68"/>
      <c r="S194" s="73"/>
      <c r="T194" s="73"/>
      <c r="U194" s="73"/>
      <c r="V194" s="75"/>
      <c r="W194" s="75"/>
      <c r="X194" s="82"/>
      <c r="Y194" s="353"/>
      <c r="Z194" s="70"/>
    </row>
    <row r="195" spans="1:26" s="342" customFormat="1" ht="71.150000000000006" customHeight="1" x14ac:dyDescent="0.35">
      <c r="A195" s="233" t="s">
        <v>113</v>
      </c>
      <c r="B195" s="113" t="s">
        <v>92</v>
      </c>
      <c r="C195" s="113" t="s">
        <v>93</v>
      </c>
      <c r="D195" s="177" t="s">
        <v>94</v>
      </c>
      <c r="E195" s="114" t="s">
        <v>95</v>
      </c>
      <c r="F195" s="380"/>
      <c r="G195" s="34" t="str">
        <f>"Balance at                 31 Aug "&amp;RIGHT('Version control'!$A$1,4)-2 &amp;"          £'000"</f>
        <v>Balance at                 31 Aug 2024          £'000</v>
      </c>
      <c r="H195" s="34" t="str">
        <f>"Balance at                 31 Mar "&amp;RIGHT('Version control'!$A$1,4)-1 &amp;"          £'000"</f>
        <v>Balance at                 31 Mar 2025          £'000</v>
      </c>
      <c r="I195" s="343"/>
      <c r="J195" s="343"/>
      <c r="K195" s="34" t="str">
        <f>"Balance at            31 Aug "&amp;RIGHT('Version control'!$A$1,4)-1 &amp;"          £'000"</f>
        <v>Balance at            31 Aug 2025          £'000</v>
      </c>
      <c r="L195" s="34" t="str">
        <f>"Balance at           31 Mar "&amp;RIGHT('Version control'!$A$1,4) &amp;"          £'000"</f>
        <v>Balance at           31 Mar 2026          £'000</v>
      </c>
      <c r="M195" s="34" t="str">
        <f>"Balance at           31 Aug "&amp;RIGHT('Version control'!$A$1,4) &amp;"          £'000"</f>
        <v>Balance at           31 Aug 2026          £'000</v>
      </c>
      <c r="O195" s="34" t="str">
        <f>"Balance at          31 Mar "&amp;RIGHT('Version control'!$A$1,4)+1 &amp;"          £'000"</f>
        <v>Balance at          31 Mar 2027          £'000</v>
      </c>
      <c r="P195" s="34" t="str">
        <f>"Balance at          31 Aug "&amp;RIGHT('Version control'!$A$1,4)+1 &amp;"          £'000"</f>
        <v>Balance at          31 Aug 2027          £'000</v>
      </c>
      <c r="R195" s="192" t="s">
        <v>114</v>
      </c>
      <c r="S195" s="177" t="s">
        <v>97</v>
      </c>
      <c r="T195" s="177" t="s">
        <v>98</v>
      </c>
      <c r="U195" s="177" t="s">
        <v>99</v>
      </c>
      <c r="V195" s="178" t="s">
        <v>100</v>
      </c>
      <c r="W195" s="178" t="s">
        <v>101</v>
      </c>
      <c r="X195" s="177" t="s">
        <v>102</v>
      </c>
      <c r="Y195" s="179" t="s">
        <v>103</v>
      </c>
      <c r="Z195" s="179" t="s">
        <v>104</v>
      </c>
    </row>
    <row r="196" spans="1:26" s="342" customFormat="1" ht="186" x14ac:dyDescent="0.35">
      <c r="A196" s="148" t="s">
        <v>1671</v>
      </c>
      <c r="B196" s="135">
        <v>1001</v>
      </c>
      <c r="C196" s="347" t="s">
        <v>16</v>
      </c>
      <c r="D196" s="347" t="s">
        <v>1498</v>
      </c>
      <c r="E196" s="128" t="str">
        <f>IF(OR(S196&lt;&gt;"",T196&lt;&gt;"",U196&lt;&gt;"",Z196&lt;&gt;""),"Check - see columns S-Z for info","")</f>
        <v/>
      </c>
      <c r="F196" s="343"/>
      <c r="G196" s="254">
        <f>SUM(G205:G294,G198,)+G197</f>
        <v>0</v>
      </c>
      <c r="H196" s="254">
        <f>SUM(H205:H294,H198,)+H197</f>
        <v>0</v>
      </c>
      <c r="I196" s="343"/>
      <c r="J196" s="343"/>
      <c r="K196" s="254">
        <f>IF($B$200="Yes",(SUM(K197,K198)),(SUM(K205:K294,K198,)+K197))</f>
        <v>0</v>
      </c>
      <c r="L196" s="254">
        <f>IF($B$200="Yes",(SUM(L197,L198)),(SUM(L205:L294,L198,)+L197))</f>
        <v>0</v>
      </c>
      <c r="M196" s="254">
        <f>IF($B$200="Yes",(SUM(M197,M198)),(SUM(M205:M294,M198,)+M197))</f>
        <v>0</v>
      </c>
      <c r="O196" s="254">
        <f>IF($B$200="Yes",(SUM(O197,O198)),(SUM(O205:O294,O198,)+O197))</f>
        <v>0</v>
      </c>
      <c r="P196" s="254">
        <f>IF($B$200="Yes",(SUM(P197,P198)),(SUM(P205:P294,P198,)+P197))</f>
        <v>0</v>
      </c>
      <c r="R196" s="282" t="s">
        <v>322</v>
      </c>
      <c r="S196" s="143" t="str">
        <f>IF(OR(G196-ROUND(G196,)&lt;&gt;0,H196-ROUND(H196,)&lt;&gt;0,K196-ROUND(K196,)&lt;&gt;0,L196-ROUND(L196,)&lt;&gt;0,M196-ROUND(M196,)&lt;&gt;0,O196-ROUND(O196,)&lt;&gt;0,P196-ROUND(P196,)&lt;&gt;0),"No decimal places, letters &amp; odd characters allowed","")</f>
        <v/>
      </c>
      <c r="T196" s="190"/>
      <c r="U196" s="190"/>
      <c r="V196" s="190" t="s">
        <v>16</v>
      </c>
      <c r="W196" s="190" t="s">
        <v>16</v>
      </c>
      <c r="X196" s="370" t="s">
        <v>323</v>
      </c>
      <c r="Y196" s="280" t="str">
        <f>IF(Z196="","","Refer to "&amp;X196&amp;" in the validations table")</f>
        <v/>
      </c>
      <c r="Z196" s="143" t="str">
        <f>IF(AND($P$196-$P$88&lt;&gt;0,ISBLANK('Validations table'!E126)),"The closing balance of all reserves for the trust isn't equal to the revenue reserves balance c/f at 31 August for the forecast year on line 430. Give us a brief explanation.","")</f>
        <v/>
      </c>
    </row>
    <row r="197" spans="1:26" s="342" customFormat="1" ht="46.5" x14ac:dyDescent="0.35">
      <c r="A197" s="148" t="s">
        <v>324</v>
      </c>
      <c r="B197" s="259">
        <v>1002</v>
      </c>
      <c r="C197" s="347" t="s">
        <v>16</v>
      </c>
      <c r="D197" s="347" t="s">
        <v>1498</v>
      </c>
      <c r="E197" s="128" t="str">
        <f>IF(OR(S197&lt;&gt;"",T197&lt;&gt;"",U197&lt;&gt;"",Z197&lt;&gt;""),"Check - see columns S-Z for info","")</f>
        <v/>
      </c>
      <c r="F197" s="343"/>
      <c r="G197" s="321"/>
      <c r="H197" s="321"/>
      <c r="I197" s="343"/>
      <c r="J197" s="343"/>
      <c r="K197" s="321"/>
      <c r="L197" s="321"/>
      <c r="M197" s="321"/>
      <c r="O197" s="321"/>
      <c r="P197" s="321"/>
      <c r="R197" s="282" t="s">
        <v>325</v>
      </c>
      <c r="S197" s="143" t="str">
        <f>IF(OR(G197-ROUND(G197,)&lt;&gt;0,H197-ROUND(H197,)&lt;&gt;0,K197-ROUND(K197,)&lt;&gt;0,L197-ROUND(L197,)&lt;&gt;0,M197-ROUND(M197,)&lt;&gt;0,O197-ROUND(O197,)&lt;&gt;0,P197-ROUND(P197,)&lt;&gt;0),"No decimal places, letters &amp; odd characters allowed","")</f>
        <v/>
      </c>
      <c r="T197" s="190" t="str">
        <f>IF(OR(G197&lt;V197,H197&lt;V197,K197&lt;V197,L197&lt;V197,M197&lt;V197,O197&lt;V197,P197&lt;V197),"Input value is below the minimum value allowed","")</f>
        <v/>
      </c>
      <c r="U197" s="190" t="str">
        <f>IF(OR(G197&gt;W197,H197&gt;W197,K197&gt;W197,L197&gt;W197,M197&gt;W197,O197&gt;W197,P197&gt;W197),"Input value is above the maximum value allowed","")</f>
        <v/>
      </c>
      <c r="V197" s="272">
        <f>VLOOKUP($B197,'Min max table'!$A$6:$C$209,2,FALSE)</f>
        <v>-999999</v>
      </c>
      <c r="W197" s="334">
        <f>VLOOKUP($B197,'Min max table'!$A$6:$C$206,3,FALSE)</f>
        <v>999999</v>
      </c>
      <c r="X197" s="370" t="s">
        <v>326</v>
      </c>
      <c r="Y197" s="280" t="str">
        <f>IF(Z197="","","Refer to "&amp;X197&amp;" in the validations table")</f>
        <v/>
      </c>
      <c r="Z197" s="143" t="str">
        <f>IF(AND(ISBLANK('Validations table'!E128),OR(G197&lt;&gt;0,H197&lt;&gt;0,M197&lt;&gt;0,K197&lt;&gt;0,L197&lt;&gt;0,O197&lt;&gt;0,P197&lt;&gt;0)), "Tell us why you've adjusted the reserves balances, for example, are you including additional academies that haven't been recorded on the list below?","")</f>
        <v/>
      </c>
    </row>
    <row r="198" spans="1:26" s="342" customFormat="1" ht="217" x14ac:dyDescent="0.35">
      <c r="A198" s="148" t="s">
        <v>327</v>
      </c>
      <c r="B198" s="139">
        <v>1000</v>
      </c>
      <c r="C198" s="347" t="s">
        <v>16</v>
      </c>
      <c r="D198" s="347" t="s">
        <v>1498</v>
      </c>
      <c r="E198" s="128" t="str">
        <f>IF(OR(S198&lt;&gt;"",T198&lt;&gt;"",U198&lt;&gt;"",Z198&lt;&gt;""),"Check - see columns S-Z for info","")</f>
        <v/>
      </c>
      <c r="F198" s="343"/>
      <c r="G198" s="321"/>
      <c r="H198" s="321"/>
      <c r="I198" s="343"/>
      <c r="J198" s="343"/>
      <c r="K198" s="321"/>
      <c r="L198" s="321"/>
      <c r="M198" s="321"/>
      <c r="O198" s="321"/>
      <c r="P198" s="321"/>
      <c r="R198" s="282" t="s">
        <v>328</v>
      </c>
      <c r="S198" s="143" t="str">
        <f>IF(OR(G198-ROUND(G198,)&lt;&gt;0,H198-ROUND(H198,)&lt;&gt;0,K198-ROUND(K198,)&lt;&gt;0,L198-ROUND(L198,)&lt;&gt;0,M198-ROUND(M198,)&lt;&gt;0,O198-ROUND(O198,)&lt;&gt;0,P198-ROUND(P198,)&lt;&gt;0),"No decimal places, letters &amp; odd characters allowed","")</f>
        <v/>
      </c>
      <c r="T198" s="143" t="str">
        <f>IF(OR(G198&lt;V198,H198&lt;V198,K198&lt;V198,L198&lt;V198,M198&lt;V198,O198&lt;V198,P198&lt;V198,P198&lt;V198),"Deficit is too high in at least one period","")</f>
        <v/>
      </c>
      <c r="U198" s="143" t="str">
        <f>IF(OR(G198&gt;W198,H198&gt;W198,K198&gt;W198,L198&gt;W198,M198&gt;W198,O198&gt;W198,P198&gt;W198),"Reserves balance is too high during at  least one period","")</f>
        <v/>
      </c>
      <c r="V198" s="272">
        <f>VLOOKUP($B198,'Min max table'!$A$6:$C$209,2,FALSE)</f>
        <v>-999999</v>
      </c>
      <c r="W198" s="334">
        <f>VLOOKUP($B198,'Min max table'!$A$6:$C$206,3,FALSE)</f>
        <v>999999</v>
      </c>
      <c r="X198" s="370" t="s">
        <v>329</v>
      </c>
      <c r="Y198" s="280" t="str">
        <f>IF(Z198="","","Refer to "&amp;X198&amp;" in the validations table")</f>
        <v/>
      </c>
      <c r="Z198" s="143" t="str">
        <f>IF(AND(ISBLANK('Validations table'!E127),OR(K198&lt;0,M198&lt;0,P198&lt;0)), "There's a deficit on your closing reserves either at the end of the prior year, current year or forecast year. Tell us about the circumstances and the steps planned/taken to eliminate the deficit.","")</f>
        <v/>
      </c>
    </row>
    <row r="199" spans="1:26" ht="90" customHeight="1" x14ac:dyDescent="0.6">
      <c r="A199" s="261" t="s">
        <v>330</v>
      </c>
      <c r="B199" s="318"/>
      <c r="C199" s="318"/>
      <c r="D199" s="318"/>
      <c r="E199" s="78"/>
      <c r="K199" s="79"/>
      <c r="L199" s="79"/>
      <c r="M199" s="79"/>
      <c r="O199" s="79"/>
      <c r="P199" s="81"/>
      <c r="Q199" s="80"/>
      <c r="R199" s="68"/>
      <c r="S199" s="73"/>
      <c r="T199" s="73"/>
      <c r="U199" s="73"/>
      <c r="V199" s="75"/>
      <c r="W199" s="75"/>
      <c r="X199" s="82"/>
      <c r="Y199" s="353"/>
      <c r="Z199" s="70"/>
    </row>
    <row r="200" spans="1:26" s="380" customFormat="1" ht="62.25" customHeight="1" x14ac:dyDescent="0.3">
      <c r="A200" s="405" t="s">
        <v>331</v>
      </c>
      <c r="B200" s="479"/>
      <c r="C200" s="480"/>
      <c r="D200" s="459" t="s">
        <v>1498</v>
      </c>
      <c r="E200" s="128" t="str">
        <f>IF(ISBLANK('Finance questions'!F5), "You must tick 'Yes' or 'No' answer.","")</f>
        <v/>
      </c>
      <c r="F200" s="343"/>
      <c r="G200" s="343"/>
      <c r="H200" s="343"/>
      <c r="I200" s="343"/>
      <c r="J200" s="10"/>
      <c r="K200" s="393"/>
      <c r="L200" s="393"/>
      <c r="M200" s="393"/>
      <c r="O200" s="393"/>
      <c r="P200" s="393"/>
      <c r="R200" s="372"/>
      <c r="S200" s="372"/>
      <c r="T200" s="372"/>
      <c r="U200" s="372"/>
      <c r="V200" s="372"/>
      <c r="W200" s="372"/>
      <c r="X200" s="378"/>
      <c r="Y200" s="366"/>
      <c r="Z200" s="366"/>
    </row>
    <row r="201" spans="1:26" s="342" customFormat="1" ht="60" customHeight="1" x14ac:dyDescent="0.35">
      <c r="A201" s="432" t="s">
        <v>1477</v>
      </c>
      <c r="B201" s="77"/>
      <c r="C201" s="77"/>
      <c r="D201" s="318"/>
      <c r="E201" s="78"/>
      <c r="F201" s="343"/>
      <c r="G201" s="343"/>
      <c r="H201" s="343"/>
      <c r="I201" s="343"/>
      <c r="J201" s="394"/>
      <c r="K201" s="394"/>
      <c r="L201" s="394"/>
      <c r="M201" s="394"/>
      <c r="O201" s="394"/>
      <c r="P201" s="394"/>
      <c r="R201" s="354"/>
      <c r="S201" s="354"/>
      <c r="T201" s="354"/>
      <c r="U201" s="354"/>
      <c r="V201" s="354"/>
      <c r="W201" s="354"/>
      <c r="X201" s="378"/>
      <c r="Y201" s="353"/>
      <c r="Z201" s="353"/>
    </row>
    <row r="202" spans="1:26" ht="90" customHeight="1" x14ac:dyDescent="0.6">
      <c r="A202" s="261" t="s">
        <v>332</v>
      </c>
      <c r="B202" s="77"/>
      <c r="C202" s="77"/>
      <c r="D202" s="318"/>
      <c r="E202" s="78"/>
      <c r="F202" s="343"/>
      <c r="G202" s="343" t="s">
        <v>74</v>
      </c>
      <c r="K202" s="79"/>
      <c r="L202" s="79"/>
      <c r="M202" s="79"/>
      <c r="O202" s="79"/>
      <c r="P202" s="81"/>
      <c r="Q202" s="80"/>
      <c r="R202" s="75"/>
      <c r="S202" s="75"/>
      <c r="T202" s="75"/>
      <c r="U202" s="75"/>
      <c r="V202" s="75"/>
      <c r="W202" s="75"/>
      <c r="X202" s="82"/>
      <c r="Y202" s="353"/>
      <c r="Z202" s="70"/>
    </row>
    <row r="203" spans="1:26" ht="35" x14ac:dyDescent="0.35">
      <c r="A203" s="432" t="s">
        <v>1688</v>
      </c>
      <c r="B203" s="77"/>
      <c r="C203" s="77"/>
      <c r="D203" s="318"/>
      <c r="E203" s="78"/>
      <c r="F203" s="59"/>
      <c r="G203" s="20"/>
      <c r="H203" s="57"/>
      <c r="I203" s="57"/>
      <c r="K203" s="10"/>
      <c r="R203" s="8"/>
      <c r="S203" s="12"/>
      <c r="T203" s="8"/>
      <c r="V203" s="13"/>
      <c r="X203" s="8"/>
      <c r="Y203" s="341"/>
    </row>
    <row r="204" spans="1:26" s="342" customFormat="1" ht="46.5" x14ac:dyDescent="0.35">
      <c r="A204" s="198" t="s">
        <v>333</v>
      </c>
      <c r="B204" s="113" t="s">
        <v>92</v>
      </c>
      <c r="C204" s="113" t="s">
        <v>93</v>
      </c>
      <c r="D204" s="177" t="s">
        <v>94</v>
      </c>
      <c r="E204" s="114" t="s">
        <v>95</v>
      </c>
      <c r="G204" s="34" t="str">
        <f>"Balance at                 31 Aug "&amp;RIGHT('Version control'!$A$1,4)-2 &amp;"          £'000"</f>
        <v>Balance at                 31 Aug 2024          £'000</v>
      </c>
      <c r="H204" s="34" t="str">
        <f>"Balance at                 31 Mar "&amp;RIGHT('Version control'!$A$1,4)-1 &amp;"          £'000"</f>
        <v>Balance at                 31 Mar 2025          £'000</v>
      </c>
      <c r="I204" s="343"/>
      <c r="J204" s="343"/>
      <c r="K204" s="34" t="str">
        <f>"Balance at            31 Aug "&amp;RIGHT('Version control'!$A$1,4)-1 &amp;"          £'000"</f>
        <v>Balance at            31 Aug 2025          £'000</v>
      </c>
      <c r="L204" s="34" t="str">
        <f>"Balance at           31 Mar "&amp;RIGHT('Version control'!$A$1,4) &amp;"          £'000"</f>
        <v>Balance at           31 Mar 2026          £'000</v>
      </c>
      <c r="M204" s="34" t="str">
        <f>"Balance at           31 Aug "&amp;RIGHT('Version control'!$A$1,4) &amp;"          £'000"</f>
        <v>Balance at           31 Aug 2026          £'000</v>
      </c>
      <c r="O204" s="34" t="str">
        <f>"Balance at          31 Mar "&amp;RIGHT('Version control'!$A$1,4)+1 &amp;"          £'000"</f>
        <v>Balance at          31 Mar 2027          £'000</v>
      </c>
      <c r="P204" s="34" t="str">
        <f>"Balance at          31 Aug "&amp;RIGHT('Version control'!$A$1,4)+1 &amp;"          £'000"</f>
        <v>Balance at          31 Aug 2027          £'000</v>
      </c>
      <c r="R204" s="193" t="s">
        <v>114</v>
      </c>
      <c r="S204" s="177" t="s">
        <v>97</v>
      </c>
      <c r="T204" s="177" t="s">
        <v>98</v>
      </c>
      <c r="U204" s="177" t="s">
        <v>99</v>
      </c>
      <c r="V204" s="178" t="s">
        <v>100</v>
      </c>
      <c r="W204" s="178" t="s">
        <v>101</v>
      </c>
      <c r="X204" s="177" t="s">
        <v>102</v>
      </c>
      <c r="Y204" s="179" t="s">
        <v>103</v>
      </c>
      <c r="Z204" s="179" t="s">
        <v>104</v>
      </c>
    </row>
    <row r="205" spans="1:26" s="342" customFormat="1" ht="82.4" customHeight="1" x14ac:dyDescent="0.35">
      <c r="A205" s="482" t="str">
        <f>IF('Finance questions'!$F$5=2, TRIM('Organisation user'!B25),"")</f>
        <v/>
      </c>
      <c r="B205" s="131">
        <v>800</v>
      </c>
      <c r="C205" s="131" t="s">
        <v>16</v>
      </c>
      <c r="D205" s="347"/>
      <c r="E205" s="128" t="str">
        <f t="shared" ref="E205:E236" si="85">IF(OR(S205&lt;&gt;"",T205&lt;&gt;"",U205&lt;&gt;"",Z205&lt;&gt;""),"Check - see columns S-Z for info","")</f>
        <v/>
      </c>
      <c r="F205" s="343"/>
      <c r="G205" s="321"/>
      <c r="H205" s="321"/>
      <c r="I205" s="343"/>
      <c r="J205" s="343"/>
      <c r="K205" s="321"/>
      <c r="L205" s="321"/>
      <c r="M205" s="321"/>
      <c r="O205" s="321"/>
      <c r="P205" s="321"/>
      <c r="R205" s="667" t="s">
        <v>334</v>
      </c>
      <c r="S205" s="143" t="str">
        <f t="shared" ref="S205" si="86">IF(OR(G205-ROUND(G205,)&lt;&gt;0,H205-ROUND(H205,)&lt;&gt;0,K205-ROUND(K205,)&lt;&gt;0,L205-ROUND(L205,)&lt;&gt;0,M205-ROUND(M205,)&lt;&gt;0,O205-ROUND(O205,)&lt;&gt;0,P205-ROUND(P205,)&lt;&gt;0),"No decimal places, letters &amp; odd characters allowed","")</f>
        <v/>
      </c>
      <c r="T205" s="143" t="str">
        <f>IF(OR(G205&lt;V205,H205&lt;V205,K205&lt;V205,L205&lt;V205,M205&lt;V205,O205&lt;V205,P205&lt;V205),"input value is below the minimum value allowed","")</f>
        <v/>
      </c>
      <c r="U205" s="143" t="str">
        <f t="shared" ref="U205" si="87">IF(OR(G205&gt;W205,H205&gt;W205,K205&gt;W205,L205&gt;W205,M205&gt;W205,O205&gt;W205,P205&gt;W205),"Input value is above the maximum value allowed","")</f>
        <v/>
      </c>
      <c r="V205" s="272">
        <f>VLOOKUP($B205,'Min max table'!$A$6:$C$209,2,FALSE)</f>
        <v>-200000</v>
      </c>
      <c r="W205" s="334">
        <f>VLOOKUP($B205,'Min max table'!$A$6:$C$206,3,FALSE)</f>
        <v>200000</v>
      </c>
      <c r="X205" s="370" t="s">
        <v>1566</v>
      </c>
      <c r="Y205" s="280" t="str">
        <f t="shared" ref="Y205:Y236" si="88">IF(Z205="","","Refer to "&amp;X205&amp;" in the validations table")</f>
        <v/>
      </c>
      <c r="Z205" s="143" t="str">
        <f>IF(AND(ISBLANK('Validations table'!E34),AND(A205&lt;&gt;"",OR(K205&lt;0,M205&lt;0,P205&lt;0))), "There is a deficit on this academy's closing reserves either at the end of Yr1, Yr2 or Yr3. Could you explain the circumstances and what steps are planned/ you took to eliminate the deficit.","")</f>
        <v/>
      </c>
    </row>
    <row r="206" spans="1:26" s="342" customFormat="1" ht="68.900000000000006" customHeight="1" x14ac:dyDescent="0.35">
      <c r="A206" s="482" t="str">
        <f>IF('Finance questions'!$F$5=2, TRIM('Organisation user'!B26),"")</f>
        <v/>
      </c>
      <c r="B206" s="131">
        <v>800</v>
      </c>
      <c r="C206" s="131" t="s">
        <v>16</v>
      </c>
      <c r="D206" s="315"/>
      <c r="E206" s="128" t="str">
        <f t="shared" si="85"/>
        <v/>
      </c>
      <c r="F206" s="343"/>
      <c r="G206" s="321"/>
      <c r="H206" s="321"/>
      <c r="I206" s="343"/>
      <c r="J206" s="343"/>
      <c r="K206" s="321"/>
      <c r="L206" s="321"/>
      <c r="M206" s="321"/>
      <c r="O206" s="321"/>
      <c r="P206" s="321"/>
      <c r="R206" s="283"/>
      <c r="S206" s="143" t="str">
        <f t="shared" ref="S206:S269" si="89">IF(OR(G206-ROUND(G206,)&lt;&gt;0,H206-ROUND(H206,)&lt;&gt;0,K206-ROUND(K206,)&lt;&gt;0,L206-ROUND(L206,)&lt;&gt;0,M206-ROUND(M206,)&lt;&gt;0,O206-ROUND(O206,)&lt;&gt;0,P206-ROUND(P206,)&lt;&gt;0),"No decimal places, letters &amp; odd characters allowed","")</f>
        <v/>
      </c>
      <c r="T206" s="143" t="str">
        <f t="shared" ref="T206:T269" si="90">IF(OR(G206&lt;V206,H206&lt;V206,K206&lt;V206,L206&lt;V206,M206&lt;V206,O206&lt;V206,P206&lt;V206),"input value is below the minimum value allowed","")</f>
        <v/>
      </c>
      <c r="U206" s="143" t="str">
        <f t="shared" ref="U206:U269" si="91">IF(OR(G206&gt;W206,H206&gt;W206,K206&gt;W206,L206&gt;W206,M206&gt;W206,O206&gt;W206,P206&gt;W206),"Input value is above the maximum value allowed","")</f>
        <v/>
      </c>
      <c r="V206" s="272">
        <f>VLOOKUP($B206,'Min max table'!$A$6:$C$209,2,FALSE)</f>
        <v>-200000</v>
      </c>
      <c r="W206" s="334">
        <f>VLOOKUP($B206,'Min max table'!$A$6:$C$206,3,FALSE)</f>
        <v>200000</v>
      </c>
      <c r="X206" s="370" t="s">
        <v>1567</v>
      </c>
      <c r="Y206" s="280" t="str">
        <f t="shared" si="88"/>
        <v/>
      </c>
      <c r="Z206" s="143" t="str">
        <f>IF(AND(ISBLANK('Validations table'!E35),AND(A206&lt;&gt;"",OR(K206&lt;0,M206&lt;0,P206&lt;0))), "There is a deficit on this academy's closing reserves either at the end of Yr1, Yr2 or Yr3. Could you explain the circumstances and what steps are planned/ you took  to eliminate the deficit.","")</f>
        <v/>
      </c>
    </row>
    <row r="207" spans="1:26" s="342" customFormat="1" ht="60" customHeight="1" x14ac:dyDescent="0.35">
      <c r="A207" s="482" t="str">
        <f>IF('Finance questions'!$F$5=2, TRIM('Organisation user'!B27),"")</f>
        <v/>
      </c>
      <c r="B207" s="131">
        <v>800</v>
      </c>
      <c r="C207" s="131" t="s">
        <v>16</v>
      </c>
      <c r="D207" s="315"/>
      <c r="E207" s="128" t="str">
        <f t="shared" si="85"/>
        <v/>
      </c>
      <c r="F207" s="343"/>
      <c r="G207" s="321"/>
      <c r="H207" s="321"/>
      <c r="I207" s="343"/>
      <c r="J207" s="343"/>
      <c r="K207" s="321"/>
      <c r="L207" s="321"/>
      <c r="M207" s="321"/>
      <c r="O207" s="321"/>
      <c r="P207" s="321"/>
      <c r="R207" s="283"/>
      <c r="S207" s="143" t="str">
        <f t="shared" si="89"/>
        <v/>
      </c>
      <c r="T207" s="143" t="str">
        <f t="shared" si="90"/>
        <v/>
      </c>
      <c r="U207" s="143" t="str">
        <f t="shared" si="91"/>
        <v/>
      </c>
      <c r="V207" s="272">
        <f>VLOOKUP($B207,'Min max table'!$A$6:$C$209,2,FALSE)</f>
        <v>-200000</v>
      </c>
      <c r="W207" s="334">
        <f>VLOOKUP($B207,'Min max table'!$A$6:$C$206,3,FALSE)</f>
        <v>200000</v>
      </c>
      <c r="X207" s="370" t="s">
        <v>1568</v>
      </c>
      <c r="Y207" s="280" t="str">
        <f t="shared" si="88"/>
        <v/>
      </c>
      <c r="Z207" s="143" t="str">
        <f>IF(AND(ISBLANK('Validations table'!E36),AND(A207&lt;&gt;"",OR(K207&lt;0,M207&lt;0,P207&lt;0))), "There is a deficit on this academy's closing reserves either at the end of Yr1, Yr2 or Yr3. Could you explain the circumstances and what steps are planned/ you took  to eliminate the deficit.","")</f>
        <v/>
      </c>
    </row>
    <row r="208" spans="1:26" s="342" customFormat="1" ht="60" customHeight="1" x14ac:dyDescent="0.35">
      <c r="A208" s="482" t="str">
        <f>IF('Finance questions'!$F$5=2, TRIM('Organisation user'!B28),"")</f>
        <v/>
      </c>
      <c r="B208" s="131">
        <v>800</v>
      </c>
      <c r="C208" s="131" t="s">
        <v>16</v>
      </c>
      <c r="D208" s="315"/>
      <c r="E208" s="128" t="str">
        <f t="shared" si="85"/>
        <v/>
      </c>
      <c r="F208" s="343"/>
      <c r="G208" s="321"/>
      <c r="H208" s="321"/>
      <c r="I208" s="343"/>
      <c r="J208" s="343"/>
      <c r="K208" s="321"/>
      <c r="L208" s="321"/>
      <c r="M208" s="321"/>
      <c r="O208" s="321"/>
      <c r="P208" s="321"/>
      <c r="R208" s="283"/>
      <c r="S208" s="143" t="str">
        <f t="shared" si="89"/>
        <v/>
      </c>
      <c r="T208" s="143" t="str">
        <f t="shared" si="90"/>
        <v/>
      </c>
      <c r="U208" s="143" t="str">
        <f t="shared" si="91"/>
        <v/>
      </c>
      <c r="V208" s="272">
        <f>VLOOKUP($B208,'Min max table'!$A$6:$C$209,2,FALSE)</f>
        <v>-200000</v>
      </c>
      <c r="W208" s="334">
        <f>VLOOKUP($B208,'Min max table'!$A$6:$C$206,3,FALSE)</f>
        <v>200000</v>
      </c>
      <c r="X208" s="370" t="s">
        <v>1569</v>
      </c>
      <c r="Y208" s="280" t="str">
        <f t="shared" si="88"/>
        <v/>
      </c>
      <c r="Z208" s="143" t="str">
        <f>IF(AND(ISBLANK('Validations table'!E37),AND(A208&lt;&gt;"",OR(K208&lt;0,M208&lt;0,P208&lt;0))), "There is a deficit on this academy's closing reserves either at the end of Yr1, Yr2 or Yr3. Could you explain the circumstances and what steps are planned/ you took  to eliminate the deficit.","")</f>
        <v/>
      </c>
    </row>
    <row r="209" spans="1:26" s="342" customFormat="1" ht="60" customHeight="1" x14ac:dyDescent="0.35">
      <c r="A209" s="482" t="str">
        <f>IF('Finance questions'!$F$5=2, TRIM('Organisation user'!B29),"")</f>
        <v/>
      </c>
      <c r="B209" s="131">
        <v>800</v>
      </c>
      <c r="C209" s="131" t="s">
        <v>16</v>
      </c>
      <c r="D209" s="315"/>
      <c r="E209" s="128" t="str">
        <f t="shared" si="85"/>
        <v/>
      </c>
      <c r="F209" s="343"/>
      <c r="G209" s="321"/>
      <c r="H209" s="321"/>
      <c r="I209" s="343"/>
      <c r="J209" s="343"/>
      <c r="K209" s="321"/>
      <c r="L209" s="321"/>
      <c r="M209" s="321"/>
      <c r="O209" s="321"/>
      <c r="P209" s="321"/>
      <c r="R209" s="283"/>
      <c r="S209" s="143" t="str">
        <f>IF(OR(G209-ROUND(G209,)&lt;&gt;0,H209-ROUND(H209,)&lt;&gt;0,K209-ROUND(K209,)&lt;&gt;0,L209-ROUND(L209,)&lt;&gt;0,M209-ROUND(M209,)&lt;&gt;0,O209-ROUND(O209,)&lt;&gt;0,P209-ROUND(P209,)&lt;&gt;0),"No decimal places, letters &amp; odd characters allowed","")</f>
        <v/>
      </c>
      <c r="T209" s="143" t="str">
        <f t="shared" si="90"/>
        <v/>
      </c>
      <c r="U209" s="143" t="str">
        <f t="shared" si="91"/>
        <v/>
      </c>
      <c r="V209" s="272">
        <f>VLOOKUP($B209,'Min max table'!$A$6:$C$209,2,FALSE)</f>
        <v>-200000</v>
      </c>
      <c r="W209" s="334">
        <f>VLOOKUP($B209,'Min max table'!$A$6:$C$206,3,FALSE)</f>
        <v>200000</v>
      </c>
      <c r="X209" s="370" t="s">
        <v>1570</v>
      </c>
      <c r="Y209" s="280" t="str">
        <f t="shared" si="88"/>
        <v/>
      </c>
      <c r="Z209" s="143" t="str">
        <f>IF(AND(ISBLANK('Validations table'!E38),AND(A209&lt;&gt;"",OR(K209&lt;0,M209&lt;0,P209&lt;0))), "There is a deficit on this academy's closing reserves either at the end of Yr1, Yr2 or Yr3. Could you explain the circumstances and what steps are planned/ you took  to eliminate the deficit.","")</f>
        <v/>
      </c>
    </row>
    <row r="210" spans="1:26" s="342" customFormat="1" ht="60" customHeight="1" x14ac:dyDescent="0.35">
      <c r="A210" s="482" t="str">
        <f>IF('Finance questions'!$F$5=2, TRIM('Organisation user'!B30),"")</f>
        <v/>
      </c>
      <c r="B210" s="131">
        <v>800</v>
      </c>
      <c r="C210" s="131" t="s">
        <v>16</v>
      </c>
      <c r="D210" s="315"/>
      <c r="E210" s="128" t="str">
        <f t="shared" si="85"/>
        <v/>
      </c>
      <c r="F210" s="343"/>
      <c r="G210" s="321"/>
      <c r="H210" s="321"/>
      <c r="I210" s="343"/>
      <c r="J210" s="343"/>
      <c r="K210" s="321"/>
      <c r="L210" s="321"/>
      <c r="M210" s="321"/>
      <c r="O210" s="321"/>
      <c r="P210" s="321"/>
      <c r="R210" s="283"/>
      <c r="S210" s="143" t="str">
        <f t="shared" si="89"/>
        <v/>
      </c>
      <c r="T210" s="143" t="str">
        <f t="shared" si="90"/>
        <v/>
      </c>
      <c r="U210" s="143" t="str">
        <f t="shared" si="91"/>
        <v/>
      </c>
      <c r="V210" s="272">
        <f>VLOOKUP($B210,'Min max table'!$A$6:$C$209,2,FALSE)</f>
        <v>-200000</v>
      </c>
      <c r="W210" s="334">
        <f>VLOOKUP($B210,'Min max table'!$A$6:$C$206,3,FALSE)</f>
        <v>200000</v>
      </c>
      <c r="X210" s="370" t="s">
        <v>1571</v>
      </c>
      <c r="Y210" s="280" t="str">
        <f t="shared" si="88"/>
        <v/>
      </c>
      <c r="Z210" s="143" t="str">
        <f>IF(AND(ISBLANK('Validations table'!E39),AND(A210&lt;&gt;"",OR(K210&lt;0,M210&lt;0,P210&lt;0))), "There is a deficit on this academy's closing reserves either at the end of Yr1, Yr2 or Yr3. Could you explain the circumstances and what steps are planned/ you took  to eliminate the deficit.","")</f>
        <v/>
      </c>
    </row>
    <row r="211" spans="1:26" s="342" customFormat="1" ht="60" customHeight="1" x14ac:dyDescent="0.35">
      <c r="A211" s="482" t="str">
        <f>IF('Finance questions'!$F$5=2, TRIM('Organisation user'!B31),"")</f>
        <v/>
      </c>
      <c r="B211" s="131">
        <v>800</v>
      </c>
      <c r="C211" s="131" t="s">
        <v>16</v>
      </c>
      <c r="D211" s="315"/>
      <c r="E211" s="128" t="str">
        <f t="shared" si="85"/>
        <v/>
      </c>
      <c r="F211" s="343"/>
      <c r="G211" s="321"/>
      <c r="H211" s="321"/>
      <c r="I211" s="343"/>
      <c r="J211" s="343"/>
      <c r="K211" s="321"/>
      <c r="L211" s="321"/>
      <c r="M211" s="321"/>
      <c r="O211" s="321"/>
      <c r="P211" s="321"/>
      <c r="R211" s="283"/>
      <c r="S211" s="143" t="str">
        <f t="shared" si="89"/>
        <v/>
      </c>
      <c r="T211" s="143" t="str">
        <f t="shared" si="90"/>
        <v/>
      </c>
      <c r="U211" s="143" t="str">
        <f t="shared" si="91"/>
        <v/>
      </c>
      <c r="V211" s="272">
        <f>VLOOKUP($B211,'Min max table'!$A$6:$C$209,2,FALSE)</f>
        <v>-200000</v>
      </c>
      <c r="W211" s="334">
        <f>VLOOKUP($B211,'Min max table'!$A$6:$C$206,3,FALSE)</f>
        <v>200000</v>
      </c>
      <c r="X211" s="370" t="s">
        <v>1572</v>
      </c>
      <c r="Y211" s="280" t="str">
        <f t="shared" si="88"/>
        <v/>
      </c>
      <c r="Z211" s="143" t="str">
        <f>IF(AND(ISBLANK('Validations table'!E40),AND(A211&lt;&gt;"",OR(K211&lt;0,M211&lt;0,P211&lt;0))), "There is a deficit on this academy's closing reserves either at the end of Yr1, Yr2 or Yr3. Could you explain the circumstances and what steps are planned/ you took  to eliminate the deficit.","")</f>
        <v/>
      </c>
    </row>
    <row r="212" spans="1:26" s="342" customFormat="1" ht="60" customHeight="1" x14ac:dyDescent="0.35">
      <c r="A212" s="482" t="str">
        <f>IF('Finance questions'!$F$5=2, TRIM('Organisation user'!B32),"")</f>
        <v/>
      </c>
      <c r="B212" s="131">
        <v>800</v>
      </c>
      <c r="C212" s="131" t="s">
        <v>16</v>
      </c>
      <c r="D212" s="315"/>
      <c r="E212" s="128" t="str">
        <f t="shared" si="85"/>
        <v/>
      </c>
      <c r="F212" s="343"/>
      <c r="G212" s="321"/>
      <c r="H212" s="321"/>
      <c r="I212" s="343"/>
      <c r="J212" s="343"/>
      <c r="K212" s="321"/>
      <c r="L212" s="321"/>
      <c r="M212" s="321"/>
      <c r="O212" s="321"/>
      <c r="P212" s="321"/>
      <c r="R212" s="283"/>
      <c r="S212" s="143" t="str">
        <f t="shared" si="89"/>
        <v/>
      </c>
      <c r="T212" s="143" t="str">
        <f t="shared" si="90"/>
        <v/>
      </c>
      <c r="U212" s="143" t="str">
        <f t="shared" si="91"/>
        <v/>
      </c>
      <c r="V212" s="272">
        <f>VLOOKUP($B212,'Min max table'!$A$6:$C$209,2,FALSE)</f>
        <v>-200000</v>
      </c>
      <c r="W212" s="334">
        <f>VLOOKUP($B212,'Min max table'!$A$6:$C$206,3,FALSE)</f>
        <v>200000</v>
      </c>
      <c r="X212" s="370" t="s">
        <v>1573</v>
      </c>
      <c r="Y212" s="280" t="str">
        <f t="shared" si="88"/>
        <v/>
      </c>
      <c r="Z212" s="143" t="str">
        <f>IF(AND(ISBLANK('Validations table'!E41),AND(A212&lt;&gt;"",OR(K212&lt;0,M212&lt;0,P212&lt;0))), "There is a deficit on this academy's closing reserves either at the end of Yr1, Yr2 or Yr3. Could you explain the circumstances and what steps are planned/ you took  to eliminate the deficit.","")</f>
        <v/>
      </c>
    </row>
    <row r="213" spans="1:26" s="342" customFormat="1" ht="60" customHeight="1" x14ac:dyDescent="0.35">
      <c r="A213" s="482" t="str">
        <f>IF('Finance questions'!$F$5=2, TRIM('Organisation user'!B33),"")</f>
        <v/>
      </c>
      <c r="B213" s="131">
        <v>800</v>
      </c>
      <c r="C213" s="131" t="s">
        <v>16</v>
      </c>
      <c r="D213" s="315"/>
      <c r="E213" s="128" t="str">
        <f t="shared" si="85"/>
        <v/>
      </c>
      <c r="F213" s="343"/>
      <c r="G213" s="321"/>
      <c r="H213" s="321"/>
      <c r="I213" s="343"/>
      <c r="J213" s="343"/>
      <c r="K213" s="321"/>
      <c r="L213" s="321"/>
      <c r="M213" s="321"/>
      <c r="O213" s="321"/>
      <c r="P213" s="321"/>
      <c r="R213" s="283"/>
      <c r="S213" s="143" t="str">
        <f t="shared" si="89"/>
        <v/>
      </c>
      <c r="T213" s="143" t="str">
        <f t="shared" si="90"/>
        <v/>
      </c>
      <c r="U213" s="143" t="str">
        <f t="shared" si="91"/>
        <v/>
      </c>
      <c r="V213" s="272">
        <f>VLOOKUP($B213,'Min max table'!$A$6:$C$209,2,FALSE)</f>
        <v>-200000</v>
      </c>
      <c r="W213" s="334">
        <f>VLOOKUP($B213,'Min max table'!$A$6:$C$206,3,FALSE)</f>
        <v>200000</v>
      </c>
      <c r="X213" s="370" t="s">
        <v>1574</v>
      </c>
      <c r="Y213" s="280" t="str">
        <f t="shared" si="88"/>
        <v/>
      </c>
      <c r="Z213" s="143" t="str">
        <f>IF(AND(ISBLANK('Validations table'!E42),AND(A213&lt;&gt;"",OR(K213&lt;0,M213&lt;0,P213&lt;0))), "There is a deficit on this academy's closing reserves either at the end of Yr1, Yr2 or Yr3. Could you explain the circumstances and what steps are planned/ you took  to eliminate the deficit.","")</f>
        <v/>
      </c>
    </row>
    <row r="214" spans="1:26" s="342" customFormat="1" ht="60" customHeight="1" x14ac:dyDescent="0.35">
      <c r="A214" s="482" t="str">
        <f>IF('Finance questions'!$F$5=2, TRIM('Organisation user'!B34),"")</f>
        <v/>
      </c>
      <c r="B214" s="131">
        <v>800</v>
      </c>
      <c r="C214" s="131" t="s">
        <v>16</v>
      </c>
      <c r="D214" s="315"/>
      <c r="E214" s="128" t="str">
        <f t="shared" si="85"/>
        <v/>
      </c>
      <c r="F214" s="343"/>
      <c r="G214" s="321"/>
      <c r="H214" s="321"/>
      <c r="I214" s="343"/>
      <c r="J214" s="343"/>
      <c r="K214" s="321"/>
      <c r="L214" s="321"/>
      <c r="M214" s="321"/>
      <c r="O214" s="321"/>
      <c r="P214" s="321"/>
      <c r="R214" s="283"/>
      <c r="S214" s="143" t="str">
        <f t="shared" si="89"/>
        <v/>
      </c>
      <c r="T214" s="143" t="str">
        <f t="shared" si="90"/>
        <v/>
      </c>
      <c r="U214" s="143" t="str">
        <f t="shared" si="91"/>
        <v/>
      </c>
      <c r="V214" s="272">
        <f>VLOOKUP($B214,'Min max table'!$A$6:$C$209,2,FALSE)</f>
        <v>-200000</v>
      </c>
      <c r="W214" s="334">
        <f>VLOOKUP($B214,'Min max table'!$A$6:$C$206,3,FALSE)</f>
        <v>200000</v>
      </c>
      <c r="X214" s="370" t="s">
        <v>1575</v>
      </c>
      <c r="Y214" s="280" t="str">
        <f t="shared" si="88"/>
        <v/>
      </c>
      <c r="Z214" s="143" t="str">
        <f>IF(AND(ISBLANK('Validations table'!E43),AND(A214&lt;&gt;"",OR(K214&lt;0,M214&lt;0,P214&lt;0))), "There is a deficit on this academy's closing reserves either at the end of Yr1, Yr2 or Yr3. Could you explain the circumstances and what steps are planned/ you took  to eliminate the deficit.","")</f>
        <v/>
      </c>
    </row>
    <row r="215" spans="1:26" s="342" customFormat="1" ht="60" customHeight="1" x14ac:dyDescent="0.35">
      <c r="A215" s="482" t="str">
        <f>IF('Finance questions'!$F$5=2, TRIM('Organisation user'!B35),"")</f>
        <v/>
      </c>
      <c r="B215" s="131">
        <v>800</v>
      </c>
      <c r="C215" s="131" t="s">
        <v>16</v>
      </c>
      <c r="D215" s="315"/>
      <c r="E215" s="128" t="str">
        <f t="shared" si="85"/>
        <v/>
      </c>
      <c r="F215" s="343"/>
      <c r="G215" s="321"/>
      <c r="H215" s="321"/>
      <c r="I215" s="343"/>
      <c r="J215" s="343"/>
      <c r="K215" s="321"/>
      <c r="L215" s="321"/>
      <c r="M215" s="321"/>
      <c r="O215" s="321"/>
      <c r="P215" s="321"/>
      <c r="R215" s="283"/>
      <c r="S215" s="143" t="str">
        <f t="shared" si="89"/>
        <v/>
      </c>
      <c r="T215" s="143" t="str">
        <f t="shared" si="90"/>
        <v/>
      </c>
      <c r="U215" s="143" t="str">
        <f t="shared" si="91"/>
        <v/>
      </c>
      <c r="V215" s="272">
        <f>VLOOKUP($B215,'Min max table'!$A$6:$C$209,2,FALSE)</f>
        <v>-200000</v>
      </c>
      <c r="W215" s="334">
        <f>VLOOKUP($B215,'Min max table'!$A$6:$C$206,3,FALSE)</f>
        <v>200000</v>
      </c>
      <c r="X215" s="370" t="s">
        <v>1576</v>
      </c>
      <c r="Y215" s="280" t="str">
        <f t="shared" si="88"/>
        <v/>
      </c>
      <c r="Z215" s="143" t="str">
        <f>IF(AND(ISBLANK('Validations table'!E44),AND(A215&lt;&gt;"",OR(K215&lt;0,M215&lt;0,P215&lt;0))), "There is a deficit on this academy's closing reserves either at the end of Yr1, Yr2 or Yr3. Could you explain the circumstances and what steps are planned/ you took  to eliminate the deficit.","")</f>
        <v/>
      </c>
    </row>
    <row r="216" spans="1:26" s="342" customFormat="1" ht="60" customHeight="1" x14ac:dyDescent="0.35">
      <c r="A216" s="482" t="str">
        <f>IF('Finance questions'!$F$5=2, TRIM('Organisation user'!B36),"")</f>
        <v/>
      </c>
      <c r="B216" s="131">
        <v>800</v>
      </c>
      <c r="C216" s="131" t="s">
        <v>16</v>
      </c>
      <c r="D216" s="315"/>
      <c r="E216" s="128" t="str">
        <f t="shared" si="85"/>
        <v/>
      </c>
      <c r="F216" s="343"/>
      <c r="G216" s="321"/>
      <c r="H216" s="321"/>
      <c r="I216" s="343"/>
      <c r="J216" s="343"/>
      <c r="K216" s="321"/>
      <c r="L216" s="321"/>
      <c r="M216" s="321"/>
      <c r="O216" s="321"/>
      <c r="P216" s="321"/>
      <c r="R216" s="283"/>
      <c r="S216" s="143" t="str">
        <f t="shared" si="89"/>
        <v/>
      </c>
      <c r="T216" s="143" t="str">
        <f t="shared" si="90"/>
        <v/>
      </c>
      <c r="U216" s="143" t="str">
        <f t="shared" si="91"/>
        <v/>
      </c>
      <c r="V216" s="272">
        <f>VLOOKUP($B216,'Min max table'!$A$6:$C$209,2,FALSE)</f>
        <v>-200000</v>
      </c>
      <c r="W216" s="334">
        <f>VLOOKUP($B216,'Min max table'!$A$6:$C$206,3,FALSE)</f>
        <v>200000</v>
      </c>
      <c r="X216" s="370" t="s">
        <v>1577</v>
      </c>
      <c r="Y216" s="280" t="str">
        <f>IF(Z216="","","Refer to "&amp;X216&amp;" in the validations table")</f>
        <v/>
      </c>
      <c r="Z216" s="143" t="str">
        <f>IF(AND(ISBLANK('Validations table'!E45),AND(A216&lt;&gt;"",OR(K216&lt;0,M216&lt;0,P216&lt;0))), "There is a deficit on this academy's closing reserves either at the end of Yr1, Yr2 or Yr3. Could you explain the circumstances and what steps are planned/ you took  to eliminate the deficit.","")</f>
        <v/>
      </c>
    </row>
    <row r="217" spans="1:26" s="342" customFormat="1" ht="60" customHeight="1" x14ac:dyDescent="0.35">
      <c r="A217" s="482" t="str">
        <f>IF('Finance questions'!$F$5=2, TRIM('Organisation user'!B37),"")</f>
        <v/>
      </c>
      <c r="B217" s="131">
        <v>800</v>
      </c>
      <c r="C217" s="131" t="s">
        <v>16</v>
      </c>
      <c r="D217" s="315"/>
      <c r="E217" s="128" t="str">
        <f t="shared" si="85"/>
        <v/>
      </c>
      <c r="F217" s="343"/>
      <c r="G217" s="321"/>
      <c r="H217" s="321"/>
      <c r="I217" s="343"/>
      <c r="J217" s="343"/>
      <c r="K217" s="321"/>
      <c r="L217" s="321"/>
      <c r="M217" s="321"/>
      <c r="O217" s="321"/>
      <c r="P217" s="321"/>
      <c r="R217" s="283"/>
      <c r="S217" s="143" t="str">
        <f t="shared" si="89"/>
        <v/>
      </c>
      <c r="T217" s="143" t="str">
        <f t="shared" si="90"/>
        <v/>
      </c>
      <c r="U217" s="143" t="str">
        <f t="shared" si="91"/>
        <v/>
      </c>
      <c r="V217" s="272">
        <f>VLOOKUP($B217,'Min max table'!$A$6:$C$209,2,FALSE)</f>
        <v>-200000</v>
      </c>
      <c r="W217" s="334">
        <f>VLOOKUP($B217,'Min max table'!$A$6:$C$206,3,FALSE)</f>
        <v>200000</v>
      </c>
      <c r="X217" s="370" t="s">
        <v>1578</v>
      </c>
      <c r="Y217" s="280" t="str">
        <f t="shared" si="88"/>
        <v/>
      </c>
      <c r="Z217" s="143" t="str">
        <f>IF(AND(ISBLANK('Validations table'!E46),AND(A217&lt;&gt;"",OR(K217&lt;0,M217&lt;0,P217&lt;0))), "There is a deficit on this academy's closing reserves either at the end of Yr1, Yr2 or Yr3. Could you explain the circumstances and what steps are planned/ you took  to eliminate the deficit.","")</f>
        <v/>
      </c>
    </row>
    <row r="218" spans="1:26" s="342" customFormat="1" ht="60" customHeight="1" x14ac:dyDescent="0.35">
      <c r="A218" s="482" t="str">
        <f>IF('Finance questions'!$F$5=2, TRIM('Organisation user'!B38),"")</f>
        <v/>
      </c>
      <c r="B218" s="131">
        <v>800</v>
      </c>
      <c r="C218" s="131" t="s">
        <v>16</v>
      </c>
      <c r="D218" s="315"/>
      <c r="E218" s="128" t="str">
        <f t="shared" si="85"/>
        <v/>
      </c>
      <c r="F218" s="343"/>
      <c r="G218" s="321"/>
      <c r="H218" s="321"/>
      <c r="I218" s="343"/>
      <c r="J218" s="343"/>
      <c r="K218" s="321"/>
      <c r="L218" s="321"/>
      <c r="M218" s="321"/>
      <c r="O218" s="321"/>
      <c r="P218" s="321"/>
      <c r="R218" s="283"/>
      <c r="S218" s="143" t="str">
        <f t="shared" si="89"/>
        <v/>
      </c>
      <c r="T218" s="143" t="str">
        <f t="shared" si="90"/>
        <v/>
      </c>
      <c r="U218" s="143" t="str">
        <f t="shared" si="91"/>
        <v/>
      </c>
      <c r="V218" s="272">
        <f>VLOOKUP($B218,'Min max table'!$A$6:$C$209,2,FALSE)</f>
        <v>-200000</v>
      </c>
      <c r="W218" s="334">
        <f>VLOOKUP($B218,'Min max table'!$A$6:$C$206,3,FALSE)</f>
        <v>200000</v>
      </c>
      <c r="X218" s="370" t="s">
        <v>1579</v>
      </c>
      <c r="Y218" s="280" t="str">
        <f t="shared" si="88"/>
        <v/>
      </c>
      <c r="Z218" s="143" t="str">
        <f>IF(AND(ISBLANK('Validations table'!E47),AND(A218&lt;&gt;"",OR(K218&lt;0,M218&lt;0,P218&lt;0))), "There is a deficit on this academy's closing reserves either at the end of Yr1, Yr2 or Yr3. Could you explain the circumstances and what steps are planned/ you took  to eliminate the deficit.","")</f>
        <v/>
      </c>
    </row>
    <row r="219" spans="1:26" s="342" customFormat="1" ht="60" customHeight="1" x14ac:dyDescent="0.35">
      <c r="A219" s="482" t="str">
        <f>IF('Finance questions'!$F$5=2, TRIM('Organisation user'!B39),"")</f>
        <v/>
      </c>
      <c r="B219" s="131">
        <v>800</v>
      </c>
      <c r="C219" s="131" t="s">
        <v>16</v>
      </c>
      <c r="D219" s="315"/>
      <c r="E219" s="128" t="str">
        <f t="shared" si="85"/>
        <v/>
      </c>
      <c r="F219" s="343"/>
      <c r="G219" s="321"/>
      <c r="H219" s="321"/>
      <c r="I219" s="343"/>
      <c r="J219" s="343"/>
      <c r="K219" s="321"/>
      <c r="L219" s="321"/>
      <c r="M219" s="321"/>
      <c r="O219" s="321"/>
      <c r="P219" s="321"/>
      <c r="R219" s="283"/>
      <c r="S219" s="143" t="str">
        <f t="shared" si="89"/>
        <v/>
      </c>
      <c r="T219" s="143" t="str">
        <f t="shared" si="90"/>
        <v/>
      </c>
      <c r="U219" s="143" t="str">
        <f t="shared" si="91"/>
        <v/>
      </c>
      <c r="V219" s="272">
        <f>VLOOKUP($B219,'Min max table'!$A$6:$C$209,2,FALSE)</f>
        <v>-200000</v>
      </c>
      <c r="W219" s="334">
        <f>VLOOKUP($B219,'Min max table'!$A$6:$C$206,3,FALSE)</f>
        <v>200000</v>
      </c>
      <c r="X219" s="370" t="s">
        <v>1580</v>
      </c>
      <c r="Y219" s="280" t="str">
        <f t="shared" si="88"/>
        <v/>
      </c>
      <c r="Z219" s="143" t="str">
        <f>IF(AND(ISBLANK('Validations table'!E48),AND(A219&lt;&gt;"",OR(K219&lt;0,M219&lt;0,P219&lt;0))), "There is a deficit on this academy's closing reserves either at the end of Yr1, Yr2 or Yr3. Could you explain the circumstances and what steps are planned/ you took  to eliminate the deficit.","")</f>
        <v/>
      </c>
    </row>
    <row r="220" spans="1:26" s="342" customFormat="1" ht="60" customHeight="1" x14ac:dyDescent="0.35">
      <c r="A220" s="482" t="str">
        <f>IF('Finance questions'!$F$5=2, TRIM('Organisation user'!B40),"")</f>
        <v/>
      </c>
      <c r="B220" s="131">
        <v>800</v>
      </c>
      <c r="C220" s="131" t="s">
        <v>16</v>
      </c>
      <c r="D220" s="315"/>
      <c r="E220" s="128" t="str">
        <f t="shared" si="85"/>
        <v/>
      </c>
      <c r="F220" s="343"/>
      <c r="G220" s="321"/>
      <c r="H220" s="321"/>
      <c r="I220" s="343"/>
      <c r="J220" s="343"/>
      <c r="K220" s="321"/>
      <c r="L220" s="321"/>
      <c r="M220" s="321"/>
      <c r="O220" s="321"/>
      <c r="P220" s="321"/>
      <c r="R220" s="283"/>
      <c r="S220" s="143" t="str">
        <f t="shared" si="89"/>
        <v/>
      </c>
      <c r="T220" s="143" t="str">
        <f t="shared" si="90"/>
        <v/>
      </c>
      <c r="U220" s="143" t="str">
        <f t="shared" si="91"/>
        <v/>
      </c>
      <c r="V220" s="272">
        <f>VLOOKUP($B220,'Min max table'!$A$6:$C$209,2,FALSE)</f>
        <v>-200000</v>
      </c>
      <c r="W220" s="396">
        <f>VLOOKUP($B220,'Min max table'!$A$6:$C$206,3,FALSE)</f>
        <v>200000</v>
      </c>
      <c r="X220" s="332" t="s">
        <v>1581</v>
      </c>
      <c r="Y220" s="280" t="str">
        <f t="shared" si="88"/>
        <v/>
      </c>
      <c r="Z220" s="143" t="str">
        <f>IF(AND(ISBLANK('Validations table'!E49),AND(A220&lt;&gt;"",OR(K220&lt;0,M220&lt;0,P220&lt;0))), "There is a deficit on this academy's closing reserves either at the end of Yr1, Yr2 or Yr3. Could you explain the circumstances and what steps are planned/ you took  to eliminate the deficit.","")</f>
        <v/>
      </c>
    </row>
    <row r="221" spans="1:26" s="342" customFormat="1" ht="60" customHeight="1" x14ac:dyDescent="0.35">
      <c r="A221" s="482" t="str">
        <f>IF('Finance questions'!$F$5=2, TRIM('Organisation user'!B41),"")</f>
        <v/>
      </c>
      <c r="B221" s="131">
        <v>800</v>
      </c>
      <c r="C221" s="131" t="s">
        <v>16</v>
      </c>
      <c r="D221" s="315"/>
      <c r="E221" s="128" t="str">
        <f t="shared" si="85"/>
        <v/>
      </c>
      <c r="F221" s="343"/>
      <c r="G221" s="321"/>
      <c r="H221" s="321"/>
      <c r="I221" s="343"/>
      <c r="J221" s="343"/>
      <c r="K221" s="321"/>
      <c r="L221" s="321"/>
      <c r="M221" s="321"/>
      <c r="O221" s="321"/>
      <c r="P221" s="321"/>
      <c r="R221" s="283"/>
      <c r="S221" s="143" t="str">
        <f t="shared" si="89"/>
        <v/>
      </c>
      <c r="T221" s="143" t="str">
        <f t="shared" si="90"/>
        <v/>
      </c>
      <c r="U221" s="143" t="str">
        <f t="shared" si="91"/>
        <v/>
      </c>
      <c r="V221" s="272">
        <f>VLOOKUP($B221,'Min max table'!$A$6:$C$209,2,FALSE)</f>
        <v>-200000</v>
      </c>
      <c r="W221" s="396">
        <f>VLOOKUP($B221,'Min max table'!$A$6:$C$206,3,FALSE)</f>
        <v>200000</v>
      </c>
      <c r="X221" s="332" t="s">
        <v>1582</v>
      </c>
      <c r="Y221" s="280" t="str">
        <f t="shared" si="88"/>
        <v/>
      </c>
      <c r="Z221" s="143" t="str">
        <f>IF(AND(ISBLANK('Validations table'!E50),AND(A221&lt;&gt;"",OR(K221&lt;0,M221&lt;0,P221&lt;0))), "There is a deficit on this academy's closing reserves either at the end of Yr1, Yr2 or Yr3. Could you explain the circumstances and what steps are planned/ you took  to eliminate the deficit.","")</f>
        <v/>
      </c>
    </row>
    <row r="222" spans="1:26" s="342" customFormat="1" ht="60" customHeight="1" x14ac:dyDescent="0.35">
      <c r="A222" s="482" t="str">
        <f>IF('Finance questions'!$F$5=2, TRIM('Organisation user'!B42),"")</f>
        <v/>
      </c>
      <c r="B222" s="131">
        <v>800</v>
      </c>
      <c r="C222" s="131" t="s">
        <v>16</v>
      </c>
      <c r="D222" s="315"/>
      <c r="E222" s="128" t="str">
        <f t="shared" si="85"/>
        <v/>
      </c>
      <c r="F222" s="343"/>
      <c r="G222" s="321"/>
      <c r="H222" s="321"/>
      <c r="I222" s="343"/>
      <c r="J222" s="343"/>
      <c r="K222" s="321"/>
      <c r="L222" s="321"/>
      <c r="M222" s="321"/>
      <c r="O222" s="321"/>
      <c r="P222" s="321"/>
      <c r="R222" s="283"/>
      <c r="S222" s="143" t="str">
        <f t="shared" si="89"/>
        <v/>
      </c>
      <c r="T222" s="143" t="str">
        <f t="shared" si="90"/>
        <v/>
      </c>
      <c r="U222" s="143" t="str">
        <f t="shared" si="91"/>
        <v/>
      </c>
      <c r="V222" s="272">
        <f>VLOOKUP($B222,'Min max table'!$A$6:$C$209,2,FALSE)</f>
        <v>-200000</v>
      </c>
      <c r="W222" s="396">
        <f>VLOOKUP($B222,'Min max table'!$A$6:$C$206,3,FALSE)</f>
        <v>200000</v>
      </c>
      <c r="X222" s="332" t="s">
        <v>1583</v>
      </c>
      <c r="Y222" s="280" t="str">
        <f t="shared" si="88"/>
        <v/>
      </c>
      <c r="Z222" s="143" t="str">
        <f>IF(AND(ISBLANK('Validations table'!E51),AND(A222&lt;&gt;"",OR(K222&lt;0,M222&lt;0,P222&lt;0))), "There is a deficit on this academy's closing reserves either at the end of Yr1, Yr2 or Yr3. Could you explain the circumstances and what steps are planned/ you took  to eliminate the deficit.","")</f>
        <v/>
      </c>
    </row>
    <row r="223" spans="1:26" s="342" customFormat="1" ht="60" customHeight="1" x14ac:dyDescent="0.35">
      <c r="A223" s="482" t="str">
        <f>IF('Finance questions'!$F$5=2, TRIM('Organisation user'!B43),"")</f>
        <v/>
      </c>
      <c r="B223" s="131">
        <v>800</v>
      </c>
      <c r="C223" s="131" t="s">
        <v>16</v>
      </c>
      <c r="D223" s="315"/>
      <c r="E223" s="128" t="str">
        <f t="shared" si="85"/>
        <v/>
      </c>
      <c r="F223" s="343"/>
      <c r="G223" s="321"/>
      <c r="H223" s="321"/>
      <c r="I223" s="343"/>
      <c r="J223" s="343"/>
      <c r="K223" s="321"/>
      <c r="L223" s="321"/>
      <c r="M223" s="321"/>
      <c r="O223" s="321"/>
      <c r="P223" s="321"/>
      <c r="R223" s="283"/>
      <c r="S223" s="143" t="str">
        <f t="shared" si="89"/>
        <v/>
      </c>
      <c r="T223" s="143" t="str">
        <f t="shared" si="90"/>
        <v/>
      </c>
      <c r="U223" s="143" t="str">
        <f t="shared" si="91"/>
        <v/>
      </c>
      <c r="V223" s="272">
        <f>VLOOKUP($B223,'Min max table'!$A$6:$C$209,2,FALSE)</f>
        <v>-200000</v>
      </c>
      <c r="W223" s="396">
        <f>VLOOKUP($B223,'Min max table'!$A$6:$C$206,3,FALSE)</f>
        <v>200000</v>
      </c>
      <c r="X223" s="332" t="s">
        <v>1584</v>
      </c>
      <c r="Y223" s="280" t="str">
        <f t="shared" si="88"/>
        <v/>
      </c>
      <c r="Z223" s="143" t="str">
        <f>IF(AND(ISBLANK('Validations table'!E52),AND(A223&lt;&gt;"",OR(K223&lt;0,M223&lt;0,P223&lt;0))), "There is a deficit on this academy's closing reserves either at the end of Yr1, Yr2 or Yr3. Could you explain the circumstances and what steps are planned/ you took  to eliminate the deficit.","")</f>
        <v/>
      </c>
    </row>
    <row r="224" spans="1:26" s="342" customFormat="1" ht="60" customHeight="1" x14ac:dyDescent="0.35">
      <c r="A224" s="482" t="str">
        <f>IF('Finance questions'!$F$5=2, TRIM('Organisation user'!B44),"")</f>
        <v/>
      </c>
      <c r="B224" s="131">
        <v>800</v>
      </c>
      <c r="C224" s="131" t="s">
        <v>16</v>
      </c>
      <c r="D224" s="315"/>
      <c r="E224" s="128" t="str">
        <f t="shared" si="85"/>
        <v/>
      </c>
      <c r="F224" s="343"/>
      <c r="G224" s="321"/>
      <c r="H224" s="321"/>
      <c r="I224" s="343"/>
      <c r="J224" s="343"/>
      <c r="K224" s="321"/>
      <c r="L224" s="321"/>
      <c r="M224" s="321"/>
      <c r="O224" s="321"/>
      <c r="P224" s="321"/>
      <c r="R224" s="283"/>
      <c r="S224" s="143" t="str">
        <f t="shared" si="89"/>
        <v/>
      </c>
      <c r="T224" s="143" t="str">
        <f t="shared" si="90"/>
        <v/>
      </c>
      <c r="U224" s="143" t="str">
        <f t="shared" si="91"/>
        <v/>
      </c>
      <c r="V224" s="272">
        <f>VLOOKUP($B224,'Min max table'!$A$6:$C$209,2,FALSE)</f>
        <v>-200000</v>
      </c>
      <c r="W224" s="396">
        <f>VLOOKUP($B224,'Min max table'!$A$6:$C$206,3,FALSE)</f>
        <v>200000</v>
      </c>
      <c r="X224" s="332" t="s">
        <v>1585</v>
      </c>
      <c r="Y224" s="280" t="str">
        <f t="shared" si="88"/>
        <v/>
      </c>
      <c r="Z224" s="143" t="str">
        <f>IF(AND(ISBLANK('Validations table'!E53),AND(A224&lt;&gt;"",OR(K224&lt;0,M224&lt;0,P224&lt;0))), "There is a deficit on this academy's closing reserves either at the end of Yr1, Yr2 or Yr3. Could you explain the circumstances and what steps are planned/ you took  to eliminate the deficit.","")</f>
        <v/>
      </c>
    </row>
    <row r="225" spans="1:26" s="342" customFormat="1" ht="60" customHeight="1" x14ac:dyDescent="0.35">
      <c r="A225" s="482" t="str">
        <f>IF('Finance questions'!$F$5=2, TRIM('Organisation user'!B45),"")</f>
        <v/>
      </c>
      <c r="B225" s="131">
        <v>800</v>
      </c>
      <c r="C225" s="131" t="s">
        <v>16</v>
      </c>
      <c r="D225" s="315"/>
      <c r="E225" s="128" t="str">
        <f t="shared" si="85"/>
        <v/>
      </c>
      <c r="F225" s="343"/>
      <c r="G225" s="321"/>
      <c r="H225" s="321"/>
      <c r="I225" s="343"/>
      <c r="J225" s="343"/>
      <c r="K225" s="321"/>
      <c r="L225" s="321"/>
      <c r="M225" s="321"/>
      <c r="O225" s="321"/>
      <c r="P225" s="321"/>
      <c r="R225" s="283"/>
      <c r="S225" s="143" t="str">
        <f t="shared" si="89"/>
        <v/>
      </c>
      <c r="T225" s="143" t="str">
        <f t="shared" si="90"/>
        <v/>
      </c>
      <c r="U225" s="143" t="str">
        <f t="shared" si="91"/>
        <v/>
      </c>
      <c r="V225" s="272">
        <f>VLOOKUP($B225,'Min max table'!$A$6:$C$209,2,FALSE)</f>
        <v>-200000</v>
      </c>
      <c r="W225" s="396">
        <f>VLOOKUP($B225,'Min max table'!$A$6:$C$206,3,FALSE)</f>
        <v>200000</v>
      </c>
      <c r="X225" s="332" t="s">
        <v>1586</v>
      </c>
      <c r="Y225" s="280" t="str">
        <f t="shared" si="88"/>
        <v/>
      </c>
      <c r="Z225" s="143" t="str">
        <f>IF(AND(ISBLANK('Validations table'!E54),AND(A225&lt;&gt;"",OR(K225&lt;0,M225&lt;0,P225&lt;0))), "There is a deficit on this academy's closing reserves either at the end of Yr1, Yr2 or Yr3. Could you explain the circumstances and what steps are planned/ you took  to eliminate the deficit.","")</f>
        <v/>
      </c>
    </row>
    <row r="226" spans="1:26" s="342" customFormat="1" ht="60" customHeight="1" x14ac:dyDescent="0.35">
      <c r="A226" s="482" t="str">
        <f>IF('Finance questions'!$F$5=2, TRIM('Organisation user'!B46),"")</f>
        <v/>
      </c>
      <c r="B226" s="131">
        <v>800</v>
      </c>
      <c r="C226" s="131" t="s">
        <v>16</v>
      </c>
      <c r="D226" s="315"/>
      <c r="E226" s="128" t="str">
        <f t="shared" si="85"/>
        <v/>
      </c>
      <c r="F226" s="343"/>
      <c r="G226" s="321"/>
      <c r="H226" s="321"/>
      <c r="I226" s="343"/>
      <c r="J226" s="343"/>
      <c r="K226" s="321"/>
      <c r="L226" s="321"/>
      <c r="M226" s="321"/>
      <c r="O226" s="321"/>
      <c r="P226" s="321"/>
      <c r="R226" s="283"/>
      <c r="S226" s="143" t="str">
        <f t="shared" si="89"/>
        <v/>
      </c>
      <c r="T226" s="143" t="str">
        <f t="shared" si="90"/>
        <v/>
      </c>
      <c r="U226" s="143" t="str">
        <f t="shared" si="91"/>
        <v/>
      </c>
      <c r="V226" s="272">
        <f>VLOOKUP($B226,'Min max table'!$A$6:$C$209,2,FALSE)</f>
        <v>-200000</v>
      </c>
      <c r="W226" s="396">
        <f>VLOOKUP($B226,'Min max table'!$A$6:$C$206,3,FALSE)</f>
        <v>200000</v>
      </c>
      <c r="X226" s="332" t="s">
        <v>1587</v>
      </c>
      <c r="Y226" s="280" t="str">
        <f t="shared" si="88"/>
        <v/>
      </c>
      <c r="Z226" s="143" t="str">
        <f>IF(AND(ISBLANK('Validations table'!E55),AND(A226&lt;&gt;"",OR(K226&lt;0,M226&lt;0,P226&lt;0))), "There is a deficit on this academy's closing reserves either at the end of Yr1, Yr2 or Yr3. Could you explain the circumstances and what steps are planned/ you took  to eliminate the deficit.","")</f>
        <v/>
      </c>
    </row>
    <row r="227" spans="1:26" s="342" customFormat="1" ht="60" customHeight="1" x14ac:dyDescent="0.35">
      <c r="A227" s="482" t="str">
        <f>IF('Finance questions'!$F$5=2, TRIM('Organisation user'!B47),"")</f>
        <v/>
      </c>
      <c r="B227" s="131">
        <v>800</v>
      </c>
      <c r="C227" s="131" t="s">
        <v>16</v>
      </c>
      <c r="D227" s="315"/>
      <c r="E227" s="128" t="str">
        <f t="shared" si="85"/>
        <v/>
      </c>
      <c r="F227" s="343"/>
      <c r="G227" s="321"/>
      <c r="H227" s="321"/>
      <c r="I227" s="343"/>
      <c r="J227" s="343"/>
      <c r="K227" s="321"/>
      <c r="L227" s="321"/>
      <c r="M227" s="321"/>
      <c r="O227" s="321"/>
      <c r="P227" s="321"/>
      <c r="R227" s="283"/>
      <c r="S227" s="143" t="str">
        <f t="shared" si="89"/>
        <v/>
      </c>
      <c r="T227" s="143" t="str">
        <f t="shared" si="90"/>
        <v/>
      </c>
      <c r="U227" s="143" t="str">
        <f t="shared" si="91"/>
        <v/>
      </c>
      <c r="V227" s="272">
        <f>VLOOKUP($B227,'Min max table'!$A$6:$C$209,2,FALSE)</f>
        <v>-200000</v>
      </c>
      <c r="W227" s="396">
        <f>VLOOKUP($B227,'Min max table'!$A$6:$C$206,3,FALSE)</f>
        <v>200000</v>
      </c>
      <c r="X227" s="332" t="s">
        <v>1588</v>
      </c>
      <c r="Y227" s="280" t="str">
        <f t="shared" si="88"/>
        <v/>
      </c>
      <c r="Z227" s="143" t="str">
        <f>IF(AND(ISBLANK('Validations table'!E56),AND(A227&lt;&gt;"",OR(K227&lt;0,M227&lt;0,P227&lt;0))), "There is a deficit on this academy's closing reserves either at the end of Yr1, Yr2 or Yr3. Could you explain the circumstances and what steps are planned/ you took  to eliminate the deficit.","")</f>
        <v/>
      </c>
    </row>
    <row r="228" spans="1:26" s="342" customFormat="1" ht="60" customHeight="1" x14ac:dyDescent="0.35">
      <c r="A228" s="482" t="str">
        <f>IF('Finance questions'!$F$5=2, TRIM('Organisation user'!B48),"")</f>
        <v/>
      </c>
      <c r="B228" s="131">
        <v>800</v>
      </c>
      <c r="C228" s="131" t="s">
        <v>16</v>
      </c>
      <c r="D228" s="315"/>
      <c r="E228" s="128" t="str">
        <f t="shared" si="85"/>
        <v/>
      </c>
      <c r="F228" s="343"/>
      <c r="G228" s="321"/>
      <c r="H228" s="321"/>
      <c r="I228" s="343"/>
      <c r="J228" s="343"/>
      <c r="K228" s="321"/>
      <c r="L228" s="321"/>
      <c r="M228" s="321"/>
      <c r="O228" s="321"/>
      <c r="P228" s="321"/>
      <c r="R228" s="283"/>
      <c r="S228" s="143" t="str">
        <f t="shared" si="89"/>
        <v/>
      </c>
      <c r="T228" s="143" t="str">
        <f t="shared" si="90"/>
        <v/>
      </c>
      <c r="U228" s="143" t="str">
        <f t="shared" si="91"/>
        <v/>
      </c>
      <c r="V228" s="272">
        <f>VLOOKUP($B228,'Min max table'!$A$6:$C$209,2,FALSE)</f>
        <v>-200000</v>
      </c>
      <c r="W228" s="396">
        <f>VLOOKUP($B228,'Min max table'!$A$6:$C$206,3,FALSE)</f>
        <v>200000</v>
      </c>
      <c r="X228" s="332" t="s">
        <v>1589</v>
      </c>
      <c r="Y228" s="280" t="str">
        <f t="shared" si="88"/>
        <v/>
      </c>
      <c r="Z228" s="143" t="str">
        <f>IF(AND(ISBLANK('Validations table'!E57),AND(A228&lt;&gt;"",OR(K228&lt;0,M228&lt;0,P228&lt;0))), "There is a deficit on this academy's closing reserves either at the end of Yr1, Yr2 or Yr3. Could you explain the circumstances and what steps are planned/ you took  to eliminate the deficit.","")</f>
        <v/>
      </c>
    </row>
    <row r="229" spans="1:26" s="342" customFormat="1" ht="60" customHeight="1" x14ac:dyDescent="0.35">
      <c r="A229" s="482" t="str">
        <f>IF('Finance questions'!$F$5=2, TRIM('Organisation user'!B49),"")</f>
        <v/>
      </c>
      <c r="B229" s="131">
        <v>800</v>
      </c>
      <c r="C229" s="131" t="s">
        <v>16</v>
      </c>
      <c r="D229" s="315"/>
      <c r="E229" s="128" t="str">
        <f t="shared" si="85"/>
        <v/>
      </c>
      <c r="F229" s="343"/>
      <c r="G229" s="321"/>
      <c r="H229" s="321"/>
      <c r="I229" s="343"/>
      <c r="J229" s="343"/>
      <c r="K229" s="321"/>
      <c r="L229" s="321"/>
      <c r="M229" s="321"/>
      <c r="O229" s="321"/>
      <c r="P229" s="321"/>
      <c r="R229" s="283"/>
      <c r="S229" s="143" t="str">
        <f t="shared" si="89"/>
        <v/>
      </c>
      <c r="T229" s="143" t="str">
        <f t="shared" si="90"/>
        <v/>
      </c>
      <c r="U229" s="143" t="str">
        <f t="shared" si="91"/>
        <v/>
      </c>
      <c r="V229" s="272">
        <f>VLOOKUP($B229,'Min max table'!$A$6:$C$209,2,FALSE)</f>
        <v>-200000</v>
      </c>
      <c r="W229" s="396">
        <f>VLOOKUP($B229,'Min max table'!$A$6:$C$206,3,FALSE)</f>
        <v>200000</v>
      </c>
      <c r="X229" s="332" t="s">
        <v>1590</v>
      </c>
      <c r="Y229" s="280" t="str">
        <f t="shared" si="88"/>
        <v/>
      </c>
      <c r="Z229" s="143" t="str">
        <f>IF(AND(ISBLANK('Validations table'!E58),AND(A229&lt;&gt;"",OR(K229&lt;0,M229&lt;0,P229&lt;0))), "There is a deficit on this academy's closing reserves either at the end of Yr1, Yr2 or Yr3. Could you explain the circumstances and what steps are planned/ you took  to eliminate the deficit.","")</f>
        <v/>
      </c>
    </row>
    <row r="230" spans="1:26" s="342" customFormat="1" ht="60" customHeight="1" x14ac:dyDescent="0.35">
      <c r="A230" s="482" t="str">
        <f>IF('Finance questions'!$F$5=2, TRIM('Organisation user'!B50),"")</f>
        <v/>
      </c>
      <c r="B230" s="131">
        <v>800</v>
      </c>
      <c r="C230" s="131" t="s">
        <v>16</v>
      </c>
      <c r="D230" s="315"/>
      <c r="E230" s="128" t="str">
        <f t="shared" si="85"/>
        <v/>
      </c>
      <c r="F230" s="343"/>
      <c r="G230" s="321"/>
      <c r="H230" s="321"/>
      <c r="I230" s="343"/>
      <c r="J230" s="343"/>
      <c r="K230" s="321"/>
      <c r="L230" s="321"/>
      <c r="M230" s="321"/>
      <c r="O230" s="321"/>
      <c r="P230" s="321"/>
      <c r="R230" s="283"/>
      <c r="S230" s="143" t="str">
        <f>IF(OR(G230-ROUND(G230,)&lt;&gt;0,H230-ROUND(H230,)&lt;&gt;0,K230-ROUND(K230,)&lt;&gt;0,L230-ROUND(L230,)&lt;&gt;0,M230-ROUND(M230,)&lt;&gt;0,O230-ROUND(O230,)&lt;&gt;0,P230-ROUND(P230,)&lt;&gt;0),"No decimal places, letters &amp; odd characters allowed","")</f>
        <v/>
      </c>
      <c r="T230" s="143" t="str">
        <f t="shared" si="90"/>
        <v/>
      </c>
      <c r="U230" s="143" t="str">
        <f t="shared" si="91"/>
        <v/>
      </c>
      <c r="V230" s="272">
        <f>VLOOKUP($B230,'Min max table'!$A$6:$C$209,2,FALSE)</f>
        <v>-200000</v>
      </c>
      <c r="W230" s="396">
        <f>VLOOKUP($B230,'Min max table'!$A$6:$C$206,3,FALSE)</f>
        <v>200000</v>
      </c>
      <c r="X230" s="332" t="s">
        <v>1591</v>
      </c>
      <c r="Y230" s="280" t="str">
        <f t="shared" si="88"/>
        <v/>
      </c>
      <c r="Z230" s="143" t="str">
        <f>IF(AND(ISBLANK('Validations table'!E59),AND(A230&lt;&gt;"",OR(K230&lt;0,M230&lt;0,P230&lt;0))), "There is a deficit on this academy's closing reserves either at the end of Yr1, Yr2 or Yr3. Could you explain the circumstances and what steps are planned/ you took  to eliminate the deficit.","")</f>
        <v/>
      </c>
    </row>
    <row r="231" spans="1:26" s="342" customFormat="1" ht="60" customHeight="1" x14ac:dyDescent="0.35">
      <c r="A231" s="482" t="str">
        <f>IF('Finance questions'!$F$5=2, TRIM('Organisation user'!B51),"")</f>
        <v/>
      </c>
      <c r="B231" s="131">
        <v>800</v>
      </c>
      <c r="C231" s="131" t="s">
        <v>16</v>
      </c>
      <c r="D231" s="315"/>
      <c r="E231" s="128" t="str">
        <f t="shared" si="85"/>
        <v/>
      </c>
      <c r="F231" s="343"/>
      <c r="G231" s="321"/>
      <c r="H231" s="321"/>
      <c r="I231" s="343"/>
      <c r="J231" s="343"/>
      <c r="K231" s="321"/>
      <c r="L231" s="321"/>
      <c r="M231" s="321"/>
      <c r="O231" s="321"/>
      <c r="P231" s="321"/>
      <c r="R231" s="283"/>
      <c r="S231" s="143" t="str">
        <f t="shared" si="89"/>
        <v/>
      </c>
      <c r="T231" s="143" t="str">
        <f t="shared" si="90"/>
        <v/>
      </c>
      <c r="U231" s="143" t="str">
        <f t="shared" si="91"/>
        <v/>
      </c>
      <c r="V231" s="272">
        <f>VLOOKUP($B231,'Min max table'!$A$6:$C$209,2,FALSE)</f>
        <v>-200000</v>
      </c>
      <c r="W231" s="396">
        <f>VLOOKUP($B231,'Min max table'!$A$6:$C$206,3,FALSE)</f>
        <v>200000</v>
      </c>
      <c r="X231" s="332" t="s">
        <v>1592</v>
      </c>
      <c r="Y231" s="280" t="str">
        <f t="shared" si="88"/>
        <v/>
      </c>
      <c r="Z231" s="143" t="str">
        <f>IF(AND(ISBLANK('Validations table'!E60),AND(A231&lt;&gt;"",OR(K231&lt;0,M231&lt;0,P231&lt;0))), "There is a deficit on this academy's closing reserves either at the end of Yr1, Yr2 or Yr3. Could you explain the circumstances and what steps are planned/ you took  to eliminate the deficit.","")</f>
        <v/>
      </c>
    </row>
    <row r="232" spans="1:26" s="342" customFormat="1" ht="60" customHeight="1" x14ac:dyDescent="0.35">
      <c r="A232" s="482" t="str">
        <f>IF('Finance questions'!$F$5=2, TRIM('Organisation user'!B52),"")</f>
        <v/>
      </c>
      <c r="B232" s="131">
        <v>800</v>
      </c>
      <c r="C232" s="131" t="s">
        <v>16</v>
      </c>
      <c r="D232" s="315"/>
      <c r="E232" s="128" t="str">
        <f t="shared" si="85"/>
        <v/>
      </c>
      <c r="F232" s="343"/>
      <c r="G232" s="321"/>
      <c r="H232" s="321"/>
      <c r="I232" s="343"/>
      <c r="J232" s="343"/>
      <c r="K232" s="321"/>
      <c r="L232" s="321"/>
      <c r="M232" s="321"/>
      <c r="O232" s="321"/>
      <c r="P232" s="321"/>
      <c r="R232" s="283"/>
      <c r="S232" s="143" t="str">
        <f t="shared" si="89"/>
        <v/>
      </c>
      <c r="T232" s="143" t="str">
        <f t="shared" si="90"/>
        <v/>
      </c>
      <c r="U232" s="143" t="str">
        <f t="shared" si="91"/>
        <v/>
      </c>
      <c r="V232" s="272">
        <f>VLOOKUP($B232,'Min max table'!$A$6:$C$209,2,FALSE)</f>
        <v>-200000</v>
      </c>
      <c r="W232" s="396">
        <f>VLOOKUP($B232,'Min max table'!$A$6:$C$206,3,FALSE)</f>
        <v>200000</v>
      </c>
      <c r="X232" s="332" t="s">
        <v>1593</v>
      </c>
      <c r="Y232" s="280" t="str">
        <f t="shared" si="88"/>
        <v/>
      </c>
      <c r="Z232" s="143" t="str">
        <f>IF(AND(ISBLANK('Validations table'!E61),AND(A232&lt;&gt;"",OR(K232&lt;0,M232&lt;0,P232&lt;0))), "There is a deficit on this academy's closing reserves either at the end of Yr1, Yr2 or Yr3. Could you explain the circumstances and what steps are planned/ you took  to eliminate the deficit.","")</f>
        <v/>
      </c>
    </row>
    <row r="233" spans="1:26" s="342" customFormat="1" ht="60" customHeight="1" x14ac:dyDescent="0.35">
      <c r="A233" s="482" t="str">
        <f>IF('Finance questions'!$F$5=2, TRIM('Organisation user'!B53),"")</f>
        <v/>
      </c>
      <c r="B233" s="131">
        <v>800</v>
      </c>
      <c r="C233" s="131" t="s">
        <v>16</v>
      </c>
      <c r="D233" s="315"/>
      <c r="E233" s="128" t="str">
        <f t="shared" si="85"/>
        <v/>
      </c>
      <c r="F233" s="343"/>
      <c r="G233" s="321"/>
      <c r="H233" s="321"/>
      <c r="I233" s="343"/>
      <c r="J233" s="343"/>
      <c r="K233" s="321"/>
      <c r="L233" s="321"/>
      <c r="M233" s="321"/>
      <c r="O233" s="321"/>
      <c r="P233" s="321"/>
      <c r="R233" s="283"/>
      <c r="S233" s="143" t="str">
        <f t="shared" si="89"/>
        <v/>
      </c>
      <c r="T233" s="143" t="str">
        <f t="shared" si="90"/>
        <v/>
      </c>
      <c r="U233" s="143" t="str">
        <f t="shared" si="91"/>
        <v/>
      </c>
      <c r="V233" s="272">
        <f>VLOOKUP($B233,'Min max table'!$A$6:$C$209,2,FALSE)</f>
        <v>-200000</v>
      </c>
      <c r="W233" s="396">
        <f>VLOOKUP($B233,'Min max table'!$A$6:$C$206,3,FALSE)</f>
        <v>200000</v>
      </c>
      <c r="X233" s="332" t="s">
        <v>1594</v>
      </c>
      <c r="Y233" s="280" t="str">
        <f t="shared" si="88"/>
        <v/>
      </c>
      <c r="Z233" s="143" t="str">
        <f>IF(AND(ISBLANK('Validations table'!E62),AND(A233&lt;&gt;"",OR(K233&lt;0,M233&lt;0,P233&lt;0))), "There is a deficit on this academy's closing reserves either at the end of Yr1, Yr2 or Yr3. Could you explain the circumstances and what steps are planned/ you took  to eliminate the deficit.","")</f>
        <v/>
      </c>
    </row>
    <row r="234" spans="1:26" s="342" customFormat="1" ht="60" customHeight="1" x14ac:dyDescent="0.35">
      <c r="A234" s="482" t="str">
        <f>IF('Finance questions'!$F$5=2, TRIM('Organisation user'!B54),"")</f>
        <v/>
      </c>
      <c r="B234" s="131">
        <v>800</v>
      </c>
      <c r="C234" s="131" t="s">
        <v>16</v>
      </c>
      <c r="D234" s="315"/>
      <c r="E234" s="128" t="str">
        <f t="shared" si="85"/>
        <v/>
      </c>
      <c r="F234" s="343"/>
      <c r="G234" s="321"/>
      <c r="H234" s="321"/>
      <c r="I234" s="343"/>
      <c r="J234" s="343"/>
      <c r="K234" s="321"/>
      <c r="L234" s="321"/>
      <c r="M234" s="321"/>
      <c r="O234" s="321"/>
      <c r="P234" s="321"/>
      <c r="R234" s="283"/>
      <c r="S234" s="143" t="str">
        <f t="shared" si="89"/>
        <v/>
      </c>
      <c r="T234" s="143" t="str">
        <f t="shared" si="90"/>
        <v/>
      </c>
      <c r="U234" s="143" t="str">
        <f t="shared" si="91"/>
        <v/>
      </c>
      <c r="V234" s="272">
        <f>VLOOKUP($B234,'Min max table'!$A$6:$C$209,2,FALSE)</f>
        <v>-200000</v>
      </c>
      <c r="W234" s="396">
        <f>VLOOKUP($B234,'Min max table'!$A$6:$C$206,3,FALSE)</f>
        <v>200000</v>
      </c>
      <c r="X234" s="332" t="s">
        <v>1595</v>
      </c>
      <c r="Y234" s="280" t="str">
        <f t="shared" si="88"/>
        <v/>
      </c>
      <c r="Z234" s="143" t="str">
        <f>IF(AND(ISBLANK('Validations table'!E63),AND(A234&lt;&gt;"",OR(K234&lt;0,M234&lt;0,P234&lt;0))), "There is a deficit on this academy's closing reserves either at the end of Yr1, Yr2 or Yr3. Could you explain the circumstances and what steps are planned/ you took  to eliminate the deficit.","")</f>
        <v/>
      </c>
    </row>
    <row r="235" spans="1:26" s="342" customFormat="1" ht="60" customHeight="1" x14ac:dyDescent="0.35">
      <c r="A235" s="482" t="str">
        <f>IF('Finance questions'!$F$5=2, TRIM('Organisation user'!B55),"")</f>
        <v/>
      </c>
      <c r="B235" s="131">
        <v>800</v>
      </c>
      <c r="C235" s="131" t="s">
        <v>16</v>
      </c>
      <c r="D235" s="315"/>
      <c r="E235" s="128" t="str">
        <f t="shared" si="85"/>
        <v/>
      </c>
      <c r="F235" s="343"/>
      <c r="G235" s="321"/>
      <c r="H235" s="321"/>
      <c r="I235" s="343"/>
      <c r="J235" s="343"/>
      <c r="K235" s="321"/>
      <c r="L235" s="321"/>
      <c r="M235" s="321"/>
      <c r="O235" s="321"/>
      <c r="P235" s="321"/>
      <c r="R235" s="283"/>
      <c r="S235" s="143" t="str">
        <f t="shared" si="89"/>
        <v/>
      </c>
      <c r="T235" s="143" t="str">
        <f t="shared" si="90"/>
        <v/>
      </c>
      <c r="U235" s="143" t="str">
        <f t="shared" si="91"/>
        <v/>
      </c>
      <c r="V235" s="272">
        <f>VLOOKUP($B235,'Min max table'!$A$6:$C$209,2,FALSE)</f>
        <v>-200000</v>
      </c>
      <c r="W235" s="396">
        <f>VLOOKUP($B235,'Min max table'!$A$6:$C$206,3,FALSE)</f>
        <v>200000</v>
      </c>
      <c r="X235" s="332" t="s">
        <v>1596</v>
      </c>
      <c r="Y235" s="280" t="str">
        <f t="shared" si="88"/>
        <v/>
      </c>
      <c r="Z235" s="143" t="str">
        <f>IF(AND(ISBLANK('Validations table'!E64),AND(A235&lt;&gt;"",OR(K235&lt;0,M235&lt;0,P235&lt;0))), "There is a deficit on this academy's closing reserves either at the end of Yr1, Yr2 or Yr3. Could you explain the circumstances and what steps are planned/ you took  to eliminate the deficit.","")</f>
        <v/>
      </c>
    </row>
    <row r="236" spans="1:26" s="342" customFormat="1" ht="60" customHeight="1" x14ac:dyDescent="0.35">
      <c r="A236" s="482" t="str">
        <f>IF('Finance questions'!$F$5=2, TRIM('Organisation user'!B56),"")</f>
        <v/>
      </c>
      <c r="B236" s="131">
        <v>800</v>
      </c>
      <c r="C236" s="131" t="s">
        <v>16</v>
      </c>
      <c r="D236" s="315"/>
      <c r="E236" s="128" t="str">
        <f t="shared" si="85"/>
        <v/>
      </c>
      <c r="F236" s="343"/>
      <c r="G236" s="321"/>
      <c r="H236" s="321"/>
      <c r="I236" s="343"/>
      <c r="J236" s="343"/>
      <c r="K236" s="321"/>
      <c r="L236" s="321"/>
      <c r="M236" s="321"/>
      <c r="O236" s="321"/>
      <c r="P236" s="321"/>
      <c r="R236" s="283"/>
      <c r="S236" s="143" t="str">
        <f t="shared" si="89"/>
        <v/>
      </c>
      <c r="T236" s="143" t="str">
        <f t="shared" si="90"/>
        <v/>
      </c>
      <c r="U236" s="143" t="str">
        <f t="shared" si="91"/>
        <v/>
      </c>
      <c r="V236" s="272">
        <f>VLOOKUP($B236,'Min max table'!$A$6:$C$209,2,FALSE)</f>
        <v>-200000</v>
      </c>
      <c r="W236" s="396">
        <f>VLOOKUP($B236,'Min max table'!$A$6:$C$206,3,FALSE)</f>
        <v>200000</v>
      </c>
      <c r="X236" s="332" t="s">
        <v>1597</v>
      </c>
      <c r="Y236" s="280" t="str">
        <f t="shared" si="88"/>
        <v/>
      </c>
      <c r="Z236" s="143" t="str">
        <f>IF(AND(ISBLANK('Validations table'!E65),AND(A236&lt;&gt;"",OR(K236&lt;0,M236&lt;0,P236&lt;0))), "There is a deficit on this academy's closing reserves either at the end of Yr1, Yr2 or Yr3. Could you explain the circumstances and what steps are planned/ you took  to eliminate the deficit.","")</f>
        <v/>
      </c>
    </row>
    <row r="237" spans="1:26" s="342" customFormat="1" ht="60" customHeight="1" x14ac:dyDescent="0.35">
      <c r="A237" s="482" t="str">
        <f>IF('Finance questions'!$F$5=2, TRIM('Organisation user'!B57),"")</f>
        <v/>
      </c>
      <c r="B237" s="131">
        <v>800</v>
      </c>
      <c r="C237" s="131" t="s">
        <v>16</v>
      </c>
      <c r="D237" s="315"/>
      <c r="E237" s="128" t="str">
        <f t="shared" ref="E237:E268" si="92">IF(OR(S237&lt;&gt;"",T237&lt;&gt;"",U237&lt;&gt;"",Z237&lt;&gt;""),"Check - see columns S-Z for info","")</f>
        <v/>
      </c>
      <c r="F237" s="343"/>
      <c r="G237" s="321"/>
      <c r="H237" s="321"/>
      <c r="I237" s="343"/>
      <c r="J237" s="343"/>
      <c r="K237" s="321"/>
      <c r="L237" s="321"/>
      <c r="M237" s="321"/>
      <c r="O237" s="321"/>
      <c r="P237" s="321"/>
      <c r="R237" s="283"/>
      <c r="S237" s="143" t="str">
        <f t="shared" si="89"/>
        <v/>
      </c>
      <c r="T237" s="143" t="str">
        <f t="shared" si="90"/>
        <v/>
      </c>
      <c r="U237" s="143" t="str">
        <f t="shared" si="91"/>
        <v/>
      </c>
      <c r="V237" s="272">
        <f>VLOOKUP($B237,'Min max table'!$A$6:$C$209,2,FALSE)</f>
        <v>-200000</v>
      </c>
      <c r="W237" s="396">
        <f>VLOOKUP($B237,'Min max table'!$A$6:$C$206,3,FALSE)</f>
        <v>200000</v>
      </c>
      <c r="X237" s="332" t="s">
        <v>1598</v>
      </c>
      <c r="Y237" s="280" t="str">
        <f t="shared" ref="Y237:Y268" si="93">IF(Z237="","","Refer to "&amp;X237&amp;" in the validations table")</f>
        <v/>
      </c>
      <c r="Z237" s="143" t="str">
        <f>IF(AND(ISBLANK('Validations table'!E66),AND(A237&lt;&gt;"",OR(K237&lt;0,M237&lt;0,P237&lt;0))), "There is a deficit on this academy's closing reserves either at the end of Yr1, Yr2 or Yr3. Could you explain the circumstances and what steps are planned/ you took  to eliminate the deficit.","")</f>
        <v/>
      </c>
    </row>
    <row r="238" spans="1:26" s="342" customFormat="1" ht="60" customHeight="1" x14ac:dyDescent="0.35">
      <c r="A238" s="482" t="str">
        <f>IF('Finance questions'!$F$5=2, TRIM('Organisation user'!B58),"")</f>
        <v/>
      </c>
      <c r="B238" s="131">
        <v>800</v>
      </c>
      <c r="C238" s="131" t="s">
        <v>16</v>
      </c>
      <c r="D238" s="315"/>
      <c r="E238" s="128" t="str">
        <f t="shared" si="92"/>
        <v/>
      </c>
      <c r="F238" s="343"/>
      <c r="G238" s="321"/>
      <c r="H238" s="321"/>
      <c r="I238" s="343"/>
      <c r="J238" s="343"/>
      <c r="K238" s="321"/>
      <c r="L238" s="321"/>
      <c r="M238" s="321"/>
      <c r="O238" s="321"/>
      <c r="P238" s="321"/>
      <c r="R238" s="283"/>
      <c r="S238" s="143" t="str">
        <f t="shared" si="89"/>
        <v/>
      </c>
      <c r="T238" s="143" t="str">
        <f t="shared" si="90"/>
        <v/>
      </c>
      <c r="U238" s="143" t="str">
        <f t="shared" si="91"/>
        <v/>
      </c>
      <c r="V238" s="272">
        <f>VLOOKUP($B238,'Min max table'!$A$6:$C$209,2,FALSE)</f>
        <v>-200000</v>
      </c>
      <c r="W238" s="396">
        <f>VLOOKUP($B238,'Min max table'!$A$6:$C$206,3,FALSE)</f>
        <v>200000</v>
      </c>
      <c r="X238" s="332" t="s">
        <v>1599</v>
      </c>
      <c r="Y238" s="280" t="str">
        <f t="shared" si="93"/>
        <v/>
      </c>
      <c r="Z238" s="143" t="str">
        <f>IF(AND(ISBLANK('Validations table'!E67),AND(A238&lt;&gt;"",OR(K238&lt;0,M238&lt;0,P238&lt;0))), "There is a deficit on this academy's closing reserves either at the end of Yr1, Yr2 or Yr3. Could you explain the circumstances and what steps are planned/ you took  to eliminate the deficit.","")</f>
        <v/>
      </c>
    </row>
    <row r="239" spans="1:26" s="342" customFormat="1" ht="60" customHeight="1" x14ac:dyDescent="0.35">
      <c r="A239" s="482" t="str">
        <f>IF('Finance questions'!$F$5=2, TRIM('Organisation user'!B59),"")</f>
        <v/>
      </c>
      <c r="B239" s="131">
        <v>800</v>
      </c>
      <c r="C239" s="131" t="s">
        <v>16</v>
      </c>
      <c r="D239" s="315"/>
      <c r="E239" s="128" t="str">
        <f t="shared" si="92"/>
        <v/>
      </c>
      <c r="F239" s="343"/>
      <c r="G239" s="321"/>
      <c r="H239" s="321"/>
      <c r="I239" s="343"/>
      <c r="J239" s="343"/>
      <c r="K239" s="321"/>
      <c r="L239" s="321"/>
      <c r="M239" s="321"/>
      <c r="O239" s="321"/>
      <c r="P239" s="321"/>
      <c r="R239" s="283"/>
      <c r="S239" s="143" t="str">
        <f t="shared" si="89"/>
        <v/>
      </c>
      <c r="T239" s="143" t="str">
        <f t="shared" si="90"/>
        <v/>
      </c>
      <c r="U239" s="143" t="str">
        <f t="shared" si="91"/>
        <v/>
      </c>
      <c r="V239" s="272">
        <f>VLOOKUP($B239,'Min max table'!$A$6:$C$209,2,FALSE)</f>
        <v>-200000</v>
      </c>
      <c r="W239" s="396">
        <f>VLOOKUP($B239,'Min max table'!$A$6:$C$206,3,FALSE)</f>
        <v>200000</v>
      </c>
      <c r="X239" s="332" t="s">
        <v>1600</v>
      </c>
      <c r="Y239" s="280" t="str">
        <f t="shared" si="93"/>
        <v/>
      </c>
      <c r="Z239" s="143" t="str">
        <f>IF(AND(ISBLANK('Validations table'!E68),AND(A239&lt;&gt;"",OR(K239&lt;0,M239&lt;0,P239&lt;0))), "There is a deficit on this academy's closing reserves either at the end of Yr1, Yr2 or Yr3. Could you explain the circumstances and what steps are planned/ you took  to eliminate the deficit.","")</f>
        <v/>
      </c>
    </row>
    <row r="240" spans="1:26" s="342" customFormat="1" ht="60" customHeight="1" x14ac:dyDescent="0.35">
      <c r="A240" s="482" t="str">
        <f>IF('Finance questions'!$F$5=2, TRIM('Organisation user'!B60),"")</f>
        <v/>
      </c>
      <c r="B240" s="131">
        <v>800</v>
      </c>
      <c r="C240" s="131" t="s">
        <v>16</v>
      </c>
      <c r="D240" s="315"/>
      <c r="E240" s="128" t="str">
        <f t="shared" si="92"/>
        <v/>
      </c>
      <c r="F240" s="343"/>
      <c r="G240" s="321"/>
      <c r="H240" s="321"/>
      <c r="I240" s="343"/>
      <c r="J240" s="343"/>
      <c r="K240" s="321"/>
      <c r="L240" s="321"/>
      <c r="M240" s="321"/>
      <c r="O240" s="321"/>
      <c r="P240" s="321"/>
      <c r="R240" s="283"/>
      <c r="S240" s="143" t="str">
        <f t="shared" si="89"/>
        <v/>
      </c>
      <c r="T240" s="143" t="str">
        <f t="shared" si="90"/>
        <v/>
      </c>
      <c r="U240" s="143" t="str">
        <f t="shared" si="91"/>
        <v/>
      </c>
      <c r="V240" s="272">
        <f>VLOOKUP($B240,'Min max table'!$A$6:$C$209,2,FALSE)</f>
        <v>-200000</v>
      </c>
      <c r="W240" s="396">
        <f>VLOOKUP($B240,'Min max table'!$A$6:$C$206,3,FALSE)</f>
        <v>200000</v>
      </c>
      <c r="X240" s="332" t="s">
        <v>1601</v>
      </c>
      <c r="Y240" s="280" t="str">
        <f t="shared" si="93"/>
        <v/>
      </c>
      <c r="Z240" s="143" t="str">
        <f>IF(AND(ISBLANK('Validations table'!E69),AND(A240&lt;&gt;"",OR(K240&lt;0,M240&lt;0,P240&lt;0))), "There is a deficit on this academy's closing reserves either at the end of Yr1, Yr2 or Yr3. Could you explain the circumstances and what steps are planned/ you took  to eliminate the deficit.","")</f>
        <v/>
      </c>
    </row>
    <row r="241" spans="1:26" s="342" customFormat="1" ht="60" customHeight="1" x14ac:dyDescent="0.35">
      <c r="A241" s="482" t="str">
        <f>IF('Finance questions'!$F$5=2, TRIM('Organisation user'!B61),"")</f>
        <v/>
      </c>
      <c r="B241" s="131">
        <v>800</v>
      </c>
      <c r="C241" s="131" t="s">
        <v>16</v>
      </c>
      <c r="D241" s="315"/>
      <c r="E241" s="128" t="str">
        <f t="shared" si="92"/>
        <v/>
      </c>
      <c r="F241" s="343"/>
      <c r="G241" s="321"/>
      <c r="H241" s="321"/>
      <c r="I241" s="343"/>
      <c r="J241" s="343"/>
      <c r="K241" s="321"/>
      <c r="L241" s="321"/>
      <c r="M241" s="321"/>
      <c r="O241" s="321"/>
      <c r="P241" s="321"/>
      <c r="R241" s="283"/>
      <c r="S241" s="143" t="str">
        <f t="shared" si="89"/>
        <v/>
      </c>
      <c r="T241" s="143" t="str">
        <f t="shared" si="90"/>
        <v/>
      </c>
      <c r="U241" s="143" t="str">
        <f t="shared" si="91"/>
        <v/>
      </c>
      <c r="V241" s="272">
        <f>VLOOKUP($B241,'Min max table'!$A$6:$C$209,2,FALSE)</f>
        <v>-200000</v>
      </c>
      <c r="W241" s="396">
        <f>VLOOKUP($B241,'Min max table'!$A$6:$C$206,3,FALSE)</f>
        <v>200000</v>
      </c>
      <c r="X241" s="332" t="s">
        <v>1602</v>
      </c>
      <c r="Y241" s="280" t="str">
        <f t="shared" si="93"/>
        <v/>
      </c>
      <c r="Z241" s="143" t="str">
        <f>IF(AND(ISBLANK('Validations table'!E70),AND(A241&lt;&gt;"",OR(K241&lt;0,M241&lt;0,P241&lt;0))), "There is a deficit on this academy's closing reserves either at the end of Yr1, Yr2 or Yr3. Could you explain the circumstances and what steps are planned/ you took  to eliminate the deficit.","")</f>
        <v/>
      </c>
    </row>
    <row r="242" spans="1:26" s="342" customFormat="1" ht="60" customHeight="1" x14ac:dyDescent="0.35">
      <c r="A242" s="482" t="str">
        <f>IF('Finance questions'!$F$5=2, TRIM('Organisation user'!B62),"")</f>
        <v/>
      </c>
      <c r="B242" s="131">
        <v>800</v>
      </c>
      <c r="C242" s="131" t="s">
        <v>16</v>
      </c>
      <c r="D242" s="315"/>
      <c r="E242" s="128" t="str">
        <f t="shared" si="92"/>
        <v/>
      </c>
      <c r="F242" s="343"/>
      <c r="G242" s="321"/>
      <c r="H242" s="321"/>
      <c r="I242" s="343"/>
      <c r="J242" s="343"/>
      <c r="K242" s="321"/>
      <c r="L242" s="321"/>
      <c r="M242" s="321"/>
      <c r="O242" s="321"/>
      <c r="P242" s="321"/>
      <c r="R242" s="283"/>
      <c r="S242" s="143" t="str">
        <f t="shared" si="89"/>
        <v/>
      </c>
      <c r="T242" s="143" t="str">
        <f t="shared" si="90"/>
        <v/>
      </c>
      <c r="U242" s="143" t="str">
        <f t="shared" si="91"/>
        <v/>
      </c>
      <c r="V242" s="272">
        <f>VLOOKUP($B242,'Min max table'!$A$6:$C$209,2,FALSE)</f>
        <v>-200000</v>
      </c>
      <c r="W242" s="396">
        <f>VLOOKUP($B242,'Min max table'!$A$6:$C$206,3,FALSE)</f>
        <v>200000</v>
      </c>
      <c r="X242" s="332" t="s">
        <v>1603</v>
      </c>
      <c r="Y242" s="280" t="str">
        <f t="shared" si="93"/>
        <v/>
      </c>
      <c r="Z242" s="143" t="str">
        <f>IF(AND(ISBLANK('Validations table'!E71),AND(A242&lt;&gt;"",OR(K242&lt;0,M242&lt;0,P242&lt;0))), "There is a deficit on this academy's closing reserves either at the end of Yr1, Yr2 or Yr3. Could you explain the circumstances and what steps are planned/ you took  to eliminate the deficit.","")</f>
        <v/>
      </c>
    </row>
    <row r="243" spans="1:26" s="342" customFormat="1" ht="60" customHeight="1" x14ac:dyDescent="0.35">
      <c r="A243" s="482" t="str">
        <f>IF('Finance questions'!$F$5=2, TRIM('Organisation user'!B63),"")</f>
        <v/>
      </c>
      <c r="B243" s="131">
        <v>800</v>
      </c>
      <c r="C243" s="131" t="s">
        <v>16</v>
      </c>
      <c r="D243" s="315"/>
      <c r="E243" s="128" t="str">
        <f t="shared" si="92"/>
        <v/>
      </c>
      <c r="F243" s="343"/>
      <c r="G243" s="321"/>
      <c r="H243" s="321"/>
      <c r="I243" s="343"/>
      <c r="J243" s="343"/>
      <c r="K243" s="321"/>
      <c r="L243" s="321"/>
      <c r="M243" s="321"/>
      <c r="O243" s="321"/>
      <c r="P243" s="321"/>
      <c r="R243" s="283"/>
      <c r="S243" s="143" t="str">
        <f t="shared" si="89"/>
        <v/>
      </c>
      <c r="T243" s="143" t="str">
        <f t="shared" si="90"/>
        <v/>
      </c>
      <c r="U243" s="143" t="str">
        <f t="shared" si="91"/>
        <v/>
      </c>
      <c r="V243" s="272">
        <f>VLOOKUP($B243,'Min max table'!$A$6:$C$209,2,FALSE)</f>
        <v>-200000</v>
      </c>
      <c r="W243" s="396">
        <f>VLOOKUP($B243,'Min max table'!$A$6:$C$206,3,FALSE)</f>
        <v>200000</v>
      </c>
      <c r="X243" s="332" t="s">
        <v>1604</v>
      </c>
      <c r="Y243" s="280" t="str">
        <f t="shared" si="93"/>
        <v/>
      </c>
      <c r="Z243" s="143" t="str">
        <f>IF(AND(ISBLANK('Validations table'!E72),AND(A243&lt;&gt;"",OR(K243&lt;0,M243&lt;0,P243&lt;0))), "There is a deficit on this academy's closing reserves either at the end of Yr1, Yr2 or Yr3. Could you explain the circumstances and what steps are planned/ you took  to eliminate the deficit.","")</f>
        <v/>
      </c>
    </row>
    <row r="244" spans="1:26" s="342" customFormat="1" ht="60" customHeight="1" x14ac:dyDescent="0.35">
      <c r="A244" s="482" t="str">
        <f>IF('Finance questions'!$F$5=2, TRIM('Organisation user'!B64),"")</f>
        <v/>
      </c>
      <c r="B244" s="131">
        <v>800</v>
      </c>
      <c r="C244" s="131" t="s">
        <v>16</v>
      </c>
      <c r="D244" s="315"/>
      <c r="E244" s="128" t="str">
        <f t="shared" si="92"/>
        <v/>
      </c>
      <c r="F244" s="343"/>
      <c r="G244" s="321"/>
      <c r="H244" s="321"/>
      <c r="I244" s="343"/>
      <c r="J244" s="343"/>
      <c r="K244" s="321"/>
      <c r="L244" s="321"/>
      <c r="M244" s="321"/>
      <c r="O244" s="321"/>
      <c r="P244" s="321"/>
      <c r="R244" s="283"/>
      <c r="S244" s="143" t="str">
        <f t="shared" si="89"/>
        <v/>
      </c>
      <c r="T244" s="143" t="str">
        <f t="shared" si="90"/>
        <v/>
      </c>
      <c r="U244" s="143" t="str">
        <f t="shared" si="91"/>
        <v/>
      </c>
      <c r="V244" s="272">
        <f>VLOOKUP($B244,'Min max table'!$A$6:$C$209,2,FALSE)</f>
        <v>-200000</v>
      </c>
      <c r="W244" s="396">
        <f>VLOOKUP($B244,'Min max table'!$A$6:$C$206,3,FALSE)</f>
        <v>200000</v>
      </c>
      <c r="X244" s="332" t="s">
        <v>1605</v>
      </c>
      <c r="Y244" s="280" t="str">
        <f t="shared" si="93"/>
        <v/>
      </c>
      <c r="Z244" s="143" t="str">
        <f>IF(AND(ISBLANK('Validations table'!E73),AND(A244&lt;&gt;"",OR(K244&lt;0,M244&lt;0,P244&lt;0))), "There is a deficit on this academy's closing reserves either at the end of Yr1, Yr2 or Yr3. Could you explain the circumstances and what steps are planned/ you took  to eliminate the deficit.","")</f>
        <v/>
      </c>
    </row>
    <row r="245" spans="1:26" s="342" customFormat="1" ht="60" customHeight="1" x14ac:dyDescent="0.35">
      <c r="A245" s="482" t="str">
        <f>IF('Finance questions'!$F$5=2, TRIM('Organisation user'!B65),"")</f>
        <v/>
      </c>
      <c r="B245" s="131">
        <v>800</v>
      </c>
      <c r="C245" s="131" t="s">
        <v>16</v>
      </c>
      <c r="D245" s="315"/>
      <c r="E245" s="128" t="str">
        <f t="shared" si="92"/>
        <v/>
      </c>
      <c r="F245" s="343"/>
      <c r="G245" s="321"/>
      <c r="H245" s="321"/>
      <c r="I245" s="343"/>
      <c r="J245" s="343"/>
      <c r="K245" s="321"/>
      <c r="L245" s="321"/>
      <c r="M245" s="321"/>
      <c r="O245" s="321"/>
      <c r="P245" s="321"/>
      <c r="R245" s="283"/>
      <c r="S245" s="143" t="str">
        <f>IF(OR(G245-ROUND(G245,)&lt;&gt;0,H245-ROUND(H245,)&lt;&gt;0,K245-ROUND(K245,)&lt;&gt;0,L245-ROUND(L245,)&lt;&gt;0,M245-ROUND(M245,)&lt;&gt;0,O245-ROUND(O245,)&lt;&gt;0,P245-ROUND(P245,)&lt;&gt;0),"No decimal places, letters &amp; odd characters allowed","")</f>
        <v/>
      </c>
      <c r="T245" s="143" t="str">
        <f t="shared" si="90"/>
        <v/>
      </c>
      <c r="U245" s="143" t="str">
        <f t="shared" si="91"/>
        <v/>
      </c>
      <c r="V245" s="272">
        <f>VLOOKUP($B245,'Min max table'!$A$6:$C$209,2,FALSE)</f>
        <v>-200000</v>
      </c>
      <c r="W245" s="396">
        <f>VLOOKUP($B245,'Min max table'!$A$6:$C$206,3,FALSE)</f>
        <v>200000</v>
      </c>
      <c r="X245" s="332" t="s">
        <v>1606</v>
      </c>
      <c r="Y245" s="280" t="str">
        <f t="shared" si="93"/>
        <v/>
      </c>
      <c r="Z245" s="143" t="str">
        <f>IF(AND(ISBLANK('Validations table'!E74),AND(A245&lt;&gt;"",OR(K245&lt;0,M245&lt;0,P245&lt;0))), "There is a deficit on this academy's closing reserves either at the end of Yr1, Yr2 or Yr3. Could you explain the circumstances and what steps are planned/ you took  to eliminate the deficit.","")</f>
        <v/>
      </c>
    </row>
    <row r="246" spans="1:26" s="342" customFormat="1" ht="60" customHeight="1" x14ac:dyDescent="0.35">
      <c r="A246" s="482" t="str">
        <f>IF('Finance questions'!$F$5=2, TRIM('Organisation user'!B66),"")</f>
        <v/>
      </c>
      <c r="B246" s="131">
        <v>800</v>
      </c>
      <c r="C246" s="131" t="s">
        <v>16</v>
      </c>
      <c r="D246" s="315"/>
      <c r="E246" s="128" t="str">
        <f t="shared" si="92"/>
        <v/>
      </c>
      <c r="F246" s="343"/>
      <c r="G246" s="321"/>
      <c r="H246" s="321"/>
      <c r="I246" s="343"/>
      <c r="J246" s="343"/>
      <c r="K246" s="321"/>
      <c r="L246" s="321"/>
      <c r="M246" s="321"/>
      <c r="O246" s="321"/>
      <c r="P246" s="321"/>
      <c r="R246" s="283"/>
      <c r="S246" s="143" t="str">
        <f t="shared" si="89"/>
        <v/>
      </c>
      <c r="T246" s="143" t="str">
        <f t="shared" si="90"/>
        <v/>
      </c>
      <c r="U246" s="143" t="str">
        <f t="shared" si="91"/>
        <v/>
      </c>
      <c r="V246" s="272">
        <f>VLOOKUP($B246,'Min max table'!$A$6:$C$209,2,FALSE)</f>
        <v>-200000</v>
      </c>
      <c r="W246" s="396">
        <f>VLOOKUP($B246,'Min max table'!$A$6:$C$206,3,FALSE)</f>
        <v>200000</v>
      </c>
      <c r="X246" s="332" t="s">
        <v>1607</v>
      </c>
      <c r="Y246" s="280" t="str">
        <f t="shared" si="93"/>
        <v/>
      </c>
      <c r="Z246" s="143" t="str">
        <f>IF(AND(ISBLANK('Validations table'!E75),AND(A246&lt;&gt;"",OR(K246&lt;0,M246&lt;0,P246&lt;0))), "There is a deficit on this academy's closing reserves either at the end of Yr1, Yr2 or Yr3. Could you explain the circumstances and what steps are planned/ you took  to eliminate the deficit.","")</f>
        <v/>
      </c>
    </row>
    <row r="247" spans="1:26" s="342" customFormat="1" ht="60" customHeight="1" x14ac:dyDescent="0.35">
      <c r="A247" s="482" t="str">
        <f>IF('Finance questions'!$F$5=2, TRIM('Organisation user'!B67),"")</f>
        <v/>
      </c>
      <c r="B247" s="131">
        <v>800</v>
      </c>
      <c r="C247" s="131" t="s">
        <v>16</v>
      </c>
      <c r="D247" s="315"/>
      <c r="E247" s="128" t="str">
        <f t="shared" si="92"/>
        <v/>
      </c>
      <c r="F247" s="343"/>
      <c r="G247" s="321"/>
      <c r="H247" s="321"/>
      <c r="I247" s="343"/>
      <c r="J247" s="343"/>
      <c r="K247" s="321"/>
      <c r="L247" s="321"/>
      <c r="M247" s="321"/>
      <c r="O247" s="321"/>
      <c r="P247" s="321"/>
      <c r="R247" s="283"/>
      <c r="S247" s="143" t="str">
        <f t="shared" si="89"/>
        <v/>
      </c>
      <c r="T247" s="143" t="str">
        <f t="shared" si="90"/>
        <v/>
      </c>
      <c r="U247" s="143" t="str">
        <f t="shared" si="91"/>
        <v/>
      </c>
      <c r="V247" s="272">
        <f>VLOOKUP($B247,'Min max table'!$A$6:$C$209,2,FALSE)</f>
        <v>-200000</v>
      </c>
      <c r="W247" s="396">
        <f>VLOOKUP($B247,'Min max table'!$A$6:$C$206,3,FALSE)</f>
        <v>200000</v>
      </c>
      <c r="X247" s="332" t="s">
        <v>1608</v>
      </c>
      <c r="Y247" s="280" t="str">
        <f t="shared" si="93"/>
        <v/>
      </c>
      <c r="Z247" s="143" t="str">
        <f>IF(AND(ISBLANK('Validations table'!E76),AND(A247&lt;&gt;"",OR(K247&lt;0,M247&lt;0,P247&lt;0))), "There is a deficit on this academy's closing reserves either at the end of Yr1, Yr2 or Yr3. Could you explain the circumstances and what steps are planned/ you took  to eliminate the deficit.","")</f>
        <v/>
      </c>
    </row>
    <row r="248" spans="1:26" s="342" customFormat="1" ht="60" customHeight="1" x14ac:dyDescent="0.35">
      <c r="A248" s="482" t="str">
        <f>IF('Finance questions'!$F$5=2, TRIM('Organisation user'!B68),"")</f>
        <v/>
      </c>
      <c r="B248" s="131">
        <v>800</v>
      </c>
      <c r="C248" s="131" t="s">
        <v>16</v>
      </c>
      <c r="D248" s="315"/>
      <c r="E248" s="128" t="str">
        <f t="shared" si="92"/>
        <v/>
      </c>
      <c r="F248" s="343"/>
      <c r="G248" s="321"/>
      <c r="H248" s="321"/>
      <c r="I248" s="343"/>
      <c r="J248" s="343"/>
      <c r="K248" s="321"/>
      <c r="L248" s="321"/>
      <c r="M248" s="321"/>
      <c r="O248" s="321"/>
      <c r="P248" s="321"/>
      <c r="R248" s="283"/>
      <c r="S248" s="143" t="str">
        <f t="shared" si="89"/>
        <v/>
      </c>
      <c r="T248" s="143" t="str">
        <f t="shared" si="90"/>
        <v/>
      </c>
      <c r="U248" s="143" t="str">
        <f t="shared" si="91"/>
        <v/>
      </c>
      <c r="V248" s="272">
        <f>VLOOKUP($B248,'Min max table'!$A$6:$C$209,2,FALSE)</f>
        <v>-200000</v>
      </c>
      <c r="W248" s="396">
        <f>VLOOKUP($B248,'Min max table'!$A$6:$C$206,3,FALSE)</f>
        <v>200000</v>
      </c>
      <c r="X248" s="332" t="s">
        <v>1609</v>
      </c>
      <c r="Y248" s="280" t="str">
        <f t="shared" si="93"/>
        <v/>
      </c>
      <c r="Z248" s="143" t="str">
        <f>IF(AND(ISBLANK('Validations table'!E77),AND(A248&lt;&gt;"",OR(K248&lt;0,M248&lt;0,P248&lt;0))), "There is a deficit on this academy's closing reserves either at the end of Yr1, Yr2 or Yr3. Could you explain the circumstances and what steps are planned/ you took  to eliminate the deficit.","")</f>
        <v/>
      </c>
    </row>
    <row r="249" spans="1:26" s="342" customFormat="1" ht="60" customHeight="1" x14ac:dyDescent="0.35">
      <c r="A249" s="482" t="str">
        <f>IF('Finance questions'!$F$5=2, TRIM('Organisation user'!B69),"")</f>
        <v/>
      </c>
      <c r="B249" s="131">
        <v>800</v>
      </c>
      <c r="C249" s="131" t="s">
        <v>16</v>
      </c>
      <c r="D249" s="315"/>
      <c r="E249" s="128" t="str">
        <f t="shared" si="92"/>
        <v/>
      </c>
      <c r="F249" s="343"/>
      <c r="G249" s="321"/>
      <c r="H249" s="321"/>
      <c r="I249" s="343"/>
      <c r="J249" s="343"/>
      <c r="K249" s="321"/>
      <c r="L249" s="321"/>
      <c r="M249" s="321"/>
      <c r="O249" s="321"/>
      <c r="P249" s="321"/>
      <c r="R249" s="283"/>
      <c r="S249" s="143" t="str">
        <f t="shared" si="89"/>
        <v/>
      </c>
      <c r="T249" s="143" t="str">
        <f t="shared" si="90"/>
        <v/>
      </c>
      <c r="U249" s="143" t="str">
        <f t="shared" si="91"/>
        <v/>
      </c>
      <c r="V249" s="272">
        <f>VLOOKUP($B249,'Min max table'!$A$6:$C$209,2,FALSE)</f>
        <v>-200000</v>
      </c>
      <c r="W249" s="396">
        <f>VLOOKUP($B249,'Min max table'!$A$6:$C$206,3,FALSE)</f>
        <v>200000</v>
      </c>
      <c r="X249" s="332" t="s">
        <v>1610</v>
      </c>
      <c r="Y249" s="280" t="str">
        <f t="shared" si="93"/>
        <v/>
      </c>
      <c r="Z249" s="143" t="str">
        <f>IF(AND(ISBLANK('Validations table'!E78),AND(A249&lt;&gt;"",OR(K249&lt;0,M249&lt;0,P249&lt;0))), "There is a deficit on this academy's closing reserves either at the end of Yr1, Yr2 or Yr3. Could you explain the circumstances and what steps are planned/ you took  to eliminate the deficit.","")</f>
        <v/>
      </c>
    </row>
    <row r="250" spans="1:26" s="342" customFormat="1" ht="60" customHeight="1" x14ac:dyDescent="0.35">
      <c r="A250" s="482" t="str">
        <f>IF('Finance questions'!$F$5=2, TRIM('Organisation user'!B70),"")</f>
        <v/>
      </c>
      <c r="B250" s="131">
        <v>800</v>
      </c>
      <c r="C250" s="131" t="s">
        <v>16</v>
      </c>
      <c r="D250" s="315"/>
      <c r="E250" s="128" t="str">
        <f t="shared" si="92"/>
        <v/>
      </c>
      <c r="F250" s="343"/>
      <c r="G250" s="321"/>
      <c r="H250" s="321"/>
      <c r="I250" s="343"/>
      <c r="J250" s="343"/>
      <c r="K250" s="321"/>
      <c r="L250" s="321"/>
      <c r="M250" s="321"/>
      <c r="O250" s="321"/>
      <c r="P250" s="321"/>
      <c r="R250" s="283"/>
      <c r="S250" s="143" t="str">
        <f t="shared" si="89"/>
        <v/>
      </c>
      <c r="T250" s="143" t="str">
        <f t="shared" si="90"/>
        <v/>
      </c>
      <c r="U250" s="143" t="str">
        <f t="shared" si="91"/>
        <v/>
      </c>
      <c r="V250" s="272">
        <f>VLOOKUP($B250,'Min max table'!$A$6:$C$209,2,FALSE)</f>
        <v>-200000</v>
      </c>
      <c r="W250" s="396">
        <f>VLOOKUP($B250,'Min max table'!$A$6:$C$206,3,FALSE)</f>
        <v>200000</v>
      </c>
      <c r="X250" s="332" t="s">
        <v>1611</v>
      </c>
      <c r="Y250" s="280" t="str">
        <f t="shared" si="93"/>
        <v/>
      </c>
      <c r="Z250" s="143" t="str">
        <f>IF(AND(ISBLANK('Validations table'!E79),AND(A250&lt;&gt;"",OR(K250&lt;0,M250&lt;0,P250&lt;0))), "There is a deficit on this academy's closing reserves either at the end of Yr1, Yr2 or Yr3. Could you explain the circumstances and what steps are planned/ you took  to eliminate the deficit.","")</f>
        <v/>
      </c>
    </row>
    <row r="251" spans="1:26" s="342" customFormat="1" ht="60" customHeight="1" x14ac:dyDescent="0.35">
      <c r="A251" s="482" t="str">
        <f>IF('Finance questions'!$F$5=2, TRIM('Organisation user'!B71),"")</f>
        <v/>
      </c>
      <c r="B251" s="131">
        <v>800</v>
      </c>
      <c r="C251" s="131" t="s">
        <v>16</v>
      </c>
      <c r="D251" s="315"/>
      <c r="E251" s="128" t="str">
        <f t="shared" si="92"/>
        <v/>
      </c>
      <c r="F251" s="343"/>
      <c r="G251" s="321"/>
      <c r="H251" s="321"/>
      <c r="I251" s="343"/>
      <c r="J251" s="343"/>
      <c r="K251" s="321"/>
      <c r="L251" s="321"/>
      <c r="M251" s="321"/>
      <c r="O251" s="321"/>
      <c r="P251" s="321"/>
      <c r="R251" s="283"/>
      <c r="S251" s="143" t="str">
        <f t="shared" si="89"/>
        <v/>
      </c>
      <c r="T251" s="143" t="str">
        <f t="shared" si="90"/>
        <v/>
      </c>
      <c r="U251" s="143" t="str">
        <f t="shared" si="91"/>
        <v/>
      </c>
      <c r="V251" s="272">
        <f>VLOOKUP($B251,'Min max table'!$A$6:$C$209,2,FALSE)</f>
        <v>-200000</v>
      </c>
      <c r="W251" s="396">
        <f>VLOOKUP($B251,'Min max table'!$A$6:$C$206,3,FALSE)</f>
        <v>200000</v>
      </c>
      <c r="X251" s="332" t="s">
        <v>1612</v>
      </c>
      <c r="Y251" s="280" t="str">
        <f t="shared" si="93"/>
        <v/>
      </c>
      <c r="Z251" s="143" t="str">
        <f>IF(AND(ISBLANK('Validations table'!E80),AND(A251&lt;&gt;"",OR(K251&lt;0,M251&lt;0,P251&lt;0))), "There is a deficit on this academy's closing reserves either at the end of Yr1, Yr2 or Yr3. Could you explain the circumstances and what steps are planned/ you took  to eliminate the deficit.","")</f>
        <v/>
      </c>
    </row>
    <row r="252" spans="1:26" s="342" customFormat="1" ht="60" customHeight="1" x14ac:dyDescent="0.35">
      <c r="A252" s="482" t="str">
        <f>IF('Finance questions'!$F$5=2, TRIM('Organisation user'!B72),"")</f>
        <v/>
      </c>
      <c r="B252" s="131">
        <v>800</v>
      </c>
      <c r="C252" s="131" t="s">
        <v>16</v>
      </c>
      <c r="D252" s="315"/>
      <c r="E252" s="128" t="str">
        <f t="shared" si="92"/>
        <v/>
      </c>
      <c r="F252" s="343"/>
      <c r="G252" s="321"/>
      <c r="H252" s="321"/>
      <c r="I252" s="343"/>
      <c r="J252" s="343"/>
      <c r="K252" s="321"/>
      <c r="L252" s="321"/>
      <c r="M252" s="321"/>
      <c r="O252" s="321"/>
      <c r="P252" s="321"/>
      <c r="R252" s="283"/>
      <c r="S252" s="143" t="str">
        <f t="shared" si="89"/>
        <v/>
      </c>
      <c r="T252" s="143" t="str">
        <f t="shared" si="90"/>
        <v/>
      </c>
      <c r="U252" s="143" t="str">
        <f t="shared" si="91"/>
        <v/>
      </c>
      <c r="V252" s="272">
        <f>VLOOKUP($B252,'Min max table'!$A$6:$C$209,2,FALSE)</f>
        <v>-200000</v>
      </c>
      <c r="W252" s="396">
        <f>VLOOKUP($B252,'Min max table'!$A$6:$C$206,3,FALSE)</f>
        <v>200000</v>
      </c>
      <c r="X252" s="332" t="s">
        <v>1613</v>
      </c>
      <c r="Y252" s="280" t="str">
        <f t="shared" si="93"/>
        <v/>
      </c>
      <c r="Z252" s="143" t="str">
        <f>IF(AND(ISBLANK('Validations table'!E81),AND(A252&lt;&gt;"",OR(K252&lt;0,M252&lt;0,P252&lt;0))), "There is a deficit on this academy's closing reserves either at the end of Yr1, Yr2 or Yr3. Could you explain the circumstances and what steps are planned/ you took  to eliminate the deficit.","")</f>
        <v/>
      </c>
    </row>
    <row r="253" spans="1:26" s="342" customFormat="1" ht="60" customHeight="1" x14ac:dyDescent="0.35">
      <c r="A253" s="482" t="str">
        <f>IF('Finance questions'!$F$5=2, TRIM('Organisation user'!B73),"")</f>
        <v/>
      </c>
      <c r="B253" s="131">
        <v>800</v>
      </c>
      <c r="C253" s="131" t="s">
        <v>16</v>
      </c>
      <c r="D253" s="315"/>
      <c r="E253" s="128" t="str">
        <f t="shared" si="92"/>
        <v/>
      </c>
      <c r="F253" s="343"/>
      <c r="G253" s="321"/>
      <c r="H253" s="321"/>
      <c r="I253" s="343"/>
      <c r="J253" s="343"/>
      <c r="K253" s="321"/>
      <c r="L253" s="321"/>
      <c r="M253" s="321"/>
      <c r="O253" s="321"/>
      <c r="P253" s="321"/>
      <c r="R253" s="283"/>
      <c r="S253" s="143" t="str">
        <f t="shared" si="89"/>
        <v/>
      </c>
      <c r="T253" s="143" t="str">
        <f t="shared" si="90"/>
        <v/>
      </c>
      <c r="U253" s="143" t="str">
        <f t="shared" si="91"/>
        <v/>
      </c>
      <c r="V253" s="272">
        <f>VLOOKUP($B253,'Min max table'!$A$6:$C$209,2,FALSE)</f>
        <v>-200000</v>
      </c>
      <c r="W253" s="396">
        <f>VLOOKUP($B253,'Min max table'!$A$6:$C$206,3,FALSE)</f>
        <v>200000</v>
      </c>
      <c r="X253" s="332" t="s">
        <v>1614</v>
      </c>
      <c r="Y253" s="280" t="str">
        <f t="shared" si="93"/>
        <v/>
      </c>
      <c r="Z253" s="143" t="str">
        <f>IF(AND(ISBLANK('Validations table'!E82),AND(A253&lt;&gt;"",OR(K253&lt;0,M253&lt;0,P253&lt;0))), "There is a deficit on this academy's closing reserves either at the end of Yr1, Yr2 or Yr3. Could you explain the circumstances and what steps are planned/ you took  to eliminate the deficit.","")</f>
        <v/>
      </c>
    </row>
    <row r="254" spans="1:26" s="342" customFormat="1" ht="60" customHeight="1" x14ac:dyDescent="0.35">
      <c r="A254" s="482" t="str">
        <f>IF('Finance questions'!$F$5=2, TRIM('Organisation user'!B74),"")</f>
        <v/>
      </c>
      <c r="B254" s="131">
        <v>800</v>
      </c>
      <c r="C254" s="131" t="s">
        <v>16</v>
      </c>
      <c r="D254" s="315"/>
      <c r="E254" s="128" t="str">
        <f t="shared" si="92"/>
        <v/>
      </c>
      <c r="F254" s="343"/>
      <c r="G254" s="321"/>
      <c r="H254" s="321"/>
      <c r="I254" s="343"/>
      <c r="J254" s="343"/>
      <c r="K254" s="321"/>
      <c r="L254" s="321"/>
      <c r="M254" s="321"/>
      <c r="O254" s="321"/>
      <c r="P254" s="321"/>
      <c r="R254" s="283"/>
      <c r="S254" s="143" t="str">
        <f t="shared" si="89"/>
        <v/>
      </c>
      <c r="T254" s="143" t="str">
        <f t="shared" si="90"/>
        <v/>
      </c>
      <c r="U254" s="143" t="str">
        <f t="shared" si="91"/>
        <v/>
      </c>
      <c r="V254" s="272">
        <f>VLOOKUP($B254,'Min max table'!$A$6:$C$209,2,FALSE)</f>
        <v>-200000</v>
      </c>
      <c r="W254" s="396">
        <f>VLOOKUP($B254,'Min max table'!$A$6:$C$206,3,FALSE)</f>
        <v>200000</v>
      </c>
      <c r="X254" s="332" t="s">
        <v>1615</v>
      </c>
      <c r="Y254" s="280" t="str">
        <f t="shared" si="93"/>
        <v/>
      </c>
      <c r="Z254" s="143" t="str">
        <f>IF(AND(ISBLANK('Validations table'!E83),AND(A254&lt;&gt;"",OR(K254&lt;0,M254&lt;0,P254&lt;0))), "There is a deficit on this academy's closing reserves either at the end of Yr1, Yr2 or Yr3. Could you explain the circumstances and what steps are planned/ you took  to eliminate the deficit.","")</f>
        <v/>
      </c>
    </row>
    <row r="255" spans="1:26" s="342" customFormat="1" ht="60" customHeight="1" x14ac:dyDescent="0.35">
      <c r="A255" s="482" t="str">
        <f>IF('Finance questions'!$F$5=2, TRIM('Organisation user'!B75),"")</f>
        <v/>
      </c>
      <c r="B255" s="131">
        <v>800</v>
      </c>
      <c r="C255" s="131" t="s">
        <v>16</v>
      </c>
      <c r="D255" s="315"/>
      <c r="E255" s="128" t="str">
        <f t="shared" si="92"/>
        <v/>
      </c>
      <c r="F255" s="343"/>
      <c r="G255" s="321"/>
      <c r="H255" s="321"/>
      <c r="I255" s="343"/>
      <c r="J255" s="343"/>
      <c r="K255" s="321"/>
      <c r="L255" s="321"/>
      <c r="M255" s="321"/>
      <c r="O255" s="321"/>
      <c r="P255" s="321"/>
      <c r="R255" s="283"/>
      <c r="S255" s="143" t="str">
        <f t="shared" si="89"/>
        <v/>
      </c>
      <c r="T255" s="143" t="str">
        <f t="shared" si="90"/>
        <v/>
      </c>
      <c r="U255" s="143" t="str">
        <f t="shared" si="91"/>
        <v/>
      </c>
      <c r="V255" s="272">
        <f>VLOOKUP($B255,'Min max table'!$A$6:$C$209,2,FALSE)</f>
        <v>-200000</v>
      </c>
      <c r="W255" s="396">
        <f>VLOOKUP($B255,'Min max table'!$A$6:$C$206,3,FALSE)</f>
        <v>200000</v>
      </c>
      <c r="X255" s="332" t="s">
        <v>1616</v>
      </c>
      <c r="Y255" s="280" t="str">
        <f t="shared" si="93"/>
        <v/>
      </c>
      <c r="Z255" s="143" t="str">
        <f>IF(AND(ISBLANK('Validations table'!E84),AND(A255&lt;&gt;"",OR(K255&lt;0,M255&lt;0,P255&lt;0))), "There is a deficit on this academy's closing reserves either at the end of Yr1, Yr2 or Yr3. Could you explain the circumstances and what steps are planned/ you took  to eliminate the deficit.","")</f>
        <v/>
      </c>
    </row>
    <row r="256" spans="1:26" s="342" customFormat="1" ht="60" customHeight="1" x14ac:dyDescent="0.35">
      <c r="A256" s="482" t="str">
        <f>IF('Finance questions'!$F$5=2, TRIM('Organisation user'!B76),"")</f>
        <v/>
      </c>
      <c r="B256" s="131">
        <v>800</v>
      </c>
      <c r="C256" s="131" t="s">
        <v>16</v>
      </c>
      <c r="D256" s="315"/>
      <c r="E256" s="128" t="str">
        <f t="shared" si="92"/>
        <v/>
      </c>
      <c r="F256" s="343"/>
      <c r="G256" s="321"/>
      <c r="H256" s="321"/>
      <c r="I256" s="343"/>
      <c r="J256" s="343"/>
      <c r="K256" s="321"/>
      <c r="L256" s="321"/>
      <c r="M256" s="321"/>
      <c r="O256" s="321"/>
      <c r="P256" s="321"/>
      <c r="R256" s="283"/>
      <c r="S256" s="143" t="str">
        <f t="shared" si="89"/>
        <v/>
      </c>
      <c r="T256" s="143" t="str">
        <f t="shared" si="90"/>
        <v/>
      </c>
      <c r="U256" s="143" t="str">
        <f t="shared" si="91"/>
        <v/>
      </c>
      <c r="V256" s="272">
        <f>VLOOKUP($B256,'Min max table'!$A$6:$C$209,2,FALSE)</f>
        <v>-200000</v>
      </c>
      <c r="W256" s="396">
        <f>VLOOKUP($B256,'Min max table'!$A$6:$C$206,3,FALSE)</f>
        <v>200000</v>
      </c>
      <c r="X256" s="332" t="s">
        <v>1617</v>
      </c>
      <c r="Y256" s="280" t="str">
        <f t="shared" si="93"/>
        <v/>
      </c>
      <c r="Z256" s="143" t="str">
        <f>IF(AND(ISBLANK('Validations table'!E85),AND(A256&lt;&gt;"",OR(K256&lt;0,M256&lt;0,P256&lt;0))), "There is a deficit on this academy's closing reserves either at the end of Yr1, Yr2 or Yr3. Could you explain the circumstances and what steps are planned/ you took  to eliminate the deficit.","")</f>
        <v/>
      </c>
    </row>
    <row r="257" spans="1:26" s="342" customFormat="1" ht="60" customHeight="1" x14ac:dyDescent="0.35">
      <c r="A257" s="482" t="str">
        <f>IF('Finance questions'!$F$5=2, TRIM('Organisation user'!B77),"")</f>
        <v/>
      </c>
      <c r="B257" s="131">
        <v>800</v>
      </c>
      <c r="C257" s="131" t="s">
        <v>16</v>
      </c>
      <c r="D257" s="315"/>
      <c r="E257" s="128" t="str">
        <f t="shared" si="92"/>
        <v/>
      </c>
      <c r="F257" s="343"/>
      <c r="G257" s="321"/>
      <c r="H257" s="321"/>
      <c r="I257" s="343"/>
      <c r="J257" s="343"/>
      <c r="K257" s="321"/>
      <c r="L257" s="321"/>
      <c r="M257" s="321"/>
      <c r="O257" s="321"/>
      <c r="P257" s="321"/>
      <c r="R257" s="283"/>
      <c r="S257" s="143" t="str">
        <f t="shared" si="89"/>
        <v/>
      </c>
      <c r="T257" s="143" t="str">
        <f t="shared" si="90"/>
        <v/>
      </c>
      <c r="U257" s="143" t="str">
        <f t="shared" si="91"/>
        <v/>
      </c>
      <c r="V257" s="272">
        <f>VLOOKUP($B257,'Min max table'!$A$6:$C$209,2,FALSE)</f>
        <v>-200000</v>
      </c>
      <c r="W257" s="396">
        <f>VLOOKUP($B257,'Min max table'!$A$6:$C$206,3,FALSE)</f>
        <v>200000</v>
      </c>
      <c r="X257" s="332" t="s">
        <v>1618</v>
      </c>
      <c r="Y257" s="280" t="str">
        <f t="shared" si="93"/>
        <v/>
      </c>
      <c r="Z257" s="143" t="str">
        <f>IF(AND(ISBLANK('Validations table'!E86),AND(A257&lt;&gt;"",OR(K257&lt;0,M257&lt;0,P257&lt;0))), "There is a deficit on this academy's closing reserves either at the end of Yr1, Yr2 or Yr3. Could you explain the circumstances and what steps are planned/ you took  to eliminate the deficit.","")</f>
        <v/>
      </c>
    </row>
    <row r="258" spans="1:26" s="342" customFormat="1" ht="60" customHeight="1" x14ac:dyDescent="0.35">
      <c r="A258" s="482" t="str">
        <f>IF('Finance questions'!$F$5=2, TRIM('Organisation user'!B78),"")</f>
        <v/>
      </c>
      <c r="B258" s="131">
        <v>800</v>
      </c>
      <c r="C258" s="131" t="s">
        <v>16</v>
      </c>
      <c r="D258" s="315"/>
      <c r="E258" s="128" t="str">
        <f t="shared" si="92"/>
        <v/>
      </c>
      <c r="F258" s="343"/>
      <c r="G258" s="321"/>
      <c r="H258" s="321"/>
      <c r="I258" s="343"/>
      <c r="J258" s="343"/>
      <c r="K258" s="321"/>
      <c r="L258" s="321"/>
      <c r="M258" s="321"/>
      <c r="O258" s="321"/>
      <c r="P258" s="321"/>
      <c r="R258" s="283"/>
      <c r="S258" s="143" t="str">
        <f t="shared" si="89"/>
        <v/>
      </c>
      <c r="T258" s="143" t="str">
        <f t="shared" si="90"/>
        <v/>
      </c>
      <c r="U258" s="143" t="str">
        <f t="shared" si="91"/>
        <v/>
      </c>
      <c r="V258" s="272">
        <f>VLOOKUP($B258,'Min max table'!$A$6:$C$209,2,FALSE)</f>
        <v>-200000</v>
      </c>
      <c r="W258" s="396">
        <f>VLOOKUP($B258,'Min max table'!$A$6:$C$206,3,FALSE)</f>
        <v>200000</v>
      </c>
      <c r="X258" s="332" t="s">
        <v>1619</v>
      </c>
      <c r="Y258" s="280" t="str">
        <f t="shared" si="93"/>
        <v/>
      </c>
      <c r="Z258" s="143" t="str">
        <f>IF(AND(ISBLANK('Validations table'!E87),AND(A258&lt;&gt;"",OR(K258&lt;0,M258&lt;0,P258&lt;0))), "There is a deficit on this academy's closing reserves either at the end of Yr1, Yr2 or Yr3. Could you explain the circumstances and what steps are planned/ you took  to eliminate the deficit.","")</f>
        <v/>
      </c>
    </row>
    <row r="259" spans="1:26" s="342" customFormat="1" ht="60" customHeight="1" x14ac:dyDescent="0.35">
      <c r="A259" s="482" t="str">
        <f>IF('Finance questions'!$F$5=2, TRIM('Organisation user'!B79),"")</f>
        <v/>
      </c>
      <c r="B259" s="131">
        <v>800</v>
      </c>
      <c r="C259" s="131" t="s">
        <v>16</v>
      </c>
      <c r="D259" s="315"/>
      <c r="E259" s="128" t="str">
        <f t="shared" si="92"/>
        <v/>
      </c>
      <c r="F259" s="343"/>
      <c r="G259" s="321"/>
      <c r="H259" s="321"/>
      <c r="I259" s="343"/>
      <c r="J259" s="343"/>
      <c r="K259" s="321"/>
      <c r="L259" s="321"/>
      <c r="M259" s="321"/>
      <c r="O259" s="321"/>
      <c r="P259" s="321"/>
      <c r="R259" s="283"/>
      <c r="S259" s="143" t="str">
        <f t="shared" si="89"/>
        <v/>
      </c>
      <c r="T259" s="143" t="str">
        <f t="shared" si="90"/>
        <v/>
      </c>
      <c r="U259" s="143" t="str">
        <f t="shared" si="91"/>
        <v/>
      </c>
      <c r="V259" s="272">
        <f>VLOOKUP($B259,'Min max table'!$A$6:$C$209,2,FALSE)</f>
        <v>-200000</v>
      </c>
      <c r="W259" s="396">
        <f>VLOOKUP($B259,'Min max table'!$A$6:$C$206,3,FALSE)</f>
        <v>200000</v>
      </c>
      <c r="X259" s="332" t="s">
        <v>1620</v>
      </c>
      <c r="Y259" s="280" t="str">
        <f t="shared" si="93"/>
        <v/>
      </c>
      <c r="Z259" s="143" t="str">
        <f>IF(AND(ISBLANK('Validations table'!E88),AND(A259&lt;&gt;"",OR(K259&lt;0,M259&lt;0,P259&lt;0))), "There is a deficit on this academy's closing reserves either at the end of Yr1, Yr2 or Yr3. Could you explain the circumstances and what steps are planned/ you took  to eliminate the deficit.","")</f>
        <v/>
      </c>
    </row>
    <row r="260" spans="1:26" s="342" customFormat="1" ht="60" customHeight="1" x14ac:dyDescent="0.35">
      <c r="A260" s="482" t="str">
        <f>IF('Finance questions'!$F$5=2, TRIM('Organisation user'!B80),"")</f>
        <v/>
      </c>
      <c r="B260" s="131">
        <v>800</v>
      </c>
      <c r="C260" s="131" t="s">
        <v>16</v>
      </c>
      <c r="D260" s="315"/>
      <c r="E260" s="128" t="str">
        <f t="shared" si="92"/>
        <v/>
      </c>
      <c r="F260" s="343"/>
      <c r="G260" s="321"/>
      <c r="H260" s="321"/>
      <c r="I260" s="343"/>
      <c r="J260" s="343"/>
      <c r="K260" s="321"/>
      <c r="L260" s="321"/>
      <c r="M260" s="321"/>
      <c r="O260" s="321"/>
      <c r="P260" s="321"/>
      <c r="R260" s="283"/>
      <c r="S260" s="143" t="str">
        <f t="shared" si="89"/>
        <v/>
      </c>
      <c r="T260" s="143" t="str">
        <f t="shared" si="90"/>
        <v/>
      </c>
      <c r="U260" s="143" t="str">
        <f t="shared" si="91"/>
        <v/>
      </c>
      <c r="V260" s="272">
        <f>VLOOKUP($B260,'Min max table'!$A$6:$C$209,2,FALSE)</f>
        <v>-200000</v>
      </c>
      <c r="W260" s="396">
        <f>VLOOKUP($B260,'Min max table'!$A$6:$C$206,3,FALSE)</f>
        <v>200000</v>
      </c>
      <c r="X260" s="332" t="s">
        <v>1621</v>
      </c>
      <c r="Y260" s="280" t="str">
        <f t="shared" si="93"/>
        <v/>
      </c>
      <c r="Z260" s="143" t="str">
        <f>IF(AND(ISBLANK('Validations table'!E89),AND(A260&lt;&gt;"",OR(K260&lt;0,M260&lt;0,P260&lt;0))), "There is a deficit on this academy's closing reserves either at the end of Yr1, Yr2 or Yr3. Could you explain the circumstances and what steps are planned/ you took  to eliminate the deficit.","")</f>
        <v/>
      </c>
    </row>
    <row r="261" spans="1:26" s="342" customFormat="1" ht="60" customHeight="1" x14ac:dyDescent="0.35">
      <c r="A261" s="482" t="str">
        <f>IF('Finance questions'!$F$5=2, TRIM('Organisation user'!B81),"")</f>
        <v/>
      </c>
      <c r="B261" s="131">
        <v>800</v>
      </c>
      <c r="C261" s="131" t="s">
        <v>16</v>
      </c>
      <c r="D261" s="315"/>
      <c r="E261" s="128" t="str">
        <f t="shared" si="92"/>
        <v/>
      </c>
      <c r="F261" s="343"/>
      <c r="G261" s="321"/>
      <c r="H261" s="321"/>
      <c r="I261" s="343"/>
      <c r="J261" s="343"/>
      <c r="K261" s="321"/>
      <c r="L261" s="321"/>
      <c r="M261" s="321"/>
      <c r="O261" s="321"/>
      <c r="P261" s="321"/>
      <c r="R261" s="283"/>
      <c r="S261" s="143" t="str">
        <f>IF(OR(G261-ROUND(G261,)&lt;&gt;0,H261-ROUND(H261,)&lt;&gt;0,K261-ROUND(K261,)&lt;&gt;0,L261-ROUND(L261,)&lt;&gt;0,M261-ROUND(M261,)&lt;&gt;0,O261-ROUND(O261,)&lt;&gt;0,P261-ROUND(P261,)&lt;&gt;0),"No decimal places, letters &amp; odd characters allowed","")</f>
        <v/>
      </c>
      <c r="T261" s="143" t="str">
        <f t="shared" si="90"/>
        <v/>
      </c>
      <c r="U261" s="143" t="str">
        <f t="shared" si="91"/>
        <v/>
      </c>
      <c r="V261" s="272">
        <f>VLOOKUP($B261,'Min max table'!$A$6:$C$209,2,FALSE)</f>
        <v>-200000</v>
      </c>
      <c r="W261" s="396">
        <f>VLOOKUP($B261,'Min max table'!$A$6:$C$206,3,FALSE)</f>
        <v>200000</v>
      </c>
      <c r="X261" s="332" t="s">
        <v>1622</v>
      </c>
      <c r="Y261" s="280" t="str">
        <f t="shared" si="93"/>
        <v/>
      </c>
      <c r="Z261" s="143" t="str">
        <f>IF(AND(ISBLANK('Validations table'!E90),AND(A261&lt;&gt;"",OR(K261&lt;0,M261&lt;0,P261&lt;0))), "There is a deficit on this academy's closing reserves either at the end of Yr1, Yr2 or Yr3. Could you explain the circumstances and what steps are planned/ you took  to eliminate the deficit.","")</f>
        <v/>
      </c>
    </row>
    <row r="262" spans="1:26" s="342" customFormat="1" ht="60" customHeight="1" x14ac:dyDescent="0.35">
      <c r="A262" s="482" t="str">
        <f>IF('Finance questions'!$F$5=2, TRIM('Organisation user'!B82),"")</f>
        <v/>
      </c>
      <c r="B262" s="131">
        <v>800</v>
      </c>
      <c r="C262" s="131" t="s">
        <v>16</v>
      </c>
      <c r="D262" s="315"/>
      <c r="E262" s="128" t="str">
        <f t="shared" si="92"/>
        <v/>
      </c>
      <c r="F262" s="343"/>
      <c r="G262" s="321"/>
      <c r="H262" s="321"/>
      <c r="I262" s="343"/>
      <c r="J262" s="343"/>
      <c r="K262" s="321"/>
      <c r="L262" s="321"/>
      <c r="M262" s="321"/>
      <c r="O262" s="321"/>
      <c r="P262" s="321"/>
      <c r="R262" s="283"/>
      <c r="S262" s="143" t="str">
        <f t="shared" si="89"/>
        <v/>
      </c>
      <c r="T262" s="143" t="str">
        <f t="shared" si="90"/>
        <v/>
      </c>
      <c r="U262" s="143" t="str">
        <f t="shared" si="91"/>
        <v/>
      </c>
      <c r="V262" s="272">
        <f>VLOOKUP($B262,'Min max table'!$A$6:$C$209,2,FALSE)</f>
        <v>-200000</v>
      </c>
      <c r="W262" s="396">
        <f>VLOOKUP($B262,'Min max table'!$A$6:$C$206,3,FALSE)</f>
        <v>200000</v>
      </c>
      <c r="X262" s="332" t="s">
        <v>1623</v>
      </c>
      <c r="Y262" s="280" t="str">
        <f t="shared" si="93"/>
        <v/>
      </c>
      <c r="Z262" s="143" t="str">
        <f>IF(AND(ISBLANK('Validations table'!E91),AND(A262&lt;&gt;"",OR(K262&lt;0,M262&lt;0,P262&lt;0))), "There is a deficit on this academy's closing reserves either at the end of Yr1, Yr2 or Yr3. Could you explain the circumstances and what steps are planned/ you took  to eliminate the deficit.","")</f>
        <v/>
      </c>
    </row>
    <row r="263" spans="1:26" s="342" customFormat="1" ht="60" customHeight="1" x14ac:dyDescent="0.35">
      <c r="A263" s="482" t="str">
        <f>IF('Finance questions'!$F$5=2, TRIM('Organisation user'!B83),"")</f>
        <v/>
      </c>
      <c r="B263" s="131">
        <v>800</v>
      </c>
      <c r="C263" s="131" t="s">
        <v>16</v>
      </c>
      <c r="D263" s="315"/>
      <c r="E263" s="128" t="str">
        <f t="shared" si="92"/>
        <v/>
      </c>
      <c r="F263" s="343"/>
      <c r="G263" s="321"/>
      <c r="H263" s="321"/>
      <c r="I263" s="343"/>
      <c r="J263" s="343"/>
      <c r="K263" s="321"/>
      <c r="L263" s="321"/>
      <c r="M263" s="321"/>
      <c r="O263" s="321"/>
      <c r="P263" s="321"/>
      <c r="R263" s="283"/>
      <c r="S263" s="143" t="str">
        <f t="shared" si="89"/>
        <v/>
      </c>
      <c r="T263" s="143" t="str">
        <f t="shared" si="90"/>
        <v/>
      </c>
      <c r="U263" s="143" t="str">
        <f t="shared" si="91"/>
        <v/>
      </c>
      <c r="V263" s="272">
        <f>VLOOKUP($B263,'Min max table'!$A$6:$C$209,2,FALSE)</f>
        <v>-200000</v>
      </c>
      <c r="W263" s="396">
        <f>VLOOKUP($B263,'Min max table'!$A$6:$C$206,3,FALSE)</f>
        <v>200000</v>
      </c>
      <c r="X263" s="332" t="s">
        <v>1624</v>
      </c>
      <c r="Y263" s="280" t="str">
        <f t="shared" si="93"/>
        <v/>
      </c>
      <c r="Z263" s="143" t="str">
        <f>IF(AND(ISBLANK('Validations table'!E92),AND(A263&lt;&gt;"",OR(K263&lt;0,M263&lt;0,P263&lt;0))), "There is a deficit on this academy's closing reserves either at the end of Yr1, Yr2 or Yr3. Could you explain the circumstances and what steps are planned/ you took  to eliminate the deficit.","")</f>
        <v/>
      </c>
    </row>
    <row r="264" spans="1:26" s="342" customFormat="1" ht="60" customHeight="1" x14ac:dyDescent="0.35">
      <c r="A264" s="482" t="str">
        <f>IF('Finance questions'!$F$5=2, TRIM('Organisation user'!B84),"")</f>
        <v/>
      </c>
      <c r="B264" s="131">
        <v>800</v>
      </c>
      <c r="C264" s="131" t="s">
        <v>16</v>
      </c>
      <c r="D264" s="315"/>
      <c r="E264" s="128" t="str">
        <f t="shared" si="92"/>
        <v/>
      </c>
      <c r="F264" s="343"/>
      <c r="G264" s="321"/>
      <c r="H264" s="321"/>
      <c r="I264" s="343"/>
      <c r="J264" s="343"/>
      <c r="K264" s="321"/>
      <c r="L264" s="321"/>
      <c r="M264" s="321"/>
      <c r="O264" s="321"/>
      <c r="P264" s="321"/>
      <c r="R264" s="283"/>
      <c r="S264" s="143" t="str">
        <f t="shared" si="89"/>
        <v/>
      </c>
      <c r="T264" s="143" t="str">
        <f t="shared" si="90"/>
        <v/>
      </c>
      <c r="U264" s="143" t="str">
        <f t="shared" si="91"/>
        <v/>
      </c>
      <c r="V264" s="272">
        <f>VLOOKUP($B264,'Min max table'!$A$6:$C$209,2,FALSE)</f>
        <v>-200000</v>
      </c>
      <c r="W264" s="396">
        <f>VLOOKUP($B264,'Min max table'!$A$6:$C$206,3,FALSE)</f>
        <v>200000</v>
      </c>
      <c r="X264" s="332" t="s">
        <v>1625</v>
      </c>
      <c r="Y264" s="280" t="str">
        <f t="shared" si="93"/>
        <v/>
      </c>
      <c r="Z264" s="143" t="str">
        <f>IF(AND(ISBLANK('Validations table'!E93),AND(A264&lt;&gt;"",OR(K264&lt;0,M264&lt;0,P264&lt;0))), "There is a deficit on this academy's closing reserves either at the end of Yr1, Yr2 or Yr3. Could you explain the circumstances and what steps are planned/ you took  to eliminate the deficit.","")</f>
        <v/>
      </c>
    </row>
    <row r="265" spans="1:26" s="342" customFormat="1" ht="60" customHeight="1" x14ac:dyDescent="0.35">
      <c r="A265" s="482" t="str">
        <f>IF('Finance questions'!$F$5=2, TRIM('Organisation user'!B85),"")</f>
        <v/>
      </c>
      <c r="B265" s="131">
        <v>800</v>
      </c>
      <c r="C265" s="131" t="s">
        <v>16</v>
      </c>
      <c r="D265" s="315"/>
      <c r="E265" s="128" t="str">
        <f t="shared" si="92"/>
        <v/>
      </c>
      <c r="F265" s="343"/>
      <c r="G265" s="321"/>
      <c r="H265" s="321"/>
      <c r="I265" s="343"/>
      <c r="J265" s="343"/>
      <c r="K265" s="321"/>
      <c r="L265" s="321"/>
      <c r="M265" s="321"/>
      <c r="O265" s="321"/>
      <c r="P265" s="321"/>
      <c r="R265" s="283"/>
      <c r="S265" s="143" t="str">
        <f t="shared" si="89"/>
        <v/>
      </c>
      <c r="T265" s="143" t="str">
        <f t="shared" si="90"/>
        <v/>
      </c>
      <c r="U265" s="143" t="str">
        <f t="shared" si="91"/>
        <v/>
      </c>
      <c r="V265" s="272">
        <f>VLOOKUP($B265,'Min max table'!$A$6:$C$209,2,FALSE)</f>
        <v>-200000</v>
      </c>
      <c r="W265" s="396">
        <f>VLOOKUP($B265,'Min max table'!$A$6:$C$206,3,FALSE)</f>
        <v>200000</v>
      </c>
      <c r="X265" s="332" t="s">
        <v>1626</v>
      </c>
      <c r="Y265" s="280" t="str">
        <f t="shared" si="93"/>
        <v/>
      </c>
      <c r="Z265" s="143" t="str">
        <f>IF(AND(ISBLANK('Validations table'!E94),AND(A265&lt;&gt;"",OR(K265&lt;0,M265&lt;0,P265&lt;0))), "There is a deficit on this academy's closing reserves either at the end of Yr1, Yr2 or Yr3. Could you explain the circumstances and what steps are planned/ you took  to eliminate the deficit.","")</f>
        <v/>
      </c>
    </row>
    <row r="266" spans="1:26" s="342" customFormat="1" ht="60" customHeight="1" x14ac:dyDescent="0.35">
      <c r="A266" s="482" t="str">
        <f>IF('Finance questions'!$F$5=2, TRIM('Organisation user'!B86),"")</f>
        <v/>
      </c>
      <c r="B266" s="131">
        <v>800</v>
      </c>
      <c r="C266" s="131" t="s">
        <v>16</v>
      </c>
      <c r="D266" s="315"/>
      <c r="E266" s="128" t="str">
        <f t="shared" si="92"/>
        <v/>
      </c>
      <c r="F266" s="343"/>
      <c r="G266" s="321"/>
      <c r="H266" s="321"/>
      <c r="I266" s="343"/>
      <c r="J266" s="343"/>
      <c r="K266" s="321"/>
      <c r="L266" s="321"/>
      <c r="M266" s="321"/>
      <c r="O266" s="321"/>
      <c r="P266" s="321"/>
      <c r="R266" s="283"/>
      <c r="S266" s="143" t="str">
        <f t="shared" si="89"/>
        <v/>
      </c>
      <c r="T266" s="143" t="str">
        <f t="shared" si="90"/>
        <v/>
      </c>
      <c r="U266" s="143" t="str">
        <f t="shared" si="91"/>
        <v/>
      </c>
      <c r="V266" s="272">
        <f>VLOOKUP($B266,'Min max table'!$A$6:$C$209,2,FALSE)</f>
        <v>-200000</v>
      </c>
      <c r="W266" s="396">
        <f>VLOOKUP($B266,'Min max table'!$A$6:$C$206,3,FALSE)</f>
        <v>200000</v>
      </c>
      <c r="X266" s="332" t="s">
        <v>1627</v>
      </c>
      <c r="Y266" s="280" t="str">
        <f t="shared" si="93"/>
        <v/>
      </c>
      <c r="Z266" s="143" t="str">
        <f>IF(AND(ISBLANK('Validations table'!E95),AND(A266&lt;&gt;"",OR(K266&lt;0,M266&lt;0,P266&lt;0))), "There is a deficit on this academy's closing reserves either at the end of Yr1, Yr2 or Yr3. Could you explain the circumstances and what steps are planned/ you took  to eliminate the deficit.","")</f>
        <v/>
      </c>
    </row>
    <row r="267" spans="1:26" s="342" customFormat="1" ht="60" customHeight="1" x14ac:dyDescent="0.35">
      <c r="A267" s="482" t="str">
        <f>IF('Finance questions'!$F$5=2, TRIM('Organisation user'!B87),"")</f>
        <v/>
      </c>
      <c r="B267" s="131">
        <v>800</v>
      </c>
      <c r="C267" s="131" t="s">
        <v>16</v>
      </c>
      <c r="D267" s="315"/>
      <c r="E267" s="128" t="str">
        <f t="shared" si="92"/>
        <v/>
      </c>
      <c r="F267" s="343"/>
      <c r="G267" s="321"/>
      <c r="H267" s="321"/>
      <c r="I267" s="343"/>
      <c r="J267" s="343"/>
      <c r="K267" s="321"/>
      <c r="L267" s="321"/>
      <c r="M267" s="321"/>
      <c r="O267" s="321"/>
      <c r="P267" s="321"/>
      <c r="R267" s="283"/>
      <c r="S267" s="143" t="str">
        <f t="shared" si="89"/>
        <v/>
      </c>
      <c r="T267" s="143" t="str">
        <f t="shared" si="90"/>
        <v/>
      </c>
      <c r="U267" s="143" t="str">
        <f t="shared" si="91"/>
        <v/>
      </c>
      <c r="V267" s="272">
        <f>VLOOKUP($B267,'Min max table'!$A$6:$C$209,2,FALSE)</f>
        <v>-200000</v>
      </c>
      <c r="W267" s="396">
        <f>VLOOKUP($B267,'Min max table'!$A$6:$C$206,3,FALSE)</f>
        <v>200000</v>
      </c>
      <c r="X267" s="332" t="s">
        <v>1628</v>
      </c>
      <c r="Y267" s="280" t="str">
        <f t="shared" si="93"/>
        <v/>
      </c>
      <c r="Z267" s="143" t="str">
        <f>IF(AND(ISBLANK('Validations table'!E96),AND(A267&lt;&gt;"",OR(K267&lt;0,M267&lt;0,P267&lt;0))), "There is a deficit on this academy's closing reserves either at the end of Yr1, Yr2 or Yr3. Could you explain the circumstances and what steps are planned/ you took  to eliminate the deficit.","")</f>
        <v/>
      </c>
    </row>
    <row r="268" spans="1:26" s="342" customFormat="1" ht="60" customHeight="1" x14ac:dyDescent="0.35">
      <c r="A268" s="482" t="str">
        <f>IF('Finance questions'!$F$5=2, TRIM('Organisation user'!B88),"")</f>
        <v/>
      </c>
      <c r="B268" s="131">
        <v>800</v>
      </c>
      <c r="C268" s="131" t="s">
        <v>16</v>
      </c>
      <c r="D268" s="315"/>
      <c r="E268" s="128" t="str">
        <f t="shared" si="92"/>
        <v/>
      </c>
      <c r="F268" s="343"/>
      <c r="G268" s="321"/>
      <c r="H268" s="321"/>
      <c r="I268" s="343"/>
      <c r="J268" s="343"/>
      <c r="K268" s="321"/>
      <c r="L268" s="321"/>
      <c r="M268" s="321"/>
      <c r="O268" s="321"/>
      <c r="P268" s="321"/>
      <c r="R268" s="283"/>
      <c r="S268" s="143" t="str">
        <f t="shared" si="89"/>
        <v/>
      </c>
      <c r="T268" s="143" t="str">
        <f t="shared" si="90"/>
        <v/>
      </c>
      <c r="U268" s="143" t="str">
        <f t="shared" si="91"/>
        <v/>
      </c>
      <c r="V268" s="272">
        <f>VLOOKUP($B268,'Min max table'!$A$6:$C$209,2,FALSE)</f>
        <v>-200000</v>
      </c>
      <c r="W268" s="396">
        <f>VLOOKUP($B268,'Min max table'!$A$6:$C$206,3,FALSE)</f>
        <v>200000</v>
      </c>
      <c r="X268" s="332" t="s">
        <v>1629</v>
      </c>
      <c r="Y268" s="280" t="str">
        <f t="shared" si="93"/>
        <v/>
      </c>
      <c r="Z268" s="143" t="str">
        <f>IF(AND(ISBLANK('Validations table'!E97),AND(A268&lt;&gt;"",OR(K268&lt;0,M268&lt;0,P268&lt;0))), "There is a deficit on this academy's closing reserves either at the end of Yr1, Yr2 or Yr3. Could you explain the circumstances and what steps are planned/ you took  to eliminate the deficit.","")</f>
        <v/>
      </c>
    </row>
    <row r="269" spans="1:26" s="342" customFormat="1" ht="60" customHeight="1" x14ac:dyDescent="0.35">
      <c r="A269" s="482" t="str">
        <f>IF('Finance questions'!$F$5=2, TRIM('Organisation user'!B89),"")</f>
        <v/>
      </c>
      <c r="B269" s="131">
        <v>800</v>
      </c>
      <c r="C269" s="131" t="s">
        <v>16</v>
      </c>
      <c r="D269" s="315"/>
      <c r="E269" s="128" t="str">
        <f t="shared" ref="E269:E294" si="94">IF(OR(S269&lt;&gt;"",T269&lt;&gt;"",U269&lt;&gt;"",Z269&lt;&gt;""),"Check - see columns S-Z for info","")</f>
        <v/>
      </c>
      <c r="F269" s="343"/>
      <c r="G269" s="321"/>
      <c r="H269" s="321"/>
      <c r="I269" s="343"/>
      <c r="J269" s="343"/>
      <c r="K269" s="321"/>
      <c r="L269" s="321"/>
      <c r="M269" s="321"/>
      <c r="O269" s="321"/>
      <c r="P269" s="321"/>
      <c r="R269" s="283"/>
      <c r="S269" s="143" t="str">
        <f t="shared" si="89"/>
        <v/>
      </c>
      <c r="T269" s="143" t="str">
        <f t="shared" si="90"/>
        <v/>
      </c>
      <c r="U269" s="143" t="str">
        <f t="shared" si="91"/>
        <v/>
      </c>
      <c r="V269" s="272">
        <f>VLOOKUP($B269,'Min max table'!$A$6:$C$209,2,FALSE)</f>
        <v>-200000</v>
      </c>
      <c r="W269" s="396">
        <f>VLOOKUP($B269,'Min max table'!$A$6:$C$206,3,FALSE)</f>
        <v>200000</v>
      </c>
      <c r="X269" s="332" t="s">
        <v>1630</v>
      </c>
      <c r="Y269" s="280" t="str">
        <f t="shared" ref="Y269:Y294" si="95">IF(Z269="","","Refer to "&amp;X269&amp;" in the validations table")</f>
        <v/>
      </c>
      <c r="Z269" s="143" t="str">
        <f>IF(AND(ISBLANK('Validations table'!E98),AND(A269&lt;&gt;"",OR(K269&lt;0,M269&lt;0,P269&lt;0))), "There is a deficit on this academy's closing reserves either at the end of Yr1, Yr2 or Yr3. Could you explain the circumstances and what steps are planned/ you took  to eliminate the deficit.","")</f>
        <v/>
      </c>
    </row>
    <row r="270" spans="1:26" s="342" customFormat="1" ht="60" customHeight="1" x14ac:dyDescent="0.35">
      <c r="A270" s="482" t="str">
        <f>IF('Finance questions'!$F$5=2, TRIM('Organisation user'!B90),"")</f>
        <v/>
      </c>
      <c r="B270" s="131">
        <v>800</v>
      </c>
      <c r="C270" s="131" t="s">
        <v>16</v>
      </c>
      <c r="D270" s="315"/>
      <c r="E270" s="128" t="str">
        <f t="shared" si="94"/>
        <v/>
      </c>
      <c r="F270" s="343"/>
      <c r="G270" s="321"/>
      <c r="H270" s="321"/>
      <c r="I270" s="343"/>
      <c r="J270" s="343"/>
      <c r="K270" s="321"/>
      <c r="L270" s="321"/>
      <c r="M270" s="321"/>
      <c r="O270" s="321"/>
      <c r="P270" s="321"/>
      <c r="R270" s="283"/>
      <c r="S270" s="143" t="str">
        <f t="shared" ref="S270:S294" si="96">IF(OR(G270-ROUND(G270,)&lt;&gt;0,H270-ROUND(H270,)&lt;&gt;0,K270-ROUND(K270,)&lt;&gt;0,L270-ROUND(L270,)&lt;&gt;0,M270-ROUND(M270,)&lt;&gt;0,O270-ROUND(O270,)&lt;&gt;0,P270-ROUND(P270,)&lt;&gt;0),"No decimal places, letters &amp; odd characters allowed","")</f>
        <v/>
      </c>
      <c r="T270" s="143" t="str">
        <f t="shared" ref="T270:T294" si="97">IF(OR(G270&lt;V270,H270&lt;V270,K270&lt;V270,L270&lt;V270,M270&lt;V270,O270&lt;V270,P270&lt;V270),"input value is below the minimum value allowed","")</f>
        <v/>
      </c>
      <c r="U270" s="143" t="str">
        <f t="shared" ref="U270:U294" si="98">IF(OR(G270&gt;W270,H270&gt;W270,K270&gt;W270,L270&gt;W270,M270&gt;W270,O270&gt;W270,P270&gt;W270),"Input value is above the maximum value allowed","")</f>
        <v/>
      </c>
      <c r="V270" s="272">
        <f>VLOOKUP($B270,'Min max table'!$A$6:$C$209,2,FALSE)</f>
        <v>-200000</v>
      </c>
      <c r="W270" s="396">
        <f>VLOOKUP($B270,'Min max table'!$A$6:$C$206,3,FALSE)</f>
        <v>200000</v>
      </c>
      <c r="X270" s="332" t="s">
        <v>1631</v>
      </c>
      <c r="Y270" s="280" t="str">
        <f t="shared" si="95"/>
        <v/>
      </c>
      <c r="Z270" s="143" t="str">
        <f>IF(AND(ISBLANK('Validations table'!E99),AND(A270&lt;&gt;"",OR(K270&lt;0,M270&lt;0,P270&lt;0))), "There is a deficit on this academy's closing reserves either at the end of Yr1, Yr2 or Yr3. Could you explain the circumstances and what steps are planned/ you took  to eliminate the deficit.","")</f>
        <v/>
      </c>
    </row>
    <row r="271" spans="1:26" s="342" customFormat="1" ht="60" customHeight="1" x14ac:dyDescent="0.35">
      <c r="A271" s="482" t="str">
        <f>IF('Finance questions'!$F$5=2, TRIM('Organisation user'!B91),"")</f>
        <v/>
      </c>
      <c r="B271" s="131">
        <v>800</v>
      </c>
      <c r="C271" s="131" t="s">
        <v>16</v>
      </c>
      <c r="D271" s="315"/>
      <c r="E271" s="128" t="str">
        <f t="shared" si="94"/>
        <v/>
      </c>
      <c r="F271" s="343"/>
      <c r="G271" s="321"/>
      <c r="H271" s="321"/>
      <c r="I271" s="343"/>
      <c r="J271" s="343"/>
      <c r="K271" s="321"/>
      <c r="L271" s="321"/>
      <c r="M271" s="321"/>
      <c r="O271" s="321"/>
      <c r="P271" s="321"/>
      <c r="R271" s="283"/>
      <c r="S271" s="143" t="str">
        <f t="shared" si="96"/>
        <v/>
      </c>
      <c r="T271" s="143" t="str">
        <f t="shared" si="97"/>
        <v/>
      </c>
      <c r="U271" s="143" t="str">
        <f t="shared" si="98"/>
        <v/>
      </c>
      <c r="V271" s="272">
        <f>VLOOKUP($B271,'Min max table'!$A$6:$C$209,2,FALSE)</f>
        <v>-200000</v>
      </c>
      <c r="W271" s="396">
        <f>VLOOKUP($B271,'Min max table'!$A$6:$C$206,3,FALSE)</f>
        <v>200000</v>
      </c>
      <c r="X271" s="332" t="s">
        <v>1632</v>
      </c>
      <c r="Y271" s="280" t="str">
        <f t="shared" si="95"/>
        <v/>
      </c>
      <c r="Z271" s="143" t="str">
        <f>IF(AND(ISBLANK('Validations table'!E100),AND(A271&lt;&gt;"",OR(K271&lt;0,M271&lt;0,P271&lt;0))), "There is a deficit on this academy's closing reserves either at the end of Yr1, Yr2 or Yr3. Could you explain the circumstances and what steps are planned/ you took  to eliminate the deficit.","")</f>
        <v/>
      </c>
    </row>
    <row r="272" spans="1:26" s="342" customFormat="1" ht="60" customHeight="1" x14ac:dyDescent="0.35">
      <c r="A272" s="482" t="str">
        <f>IF('Finance questions'!$F$5=2, TRIM('Organisation user'!B92),"")</f>
        <v/>
      </c>
      <c r="B272" s="131">
        <v>800</v>
      </c>
      <c r="C272" s="131" t="s">
        <v>16</v>
      </c>
      <c r="D272" s="315"/>
      <c r="E272" s="128" t="str">
        <f t="shared" si="94"/>
        <v/>
      </c>
      <c r="F272" s="343"/>
      <c r="G272" s="321"/>
      <c r="H272" s="321"/>
      <c r="I272" s="343"/>
      <c r="J272" s="343"/>
      <c r="K272" s="321"/>
      <c r="L272" s="321"/>
      <c r="M272" s="321"/>
      <c r="O272" s="321"/>
      <c r="P272" s="321"/>
      <c r="R272" s="283"/>
      <c r="S272" s="143" t="str">
        <f t="shared" si="96"/>
        <v/>
      </c>
      <c r="T272" s="143" t="str">
        <f t="shared" si="97"/>
        <v/>
      </c>
      <c r="U272" s="143" t="str">
        <f t="shared" si="98"/>
        <v/>
      </c>
      <c r="V272" s="272">
        <f>VLOOKUP($B272,'Min max table'!$A$6:$C$209,2,FALSE)</f>
        <v>-200000</v>
      </c>
      <c r="W272" s="396">
        <f>VLOOKUP($B272,'Min max table'!$A$6:$C$206,3,FALSE)</f>
        <v>200000</v>
      </c>
      <c r="X272" s="332" t="s">
        <v>1633</v>
      </c>
      <c r="Y272" s="280" t="str">
        <f t="shared" si="95"/>
        <v/>
      </c>
      <c r="Z272" s="143" t="str">
        <f>IF(AND(ISBLANK('Validations table'!E101),AND(A272&lt;&gt;"",OR(K272&lt;0,M272&lt;0,P272&lt;0))), "There is a deficit on this academy's closing reserves either at the end of Yr1, Yr2 or Yr3. Could you explain the circumstances and what steps are planned/ you took  to eliminate the deficit.","")</f>
        <v/>
      </c>
    </row>
    <row r="273" spans="1:26" s="342" customFormat="1" ht="60" customHeight="1" x14ac:dyDescent="0.35">
      <c r="A273" s="482" t="str">
        <f>IF('Finance questions'!$F$5=2, TRIM('Organisation user'!B93),"")</f>
        <v/>
      </c>
      <c r="B273" s="131">
        <v>800</v>
      </c>
      <c r="C273" s="131" t="s">
        <v>16</v>
      </c>
      <c r="D273" s="315"/>
      <c r="E273" s="128" t="str">
        <f t="shared" si="94"/>
        <v/>
      </c>
      <c r="F273" s="343"/>
      <c r="G273" s="321"/>
      <c r="H273" s="321"/>
      <c r="I273" s="343"/>
      <c r="J273" s="343"/>
      <c r="K273" s="321"/>
      <c r="L273" s="321"/>
      <c r="M273" s="321"/>
      <c r="O273" s="321"/>
      <c r="P273" s="321"/>
      <c r="R273" s="283"/>
      <c r="S273" s="143" t="str">
        <f t="shared" si="96"/>
        <v/>
      </c>
      <c r="T273" s="143" t="str">
        <f t="shared" si="97"/>
        <v/>
      </c>
      <c r="U273" s="143" t="str">
        <f t="shared" si="98"/>
        <v/>
      </c>
      <c r="V273" s="272">
        <f>VLOOKUP($B273,'Min max table'!$A$6:$C$209,2,FALSE)</f>
        <v>-200000</v>
      </c>
      <c r="W273" s="396">
        <f>VLOOKUP($B273,'Min max table'!$A$6:$C$206,3,FALSE)</f>
        <v>200000</v>
      </c>
      <c r="X273" s="332" t="s">
        <v>1634</v>
      </c>
      <c r="Y273" s="280" t="str">
        <f t="shared" si="95"/>
        <v/>
      </c>
      <c r="Z273" s="143" t="str">
        <f>IF(AND(ISBLANK('Validations table'!E102),AND(A273&lt;&gt;"",OR(K273&lt;0,M273&lt;0,P273&lt;0))), "There is a deficit on this academy's closing reserves either at the end of Yr1, Yr2 or Yr3. Could you explain the circumstances and what steps are planned/ you took  to eliminate the deficit.","")</f>
        <v/>
      </c>
    </row>
    <row r="274" spans="1:26" s="342" customFormat="1" ht="60" customHeight="1" x14ac:dyDescent="0.35">
      <c r="A274" s="482" t="str">
        <f>IF('Finance questions'!$F$5=2, TRIM('Organisation user'!B94),"")</f>
        <v/>
      </c>
      <c r="B274" s="131">
        <v>800</v>
      </c>
      <c r="C274" s="131" t="s">
        <v>16</v>
      </c>
      <c r="D274" s="315"/>
      <c r="E274" s="128" t="str">
        <f t="shared" si="94"/>
        <v/>
      </c>
      <c r="F274" s="343"/>
      <c r="G274" s="321"/>
      <c r="H274" s="321"/>
      <c r="I274" s="343"/>
      <c r="J274" s="343"/>
      <c r="K274" s="321"/>
      <c r="L274" s="321"/>
      <c r="M274" s="321"/>
      <c r="O274" s="321"/>
      <c r="P274" s="321"/>
      <c r="R274" s="283"/>
      <c r="S274" s="143" t="str">
        <f t="shared" si="96"/>
        <v/>
      </c>
      <c r="T274" s="143" t="str">
        <f t="shared" si="97"/>
        <v/>
      </c>
      <c r="U274" s="143" t="str">
        <f t="shared" si="98"/>
        <v/>
      </c>
      <c r="V274" s="272">
        <f>VLOOKUP($B274,'Min max table'!$A$6:$C$209,2,FALSE)</f>
        <v>-200000</v>
      </c>
      <c r="W274" s="396">
        <f>VLOOKUP($B274,'Min max table'!$A$6:$C$206,3,FALSE)</f>
        <v>200000</v>
      </c>
      <c r="X274" s="332" t="s">
        <v>1635</v>
      </c>
      <c r="Y274" s="280" t="str">
        <f t="shared" si="95"/>
        <v/>
      </c>
      <c r="Z274" s="143" t="str">
        <f>IF(AND(ISBLANK('Validations table'!E103),AND(A274&lt;&gt;"",OR(K274&lt;0,M274&lt;0,P274&lt;0))), "There is a deficit on this academy's closing reserves either at the end of Yr1, Yr2 or Yr3. Could you explain the circumstances and what steps are planned/ you took  to eliminate the deficit.","")</f>
        <v/>
      </c>
    </row>
    <row r="275" spans="1:26" s="342" customFormat="1" ht="60" customHeight="1" x14ac:dyDescent="0.35">
      <c r="A275" s="482" t="str">
        <f>IF('Finance questions'!$F$5=2, TRIM('Organisation user'!B95),"")</f>
        <v/>
      </c>
      <c r="B275" s="131">
        <v>800</v>
      </c>
      <c r="C275" s="131" t="s">
        <v>16</v>
      </c>
      <c r="D275" s="315"/>
      <c r="E275" s="128" t="str">
        <f t="shared" si="94"/>
        <v/>
      </c>
      <c r="F275" s="343"/>
      <c r="G275" s="321"/>
      <c r="H275" s="321"/>
      <c r="I275" s="343"/>
      <c r="J275" s="343"/>
      <c r="K275" s="321"/>
      <c r="L275" s="321"/>
      <c r="M275" s="321"/>
      <c r="O275" s="321"/>
      <c r="P275" s="321"/>
      <c r="R275" s="283"/>
      <c r="S275" s="143" t="str">
        <f t="shared" si="96"/>
        <v/>
      </c>
      <c r="T275" s="143" t="str">
        <f t="shared" si="97"/>
        <v/>
      </c>
      <c r="U275" s="143" t="str">
        <f t="shared" si="98"/>
        <v/>
      </c>
      <c r="V275" s="272">
        <f>VLOOKUP($B275,'Min max table'!$A$6:$C$209,2,FALSE)</f>
        <v>-200000</v>
      </c>
      <c r="W275" s="396">
        <f>VLOOKUP($B275,'Min max table'!$A$6:$C$206,3,FALSE)</f>
        <v>200000</v>
      </c>
      <c r="X275" s="332" t="s">
        <v>1636</v>
      </c>
      <c r="Y275" s="280" t="str">
        <f t="shared" si="95"/>
        <v/>
      </c>
      <c r="Z275" s="143" t="str">
        <f>IF(AND(ISBLANK('Validations table'!E104),AND(A275&lt;&gt;"",OR(K275&lt;0,M275&lt;0,P275&lt;0))), "There is a deficit on this academy's closing reserves either at the end of Yr1, Yr2 or Yr3. Could you explain the circumstances and what steps are planned/ you took  to eliminate the deficit.","")</f>
        <v/>
      </c>
    </row>
    <row r="276" spans="1:26" s="342" customFormat="1" ht="60" customHeight="1" x14ac:dyDescent="0.35">
      <c r="A276" s="482" t="str">
        <f>IF('Finance questions'!$F$5=2, TRIM('Organisation user'!B96),"")</f>
        <v/>
      </c>
      <c r="B276" s="131">
        <v>800</v>
      </c>
      <c r="C276" s="131" t="s">
        <v>16</v>
      </c>
      <c r="D276" s="315"/>
      <c r="E276" s="128" t="str">
        <f t="shared" si="94"/>
        <v/>
      </c>
      <c r="F276" s="343"/>
      <c r="G276" s="321"/>
      <c r="H276" s="321"/>
      <c r="I276" s="343"/>
      <c r="J276" s="343"/>
      <c r="K276" s="321"/>
      <c r="L276" s="321"/>
      <c r="M276" s="321"/>
      <c r="O276" s="321"/>
      <c r="P276" s="321"/>
      <c r="R276" s="283"/>
      <c r="S276" s="143" t="str">
        <f t="shared" si="96"/>
        <v/>
      </c>
      <c r="T276" s="143" t="str">
        <f t="shared" si="97"/>
        <v/>
      </c>
      <c r="U276" s="143" t="str">
        <f t="shared" si="98"/>
        <v/>
      </c>
      <c r="V276" s="272">
        <f>VLOOKUP($B276,'Min max table'!$A$6:$C$209,2,FALSE)</f>
        <v>-200000</v>
      </c>
      <c r="W276" s="396">
        <f>VLOOKUP($B276,'Min max table'!$A$6:$C$206,3,FALSE)</f>
        <v>200000</v>
      </c>
      <c r="X276" s="332" t="s">
        <v>1637</v>
      </c>
      <c r="Y276" s="280" t="str">
        <f t="shared" si="95"/>
        <v/>
      </c>
      <c r="Z276" s="143" t="str">
        <f>IF(AND(ISBLANK('Validations table'!E105),AND(A276&lt;&gt;"",OR(K276&lt;0,M276&lt;0,P276&lt;0))), "There is a deficit on this academy's closing reserves either at the end of Yr1, Yr2 or Yr3. Could you explain the circumstances and what steps are planned/ you took  to eliminate the deficit.","")</f>
        <v/>
      </c>
    </row>
    <row r="277" spans="1:26" s="342" customFormat="1" ht="60" customHeight="1" x14ac:dyDescent="0.35">
      <c r="A277" s="482" t="str">
        <f>IF('Finance questions'!$F$5=2, TRIM('Organisation user'!B97),"")</f>
        <v/>
      </c>
      <c r="B277" s="131">
        <v>800</v>
      </c>
      <c r="C277" s="131" t="s">
        <v>16</v>
      </c>
      <c r="D277" s="315"/>
      <c r="E277" s="128" t="str">
        <f t="shared" si="94"/>
        <v/>
      </c>
      <c r="F277" s="343"/>
      <c r="G277" s="321"/>
      <c r="H277" s="321"/>
      <c r="I277" s="343"/>
      <c r="J277" s="343"/>
      <c r="K277" s="321"/>
      <c r="L277" s="321"/>
      <c r="M277" s="321"/>
      <c r="O277" s="321"/>
      <c r="P277" s="321"/>
      <c r="R277" s="283"/>
      <c r="S277" s="143" t="str">
        <f t="shared" si="96"/>
        <v/>
      </c>
      <c r="T277" s="143" t="str">
        <f t="shared" si="97"/>
        <v/>
      </c>
      <c r="U277" s="143" t="str">
        <f t="shared" si="98"/>
        <v/>
      </c>
      <c r="V277" s="272">
        <f>VLOOKUP($B277,'Min max table'!$A$6:$C$209,2,FALSE)</f>
        <v>-200000</v>
      </c>
      <c r="W277" s="396">
        <f>VLOOKUP($B277,'Min max table'!$A$6:$C$206,3,FALSE)</f>
        <v>200000</v>
      </c>
      <c r="X277" s="332" t="s">
        <v>1638</v>
      </c>
      <c r="Y277" s="280" t="str">
        <f t="shared" si="95"/>
        <v/>
      </c>
      <c r="Z277" s="143" t="str">
        <f>IF(AND(ISBLANK('Validations table'!E106),AND(A277&lt;&gt;"",OR(K277&lt;0,M277&lt;0,P277&lt;0))), "There is a deficit on this academy's closing reserves either at the end of Yr1, Yr2 or Yr3. Could you explain the circumstances and what steps are planned/ you took  to eliminate the deficit.","")</f>
        <v/>
      </c>
    </row>
    <row r="278" spans="1:26" s="342" customFormat="1" ht="60" customHeight="1" x14ac:dyDescent="0.35">
      <c r="A278" s="482" t="str">
        <f>IF('Finance questions'!$F$5=2, TRIM('Organisation user'!B98),"")</f>
        <v/>
      </c>
      <c r="B278" s="131">
        <v>800</v>
      </c>
      <c r="C278" s="131" t="s">
        <v>16</v>
      </c>
      <c r="D278" s="315"/>
      <c r="E278" s="128" t="str">
        <f t="shared" si="94"/>
        <v/>
      </c>
      <c r="F278" s="343"/>
      <c r="G278" s="321"/>
      <c r="H278" s="321"/>
      <c r="I278" s="343"/>
      <c r="J278" s="343"/>
      <c r="K278" s="321"/>
      <c r="L278" s="321"/>
      <c r="M278" s="321"/>
      <c r="O278" s="321"/>
      <c r="P278" s="321"/>
      <c r="R278" s="283"/>
      <c r="S278" s="143" t="str">
        <f t="shared" si="96"/>
        <v/>
      </c>
      <c r="T278" s="143" t="str">
        <f t="shared" si="97"/>
        <v/>
      </c>
      <c r="U278" s="143" t="str">
        <f t="shared" si="98"/>
        <v/>
      </c>
      <c r="V278" s="272">
        <f>VLOOKUP($B278,'Min max table'!$A$6:$C$209,2,FALSE)</f>
        <v>-200000</v>
      </c>
      <c r="W278" s="396">
        <f>VLOOKUP($B278,'Min max table'!$A$6:$C$206,3,FALSE)</f>
        <v>200000</v>
      </c>
      <c r="X278" s="332" t="s">
        <v>1639</v>
      </c>
      <c r="Y278" s="280" t="str">
        <f t="shared" si="95"/>
        <v/>
      </c>
      <c r="Z278" s="143" t="str">
        <f>IF(AND(ISBLANK('Validations table'!E107),AND(A278&lt;&gt;"",OR(K278&lt;0,M278&lt;0,P278&lt;0))), "There is a deficit on this academy's closing reserves either at the end of Yr1, Yr2 or Yr3. Could you explain the circumstances and what steps are planned/ you took  to eliminate the deficit.","")</f>
        <v/>
      </c>
    </row>
    <row r="279" spans="1:26" s="342" customFormat="1" ht="60" customHeight="1" x14ac:dyDescent="0.35">
      <c r="A279" s="482" t="str">
        <f>IF('Finance questions'!$F$5=2, TRIM('Organisation user'!B99),"")</f>
        <v/>
      </c>
      <c r="B279" s="131">
        <v>800</v>
      </c>
      <c r="C279" s="131" t="s">
        <v>16</v>
      </c>
      <c r="D279" s="315"/>
      <c r="E279" s="128" t="str">
        <f t="shared" si="94"/>
        <v/>
      </c>
      <c r="F279" s="343"/>
      <c r="G279" s="321"/>
      <c r="H279" s="321"/>
      <c r="I279" s="343"/>
      <c r="J279" s="343"/>
      <c r="K279" s="321"/>
      <c r="L279" s="321"/>
      <c r="M279" s="321"/>
      <c r="O279" s="321"/>
      <c r="P279" s="321"/>
      <c r="R279" s="283"/>
      <c r="S279" s="143" t="str">
        <f t="shared" si="96"/>
        <v/>
      </c>
      <c r="T279" s="143" t="str">
        <f t="shared" si="97"/>
        <v/>
      </c>
      <c r="U279" s="143" t="str">
        <f t="shared" si="98"/>
        <v/>
      </c>
      <c r="V279" s="272">
        <f>VLOOKUP($B279,'Min max table'!$A$6:$C$209,2,FALSE)</f>
        <v>-200000</v>
      </c>
      <c r="W279" s="396">
        <f>VLOOKUP($B279,'Min max table'!$A$6:$C$206,3,FALSE)</f>
        <v>200000</v>
      </c>
      <c r="X279" s="332" t="s">
        <v>1640</v>
      </c>
      <c r="Y279" s="280" t="str">
        <f t="shared" si="95"/>
        <v/>
      </c>
      <c r="Z279" s="143" t="str">
        <f>IF(AND(ISBLANK('Validations table'!E108),AND(A279&lt;&gt;"",OR(K279&lt;0,M279&lt;0,P279&lt;0))), "There is a deficit on this academy's closing reserves either at the end of Yr1, Yr2 or Yr3. Could you explain the circumstances and what steps are planned/ you took  to eliminate the deficit.","")</f>
        <v/>
      </c>
    </row>
    <row r="280" spans="1:26" s="342" customFormat="1" ht="60" customHeight="1" x14ac:dyDescent="0.35">
      <c r="A280" s="482" t="str">
        <f>IF('Finance questions'!$F$5=2, TRIM('Organisation user'!B100),"")</f>
        <v/>
      </c>
      <c r="B280" s="131">
        <v>800</v>
      </c>
      <c r="C280" s="131" t="s">
        <v>16</v>
      </c>
      <c r="D280" s="315"/>
      <c r="E280" s="128" t="str">
        <f t="shared" si="94"/>
        <v/>
      </c>
      <c r="F280" s="343"/>
      <c r="G280" s="321"/>
      <c r="H280" s="321"/>
      <c r="I280" s="343"/>
      <c r="J280" s="343"/>
      <c r="K280" s="321"/>
      <c r="L280" s="321"/>
      <c r="M280" s="321"/>
      <c r="O280" s="321"/>
      <c r="P280" s="321"/>
      <c r="R280" s="283"/>
      <c r="S280" s="143" t="str">
        <f t="shared" si="96"/>
        <v/>
      </c>
      <c r="T280" s="143" t="str">
        <f t="shared" si="97"/>
        <v/>
      </c>
      <c r="U280" s="143" t="str">
        <f t="shared" si="98"/>
        <v/>
      </c>
      <c r="V280" s="272">
        <f>VLOOKUP($B280,'Min max table'!$A$6:$C$209,2,FALSE)</f>
        <v>-200000</v>
      </c>
      <c r="W280" s="396">
        <f>VLOOKUP($B280,'Min max table'!$A$6:$C$206,3,FALSE)</f>
        <v>200000</v>
      </c>
      <c r="X280" s="332" t="s">
        <v>1641</v>
      </c>
      <c r="Y280" s="280" t="str">
        <f t="shared" si="95"/>
        <v/>
      </c>
      <c r="Z280" s="143" t="str">
        <f>IF(AND(ISBLANK('Validations table'!E109),AND(A280&lt;&gt;"",OR(K280&lt;0,M280&lt;0,P280&lt;0))), "There is a deficit on this academy's closing reserves either at the end of Yr1, Yr2 or Yr3. Could you explain the circumstances and what steps are planned/ you took  to eliminate the deficit.","")</f>
        <v/>
      </c>
    </row>
    <row r="281" spans="1:26" s="342" customFormat="1" ht="60" customHeight="1" x14ac:dyDescent="0.35">
      <c r="A281" s="482" t="str">
        <f>IF('Finance questions'!$F$5=2, TRIM('Organisation user'!B101),"")</f>
        <v/>
      </c>
      <c r="B281" s="131">
        <v>800</v>
      </c>
      <c r="C281" s="131" t="s">
        <v>16</v>
      </c>
      <c r="D281" s="315"/>
      <c r="E281" s="128" t="str">
        <f t="shared" si="94"/>
        <v/>
      </c>
      <c r="F281" s="343"/>
      <c r="G281" s="321"/>
      <c r="H281" s="321"/>
      <c r="I281" s="343"/>
      <c r="J281" s="343"/>
      <c r="K281" s="321"/>
      <c r="L281" s="321"/>
      <c r="M281" s="321"/>
      <c r="O281" s="321"/>
      <c r="P281" s="321"/>
      <c r="R281" s="283"/>
      <c r="S281" s="143" t="str">
        <f t="shared" si="96"/>
        <v/>
      </c>
      <c r="T281" s="143" t="str">
        <f t="shared" si="97"/>
        <v/>
      </c>
      <c r="U281" s="143" t="str">
        <f t="shared" si="98"/>
        <v/>
      </c>
      <c r="V281" s="272">
        <f>VLOOKUP($B281,'Min max table'!$A$6:$C$209,2,FALSE)</f>
        <v>-200000</v>
      </c>
      <c r="W281" s="396">
        <f>VLOOKUP($B281,'Min max table'!$A$6:$C$206,3,FALSE)</f>
        <v>200000</v>
      </c>
      <c r="X281" s="332" t="s">
        <v>1642</v>
      </c>
      <c r="Y281" s="280" t="str">
        <f t="shared" si="95"/>
        <v/>
      </c>
      <c r="Z281" s="143" t="str">
        <f>IF(AND(ISBLANK('Validations table'!E110),AND(A281&lt;&gt;"",OR(K281&lt;0,M281&lt;0,P281&lt;0))), "There is a deficit on this academy's closing reserves either at the end of Yr1, Yr2 or Yr3. Could you explain the circumstances and what steps are planned/ you took  to eliminate the deficit.","")</f>
        <v/>
      </c>
    </row>
    <row r="282" spans="1:26" s="342" customFormat="1" ht="60" customHeight="1" x14ac:dyDescent="0.35">
      <c r="A282" s="482" t="str">
        <f>IF('Finance questions'!$F$5=2, TRIM('Organisation user'!B102),"")</f>
        <v/>
      </c>
      <c r="B282" s="131">
        <v>800</v>
      </c>
      <c r="C282" s="131" t="s">
        <v>16</v>
      </c>
      <c r="D282" s="315"/>
      <c r="E282" s="128" t="str">
        <f t="shared" si="94"/>
        <v/>
      </c>
      <c r="F282" s="343"/>
      <c r="G282" s="321"/>
      <c r="H282" s="321"/>
      <c r="I282" s="343"/>
      <c r="J282" s="343"/>
      <c r="K282" s="321"/>
      <c r="L282" s="321"/>
      <c r="M282" s="321"/>
      <c r="O282" s="321"/>
      <c r="P282" s="321"/>
      <c r="R282" s="283"/>
      <c r="S282" s="143" t="str">
        <f t="shared" si="96"/>
        <v/>
      </c>
      <c r="T282" s="143" t="str">
        <f t="shared" si="97"/>
        <v/>
      </c>
      <c r="U282" s="143" t="str">
        <f t="shared" si="98"/>
        <v/>
      </c>
      <c r="V282" s="272">
        <f>VLOOKUP($B282,'Min max table'!$A$6:$C$209,2,FALSE)</f>
        <v>-200000</v>
      </c>
      <c r="W282" s="396">
        <f>VLOOKUP($B282,'Min max table'!$A$6:$C$206,3,FALSE)</f>
        <v>200000</v>
      </c>
      <c r="X282" s="332" t="s">
        <v>1643</v>
      </c>
      <c r="Y282" s="280" t="str">
        <f t="shared" si="95"/>
        <v/>
      </c>
      <c r="Z282" s="143" t="str">
        <f>IF(AND(ISBLANK('Validations table'!E111),AND(A282&lt;&gt;"",OR(K282&lt;0,M282&lt;0,P282&lt;0))), "There is a deficit on this academy's closing reserves either at the end of Yr1, Yr2 or Yr3. Could you explain the circumstances and what steps are planned/ you took  to eliminate the deficit.","")</f>
        <v/>
      </c>
    </row>
    <row r="283" spans="1:26" s="342" customFormat="1" ht="60" customHeight="1" x14ac:dyDescent="0.35">
      <c r="A283" s="482" t="str">
        <f>IF('Finance questions'!$F$5=2, TRIM('Organisation user'!B103),"")</f>
        <v/>
      </c>
      <c r="B283" s="131">
        <v>800</v>
      </c>
      <c r="C283" s="131" t="s">
        <v>16</v>
      </c>
      <c r="D283" s="315"/>
      <c r="E283" s="128" t="str">
        <f t="shared" si="94"/>
        <v/>
      </c>
      <c r="F283" s="343"/>
      <c r="G283" s="321"/>
      <c r="H283" s="321"/>
      <c r="I283" s="343"/>
      <c r="J283" s="343"/>
      <c r="K283" s="321"/>
      <c r="L283" s="321"/>
      <c r="M283" s="321"/>
      <c r="O283" s="321"/>
      <c r="P283" s="321"/>
      <c r="R283" s="283"/>
      <c r="S283" s="143" t="str">
        <f t="shared" si="96"/>
        <v/>
      </c>
      <c r="T283" s="143" t="str">
        <f t="shared" si="97"/>
        <v/>
      </c>
      <c r="U283" s="143" t="str">
        <f t="shared" si="98"/>
        <v/>
      </c>
      <c r="V283" s="272">
        <f>VLOOKUP($B283,'Min max table'!$A$6:$C$209,2,FALSE)</f>
        <v>-200000</v>
      </c>
      <c r="W283" s="396">
        <f>VLOOKUP($B283,'Min max table'!$A$6:$C$206,3,FALSE)</f>
        <v>200000</v>
      </c>
      <c r="X283" s="332" t="s">
        <v>1644</v>
      </c>
      <c r="Y283" s="280" t="str">
        <f t="shared" si="95"/>
        <v/>
      </c>
      <c r="Z283" s="143" t="str">
        <f>IF(AND(ISBLANK('Validations table'!E112),AND(A283&lt;&gt;"",OR(K283&lt;0,M283&lt;0,P283&lt;0))), "There is a deficit on this academy's closing reserves either at the end of Yr1, Yr2 or Yr3. Could you explain the circumstances and what steps are planned/ you took  to eliminate the deficit.","")</f>
        <v/>
      </c>
    </row>
    <row r="284" spans="1:26" s="342" customFormat="1" ht="60" customHeight="1" x14ac:dyDescent="0.35">
      <c r="A284" s="482" t="str">
        <f>IF('Finance questions'!$F$5=2, TRIM('Organisation user'!B104),"")</f>
        <v/>
      </c>
      <c r="B284" s="131">
        <v>800</v>
      </c>
      <c r="C284" s="131" t="s">
        <v>16</v>
      </c>
      <c r="D284" s="315"/>
      <c r="E284" s="128" t="str">
        <f t="shared" si="94"/>
        <v/>
      </c>
      <c r="F284" s="343"/>
      <c r="G284" s="321"/>
      <c r="H284" s="321"/>
      <c r="I284" s="343"/>
      <c r="J284" s="343"/>
      <c r="K284" s="321"/>
      <c r="L284" s="321"/>
      <c r="M284" s="321"/>
      <c r="O284" s="321"/>
      <c r="P284" s="321"/>
      <c r="R284" s="283"/>
      <c r="S284" s="143" t="str">
        <f t="shared" si="96"/>
        <v/>
      </c>
      <c r="T284" s="143" t="str">
        <f t="shared" si="97"/>
        <v/>
      </c>
      <c r="U284" s="143" t="str">
        <f t="shared" si="98"/>
        <v/>
      </c>
      <c r="V284" s="272">
        <f>VLOOKUP($B284,'Min max table'!$A$6:$C$209,2,FALSE)</f>
        <v>-200000</v>
      </c>
      <c r="W284" s="396">
        <f>VLOOKUP($B284,'Min max table'!$A$6:$C$206,3,FALSE)</f>
        <v>200000</v>
      </c>
      <c r="X284" s="332" t="s">
        <v>1645</v>
      </c>
      <c r="Y284" s="280" t="str">
        <f t="shared" si="95"/>
        <v/>
      </c>
      <c r="Z284" s="143" t="str">
        <f>IF(AND(ISBLANK('Validations table'!E113),AND(A284&lt;&gt;"",OR(K284&lt;0,M284&lt;0,P284&lt;0))), "There is a deficit on this academy's closing reserves either at the end of Yr1, Yr2 or Yr3. Could you explain the circumstances and what steps are planned/ you took  to eliminate the deficit.","")</f>
        <v/>
      </c>
    </row>
    <row r="285" spans="1:26" s="342" customFormat="1" ht="60" customHeight="1" x14ac:dyDescent="0.35">
      <c r="A285" s="482" t="str">
        <f>IF('Finance questions'!$F$5=2, TRIM('Organisation user'!B105),"")</f>
        <v/>
      </c>
      <c r="B285" s="131">
        <v>800</v>
      </c>
      <c r="C285" s="131" t="s">
        <v>16</v>
      </c>
      <c r="D285" s="315"/>
      <c r="E285" s="128" t="str">
        <f t="shared" si="94"/>
        <v/>
      </c>
      <c r="F285" s="343"/>
      <c r="G285" s="321"/>
      <c r="H285" s="321"/>
      <c r="I285" s="343"/>
      <c r="J285" s="343"/>
      <c r="K285" s="321"/>
      <c r="L285" s="321"/>
      <c r="M285" s="321"/>
      <c r="O285" s="321"/>
      <c r="P285" s="321"/>
      <c r="R285" s="283"/>
      <c r="S285" s="143" t="str">
        <f t="shared" si="96"/>
        <v/>
      </c>
      <c r="T285" s="143" t="str">
        <f t="shared" si="97"/>
        <v/>
      </c>
      <c r="U285" s="143" t="str">
        <f t="shared" si="98"/>
        <v/>
      </c>
      <c r="V285" s="272">
        <f>VLOOKUP($B285,'Min max table'!$A$6:$C$223,2,FALSE)</f>
        <v>-200000</v>
      </c>
      <c r="W285" s="396">
        <f>VLOOKUP($B285,'Min max table'!$A$6:$C$221,3,FALSE)</f>
        <v>200000</v>
      </c>
      <c r="X285" s="332" t="s">
        <v>1646</v>
      </c>
      <c r="Y285" s="280" t="str">
        <f t="shared" si="95"/>
        <v/>
      </c>
      <c r="Z285" s="143" t="str">
        <f>IF(AND(ISBLANK('Validations table'!E114),AND(A285&lt;&gt;"",OR(K285&lt;0,M285&lt;0,P285&lt;0))), "There is a deficit on this academy's closing reserves either at the end of Yr1, Yr2 or Yr3. Could you explain the circumstances and what steps are planned/ you took  to eliminate the deficit.","")</f>
        <v/>
      </c>
    </row>
    <row r="286" spans="1:26" s="342" customFormat="1" ht="60" customHeight="1" x14ac:dyDescent="0.35">
      <c r="A286" s="482" t="str">
        <f>IF('Finance questions'!$F$5=2, TRIM('Organisation user'!B106),"")</f>
        <v/>
      </c>
      <c r="B286" s="131">
        <v>800</v>
      </c>
      <c r="C286" s="131" t="s">
        <v>16</v>
      </c>
      <c r="D286" s="315"/>
      <c r="E286" s="128" t="str">
        <f t="shared" si="94"/>
        <v/>
      </c>
      <c r="F286" s="343"/>
      <c r="G286" s="321"/>
      <c r="H286" s="321"/>
      <c r="I286" s="343"/>
      <c r="J286" s="343"/>
      <c r="K286" s="321"/>
      <c r="L286" s="321"/>
      <c r="M286" s="321"/>
      <c r="O286" s="321"/>
      <c r="P286" s="321"/>
      <c r="R286" s="283"/>
      <c r="S286" s="143" t="str">
        <f t="shared" si="96"/>
        <v/>
      </c>
      <c r="T286" s="143" t="str">
        <f t="shared" si="97"/>
        <v/>
      </c>
      <c r="U286" s="143" t="str">
        <f t="shared" si="98"/>
        <v/>
      </c>
      <c r="V286" s="272">
        <f>VLOOKUP($B286,'Min max table'!$A$6:$C$223,2,FALSE)</f>
        <v>-200000</v>
      </c>
      <c r="W286" s="396">
        <f>VLOOKUP($B286,'Min max table'!$A$6:$C$221,3,FALSE)</f>
        <v>200000</v>
      </c>
      <c r="X286" s="332" t="s">
        <v>1647</v>
      </c>
      <c r="Y286" s="280" t="str">
        <f t="shared" si="95"/>
        <v/>
      </c>
      <c r="Z286" s="143" t="str">
        <f>IF(AND(ISBLANK('Validations table'!E115),AND(A286&lt;&gt;"",OR(K286&lt;0,M286&lt;0,P286&lt;0))), "There is a deficit on this academy's closing reserves either at the end of Yr1, Yr2 or Yr3. Could you explain the circumstances and what steps are planned/ you took  to eliminate the deficit.","")</f>
        <v/>
      </c>
    </row>
    <row r="287" spans="1:26" s="342" customFormat="1" ht="60" customHeight="1" x14ac:dyDescent="0.35">
      <c r="A287" s="482" t="str">
        <f>IF('Finance questions'!$F$5=2, TRIM('Organisation user'!B107),"")</f>
        <v/>
      </c>
      <c r="B287" s="131">
        <v>800</v>
      </c>
      <c r="C287" s="131" t="s">
        <v>16</v>
      </c>
      <c r="D287" s="315"/>
      <c r="E287" s="128" t="str">
        <f t="shared" si="94"/>
        <v/>
      </c>
      <c r="F287" s="343"/>
      <c r="G287" s="321"/>
      <c r="H287" s="321"/>
      <c r="I287" s="343"/>
      <c r="J287" s="343"/>
      <c r="K287" s="321"/>
      <c r="L287" s="321"/>
      <c r="M287" s="321"/>
      <c r="O287" s="321"/>
      <c r="P287" s="321"/>
      <c r="R287" s="283"/>
      <c r="S287" s="143" t="str">
        <f t="shared" si="96"/>
        <v/>
      </c>
      <c r="T287" s="143" t="str">
        <f t="shared" si="97"/>
        <v/>
      </c>
      <c r="U287" s="143" t="str">
        <f t="shared" si="98"/>
        <v/>
      </c>
      <c r="V287" s="272">
        <f>VLOOKUP($B287,'Min max table'!$A$6:$C$223,2,FALSE)</f>
        <v>-200000</v>
      </c>
      <c r="W287" s="396">
        <f>VLOOKUP($B287,'Min max table'!$A$6:$C$221,3,FALSE)</f>
        <v>200000</v>
      </c>
      <c r="X287" s="332" t="s">
        <v>1648</v>
      </c>
      <c r="Y287" s="280" t="str">
        <f t="shared" si="95"/>
        <v/>
      </c>
      <c r="Z287" s="143" t="str">
        <f>IF(AND(ISBLANK('Validations table'!E116),AND(A287&lt;&gt;"",OR(K287&lt;0,M287&lt;0,P287&lt;0))), "There is a deficit on this academy's closing reserves either at the end of Yr1, Yr2 or Yr3. Could you explain the circumstances and what steps are planned/ you took  to eliminate the deficit.","")</f>
        <v/>
      </c>
    </row>
    <row r="288" spans="1:26" s="342" customFormat="1" ht="60" customHeight="1" x14ac:dyDescent="0.35">
      <c r="A288" s="482" t="str">
        <f>IF('Finance questions'!$F$5=2, TRIM('Organisation user'!B108),"")</f>
        <v/>
      </c>
      <c r="B288" s="131">
        <v>800</v>
      </c>
      <c r="C288" s="131" t="s">
        <v>16</v>
      </c>
      <c r="D288" s="315"/>
      <c r="E288" s="128" t="str">
        <f t="shared" si="94"/>
        <v/>
      </c>
      <c r="F288" s="343"/>
      <c r="G288" s="321"/>
      <c r="H288" s="321"/>
      <c r="I288" s="343"/>
      <c r="J288" s="343"/>
      <c r="K288" s="321"/>
      <c r="L288" s="321"/>
      <c r="M288" s="321"/>
      <c r="O288" s="321"/>
      <c r="P288" s="321"/>
      <c r="R288" s="283"/>
      <c r="S288" s="143" t="str">
        <f t="shared" si="96"/>
        <v/>
      </c>
      <c r="T288" s="143" t="str">
        <f t="shared" si="97"/>
        <v/>
      </c>
      <c r="U288" s="143" t="str">
        <f t="shared" si="98"/>
        <v/>
      </c>
      <c r="V288" s="272">
        <f>VLOOKUP($B288,'Min max table'!$A$6:$C$223,2,FALSE)</f>
        <v>-200000</v>
      </c>
      <c r="W288" s="396">
        <f>VLOOKUP($B288,'Min max table'!$A$6:$C$221,3,FALSE)</f>
        <v>200000</v>
      </c>
      <c r="X288" s="332" t="s">
        <v>1649</v>
      </c>
      <c r="Y288" s="280" t="str">
        <f t="shared" si="95"/>
        <v/>
      </c>
      <c r="Z288" s="143" t="str">
        <f>IF(AND(ISBLANK('Validations table'!E117),AND(A288&lt;&gt;"",OR(K288&lt;0,M288&lt;0,P288&lt;0))), "There is a deficit on this academy's closing reserves either at the end of Yr1, Yr2 or Yr3. Could you explain the circumstances and what steps are planned/ you took  to eliminate the deficit.","")</f>
        <v/>
      </c>
    </row>
    <row r="289" spans="1:26" s="342" customFormat="1" ht="60" customHeight="1" x14ac:dyDescent="0.35">
      <c r="A289" s="482" t="str">
        <f>IF('Finance questions'!$F$5=2, TRIM('Organisation user'!B109),"")</f>
        <v/>
      </c>
      <c r="B289" s="131">
        <v>800</v>
      </c>
      <c r="C289" s="131" t="s">
        <v>16</v>
      </c>
      <c r="D289" s="315"/>
      <c r="E289" s="128" t="str">
        <f t="shared" si="94"/>
        <v/>
      </c>
      <c r="F289" s="343"/>
      <c r="G289" s="321"/>
      <c r="H289" s="321"/>
      <c r="I289" s="343"/>
      <c r="J289" s="343"/>
      <c r="K289" s="321"/>
      <c r="L289" s="321"/>
      <c r="M289" s="321"/>
      <c r="O289" s="321"/>
      <c r="P289" s="321"/>
      <c r="R289" s="283"/>
      <c r="S289" s="143" t="str">
        <f t="shared" si="96"/>
        <v/>
      </c>
      <c r="T289" s="143" t="str">
        <f t="shared" si="97"/>
        <v/>
      </c>
      <c r="U289" s="143" t="str">
        <f t="shared" si="98"/>
        <v/>
      </c>
      <c r="V289" s="272">
        <f>VLOOKUP($B289,'Min max table'!$A$6:$C$223,2,FALSE)</f>
        <v>-200000</v>
      </c>
      <c r="W289" s="396">
        <f>VLOOKUP($B289,'Min max table'!$A$6:$C$221,3,FALSE)</f>
        <v>200000</v>
      </c>
      <c r="X289" s="332" t="s">
        <v>1650</v>
      </c>
      <c r="Y289" s="280" t="str">
        <f t="shared" si="95"/>
        <v/>
      </c>
      <c r="Z289" s="143" t="str">
        <f>IF(AND(ISBLANK('Validations table'!E118),AND(A289&lt;&gt;"",OR(K289&lt;0,M289&lt;0,P289&lt;0))), "There is a deficit on this academy's closing reserves either at the end of Yr1, Yr2 or Yr3. Could you explain the circumstances and what steps are planned/ you took  to eliminate the deficit.","")</f>
        <v/>
      </c>
    </row>
    <row r="290" spans="1:26" s="342" customFormat="1" ht="60" customHeight="1" x14ac:dyDescent="0.35">
      <c r="A290" s="482" t="str">
        <f>IF('Finance questions'!$F$5=2, TRIM('Organisation user'!B110),"")</f>
        <v/>
      </c>
      <c r="B290" s="131">
        <v>800</v>
      </c>
      <c r="C290" s="131" t="s">
        <v>16</v>
      </c>
      <c r="D290" s="315"/>
      <c r="E290" s="128" t="str">
        <f t="shared" si="94"/>
        <v/>
      </c>
      <c r="F290" s="343"/>
      <c r="G290" s="321"/>
      <c r="H290" s="321"/>
      <c r="I290" s="343"/>
      <c r="J290" s="343"/>
      <c r="K290" s="321"/>
      <c r="L290" s="321"/>
      <c r="M290" s="321"/>
      <c r="O290" s="321"/>
      <c r="P290" s="321"/>
      <c r="R290" s="283"/>
      <c r="S290" s="143" t="str">
        <f t="shared" si="96"/>
        <v/>
      </c>
      <c r="T290" s="143" t="str">
        <f t="shared" si="97"/>
        <v/>
      </c>
      <c r="U290" s="143" t="str">
        <f t="shared" si="98"/>
        <v/>
      </c>
      <c r="V290" s="272">
        <f>VLOOKUP($B290,'Min max table'!$A$6:$C$223,2,FALSE)</f>
        <v>-200000</v>
      </c>
      <c r="W290" s="396">
        <f>VLOOKUP($B290,'Min max table'!$A$6:$C$221,3,FALSE)</f>
        <v>200000</v>
      </c>
      <c r="X290" s="332" t="s">
        <v>1651</v>
      </c>
      <c r="Y290" s="280" t="str">
        <f t="shared" si="95"/>
        <v/>
      </c>
      <c r="Z290" s="143" t="str">
        <f>IF(AND(ISBLANK('Validations table'!E119),AND(A290&lt;&gt;"",OR(K290&lt;0,M290&lt;0,P290&lt;0))), "There is a deficit on this academy's closing reserves either at the end of Yr1, Yr2 or Yr3. Could you explain the circumstances and what steps are planned/ you took  to eliminate the deficit.","")</f>
        <v/>
      </c>
    </row>
    <row r="291" spans="1:26" s="342" customFormat="1" ht="60" customHeight="1" x14ac:dyDescent="0.35">
      <c r="A291" s="482" t="str">
        <f>IF('Finance questions'!$F$5=2, TRIM('Organisation user'!B111),"")</f>
        <v/>
      </c>
      <c r="B291" s="131">
        <v>800</v>
      </c>
      <c r="C291" s="131" t="s">
        <v>16</v>
      </c>
      <c r="D291" s="315"/>
      <c r="E291" s="128" t="str">
        <f t="shared" si="94"/>
        <v/>
      </c>
      <c r="F291" s="343"/>
      <c r="G291" s="321"/>
      <c r="H291" s="321"/>
      <c r="I291" s="343"/>
      <c r="J291" s="343"/>
      <c r="K291" s="321"/>
      <c r="L291" s="321"/>
      <c r="M291" s="321"/>
      <c r="O291" s="321"/>
      <c r="P291" s="321"/>
      <c r="R291" s="283"/>
      <c r="S291" s="143" t="str">
        <f t="shared" si="96"/>
        <v/>
      </c>
      <c r="T291" s="143" t="str">
        <f t="shared" si="97"/>
        <v/>
      </c>
      <c r="U291" s="143" t="str">
        <f t="shared" si="98"/>
        <v/>
      </c>
      <c r="V291" s="272">
        <f>VLOOKUP($B291,'Min max table'!$A$6:$C$223,2,FALSE)</f>
        <v>-200000</v>
      </c>
      <c r="W291" s="396">
        <f>VLOOKUP($B291,'Min max table'!$A$6:$C$221,3,FALSE)</f>
        <v>200000</v>
      </c>
      <c r="X291" s="332" t="s">
        <v>1652</v>
      </c>
      <c r="Y291" s="280" t="str">
        <f t="shared" si="95"/>
        <v/>
      </c>
      <c r="Z291" s="143" t="str">
        <f>IF(AND(ISBLANK('Validations table'!E120),AND(A291&lt;&gt;"",OR(K291&lt;0,M291&lt;0,P291&lt;0))), "There is a deficit on this academy's closing reserves either at the end of Yr1, Yr2 or Yr3. Could you explain the circumstances and what steps are planned/ you took  to eliminate the deficit.","")</f>
        <v/>
      </c>
    </row>
    <row r="292" spans="1:26" s="342" customFormat="1" ht="60" customHeight="1" x14ac:dyDescent="0.35">
      <c r="A292" s="482" t="str">
        <f>IF('Finance questions'!$F$5=2, TRIM('Organisation user'!B112),"")</f>
        <v/>
      </c>
      <c r="B292" s="131">
        <v>800</v>
      </c>
      <c r="C292" s="131" t="s">
        <v>16</v>
      </c>
      <c r="D292" s="315"/>
      <c r="E292" s="128" t="str">
        <f t="shared" si="94"/>
        <v/>
      </c>
      <c r="F292" s="343"/>
      <c r="G292" s="321"/>
      <c r="H292" s="321"/>
      <c r="I292" s="343"/>
      <c r="J292" s="343"/>
      <c r="K292" s="321"/>
      <c r="L292" s="321"/>
      <c r="M292" s="321"/>
      <c r="O292" s="321"/>
      <c r="P292" s="321"/>
      <c r="R292" s="283"/>
      <c r="S292" s="143" t="str">
        <f t="shared" si="96"/>
        <v/>
      </c>
      <c r="T292" s="143" t="str">
        <f t="shared" si="97"/>
        <v/>
      </c>
      <c r="U292" s="143" t="str">
        <f t="shared" si="98"/>
        <v/>
      </c>
      <c r="V292" s="272">
        <f>VLOOKUP($B292,'Min max table'!$A$6:$C$223,2,FALSE)</f>
        <v>-200000</v>
      </c>
      <c r="W292" s="396">
        <f>VLOOKUP($B292,'Min max table'!$A$6:$C$221,3,FALSE)</f>
        <v>200000</v>
      </c>
      <c r="X292" s="332" t="s">
        <v>1653</v>
      </c>
      <c r="Y292" s="280" t="str">
        <f t="shared" si="95"/>
        <v/>
      </c>
      <c r="Z292" s="143" t="str">
        <f>IF(AND(ISBLANK('Validations table'!E121),AND(A292&lt;&gt;"",OR(K292&lt;0,M292&lt;0,P292&lt;0))), "There is a deficit on this academy's closing reserves either at the end of Yr1, Yr2 or Yr3. Could you explain the circumstances and what steps are planned/ you took  to eliminate the deficit.","")</f>
        <v/>
      </c>
    </row>
    <row r="293" spans="1:26" s="342" customFormat="1" ht="60" customHeight="1" x14ac:dyDescent="0.35">
      <c r="A293" s="482" t="str">
        <f>IF('Finance questions'!$F$5=2, TRIM('Organisation user'!B113),"")</f>
        <v/>
      </c>
      <c r="B293" s="131">
        <v>800</v>
      </c>
      <c r="C293" s="131" t="s">
        <v>16</v>
      </c>
      <c r="D293" s="315"/>
      <c r="E293" s="128" t="str">
        <f t="shared" si="94"/>
        <v/>
      </c>
      <c r="F293" s="343"/>
      <c r="G293" s="321"/>
      <c r="H293" s="321"/>
      <c r="I293" s="343"/>
      <c r="J293" s="343"/>
      <c r="K293" s="321"/>
      <c r="L293" s="321"/>
      <c r="M293" s="321"/>
      <c r="O293" s="321"/>
      <c r="P293" s="321"/>
      <c r="R293" s="283"/>
      <c r="S293" s="143" t="str">
        <f t="shared" si="96"/>
        <v/>
      </c>
      <c r="T293" s="143" t="str">
        <f t="shared" si="97"/>
        <v/>
      </c>
      <c r="U293" s="143" t="str">
        <f t="shared" si="98"/>
        <v/>
      </c>
      <c r="V293" s="272">
        <f>VLOOKUP($B293,'Min max table'!$A$6:$C$223,2,FALSE)</f>
        <v>-200000</v>
      </c>
      <c r="W293" s="396">
        <f>VLOOKUP($B293,'Min max table'!$A$6:$C$221,3,FALSE)</f>
        <v>200000</v>
      </c>
      <c r="X293" s="332" t="s">
        <v>1654</v>
      </c>
      <c r="Y293" s="280" t="str">
        <f t="shared" si="95"/>
        <v/>
      </c>
      <c r="Z293" s="143" t="str">
        <f>IF(AND(ISBLANK('Validations table'!E122),AND(A293&lt;&gt;"",OR(K293&lt;0,M293&lt;0,P293&lt;0))), "There is a deficit on this academy's closing reserves either at the end of Yr1, Yr2 or Yr3. Could you explain the circumstances and what steps are planned/ you took  to eliminate the deficit.","")</f>
        <v/>
      </c>
    </row>
    <row r="294" spans="1:26" s="342" customFormat="1" ht="60" customHeight="1" x14ac:dyDescent="0.35">
      <c r="A294" s="482" t="str">
        <f>IF('Finance questions'!$F$5=2, TRIM('Organisation user'!B114),"")</f>
        <v/>
      </c>
      <c r="B294" s="131">
        <v>800</v>
      </c>
      <c r="C294" s="131" t="s">
        <v>16</v>
      </c>
      <c r="D294" s="315"/>
      <c r="E294" s="128" t="str">
        <f t="shared" si="94"/>
        <v/>
      </c>
      <c r="F294" s="343"/>
      <c r="G294" s="321"/>
      <c r="H294" s="321"/>
      <c r="I294" s="343"/>
      <c r="J294" s="343"/>
      <c r="K294" s="321"/>
      <c r="L294" s="321"/>
      <c r="M294" s="321"/>
      <c r="O294" s="321"/>
      <c r="P294" s="321"/>
      <c r="R294" s="279"/>
      <c r="S294" s="143" t="str">
        <f t="shared" si="96"/>
        <v/>
      </c>
      <c r="T294" s="143" t="str">
        <f t="shared" si="97"/>
        <v/>
      </c>
      <c r="U294" s="143" t="str">
        <f t="shared" si="98"/>
        <v/>
      </c>
      <c r="V294" s="272">
        <f>VLOOKUP($B294,'Min max table'!$A$6:$C$223,2,FALSE)</f>
        <v>-200000</v>
      </c>
      <c r="W294" s="396">
        <f>VLOOKUP($B294,'Min max table'!$A$6:$C$221,3,FALSE)</f>
        <v>200000</v>
      </c>
      <c r="X294" s="332" t="s">
        <v>1655</v>
      </c>
      <c r="Y294" s="280" t="str">
        <f t="shared" si="95"/>
        <v/>
      </c>
      <c r="Z294" s="143" t="str">
        <f>IF(AND(ISBLANK('Validations table'!E123),AND(A294&lt;&gt;"",OR(K294&lt;0,M294&lt;0,P294&lt;0))), "There is a deficit on this academy's closing reserves either at the end of Yr1, Yr2 or Yr3. Could you explain the circumstances and what steps are planned/ you took  to eliminate the deficit.","")</f>
        <v/>
      </c>
    </row>
    <row r="295" spans="1:26" ht="90" customHeight="1" x14ac:dyDescent="0.6">
      <c r="A295" s="23" t="s">
        <v>335</v>
      </c>
      <c r="B295" s="77"/>
      <c r="C295" s="77"/>
      <c r="D295" s="318"/>
      <c r="E295" s="78"/>
      <c r="I295" s="79"/>
      <c r="J295" s="79"/>
      <c r="K295" s="79"/>
      <c r="L295" s="79"/>
      <c r="N295" s="79"/>
      <c r="O295" s="81"/>
      <c r="P295" s="80"/>
      <c r="Q295" s="80"/>
      <c r="R295" s="71"/>
      <c r="S295" s="189"/>
      <c r="T295" s="73"/>
      <c r="U295" s="73"/>
      <c r="V295" s="75"/>
      <c r="W295" s="75"/>
      <c r="X295" s="82"/>
      <c r="Y295" s="353"/>
      <c r="Z295" s="70"/>
    </row>
    <row r="296" spans="1:26" ht="45" customHeight="1" x14ac:dyDescent="0.6">
      <c r="A296" s="22" t="s">
        <v>336</v>
      </c>
      <c r="B296" s="77"/>
      <c r="C296" s="77"/>
      <c r="D296" s="318"/>
      <c r="E296" s="78"/>
      <c r="I296" s="79"/>
      <c r="J296" s="79"/>
      <c r="K296" s="79"/>
      <c r="L296" s="79"/>
      <c r="N296" s="79"/>
      <c r="O296" s="81"/>
      <c r="P296" s="80"/>
      <c r="Q296" s="80"/>
      <c r="R296" s="71"/>
      <c r="S296" s="189"/>
      <c r="T296" s="73"/>
      <c r="U296" s="73"/>
      <c r="V296" s="75"/>
      <c r="W296" s="75"/>
      <c r="X296" s="82"/>
      <c r="Y296" s="353"/>
      <c r="Z296" s="70"/>
    </row>
    <row r="297" spans="1:26" ht="18.649999999999999" customHeight="1" x14ac:dyDescent="0.35">
      <c r="A297" s="251" t="s">
        <v>1680</v>
      </c>
      <c r="B297" s="77"/>
      <c r="C297" s="77"/>
      <c r="D297" s="318"/>
      <c r="E297" s="78"/>
      <c r="F297" s="59"/>
      <c r="G297" s="20"/>
      <c r="H297" s="57"/>
      <c r="I297" s="57"/>
      <c r="K297" s="10"/>
      <c r="R297" s="8"/>
      <c r="S297" s="12"/>
      <c r="T297" s="8"/>
      <c r="V297" s="13"/>
      <c r="X297" s="8"/>
      <c r="Y297" s="341"/>
    </row>
    <row r="298" spans="1:26" ht="51" customHeight="1" x14ac:dyDescent="0.4">
      <c r="A298" s="29" t="s">
        <v>113</v>
      </c>
      <c r="B298" s="113" t="s">
        <v>92</v>
      </c>
      <c r="C298" s="113" t="s">
        <v>93</v>
      </c>
      <c r="D298" s="177" t="s">
        <v>94</v>
      </c>
      <c r="E298" s="114" t="s">
        <v>95</v>
      </c>
      <c r="F298" s="118"/>
      <c r="G298" s="221" t="str">
        <f>RIGHT('Version control'!$A$1,4)&amp;"/"&amp;RIGHT('Version control'!$A$1,4)-2000+1&amp;   "                £'000"</f>
        <v>2026/27                £'000</v>
      </c>
      <c r="H298" s="221" t="str">
        <f>RIGHT('Version control'!$A$1,4)+1&amp;"/"&amp;RIGHT('Version control'!$A$1,4)-2000+2&amp;   "                £'000"</f>
        <v>2027/28                £'000</v>
      </c>
      <c r="I298" s="221" t="str">
        <f>RIGHT('Version control'!$A$1,4)+2&amp;"/"&amp;RIGHT('Version control'!$A$1,4)-2000+3&amp;   "                £'000"</f>
        <v>2028/29                £'000</v>
      </c>
      <c r="J298" s="342"/>
      <c r="M298" s="102"/>
      <c r="N298" s="103"/>
      <c r="O298" s="103"/>
      <c r="P298" s="80"/>
      <c r="Q298" s="80"/>
      <c r="R298" s="193" t="s">
        <v>114</v>
      </c>
      <c r="S298" s="177" t="s">
        <v>97</v>
      </c>
      <c r="T298" s="177" t="s">
        <v>98</v>
      </c>
      <c r="U298" s="177" t="s">
        <v>99</v>
      </c>
      <c r="V298" s="178" t="s">
        <v>100</v>
      </c>
      <c r="W298" s="178" t="s">
        <v>101</v>
      </c>
      <c r="X298" s="177" t="s">
        <v>102</v>
      </c>
      <c r="Y298" s="179" t="s">
        <v>103</v>
      </c>
      <c r="Z298" s="179" t="s">
        <v>104</v>
      </c>
    </row>
    <row r="299" spans="1:26" ht="60" customHeight="1" x14ac:dyDescent="0.4">
      <c r="A299" s="128" t="s">
        <v>337</v>
      </c>
      <c r="B299" s="406">
        <v>1990</v>
      </c>
      <c r="C299" s="131" t="s">
        <v>16</v>
      </c>
      <c r="D299" s="347" t="s">
        <v>1498</v>
      </c>
      <c r="E299" s="128" t="str">
        <f t="shared" ref="E299" si="99">IF(OR(S299&lt;&gt;"",T299&lt;&gt;"",U299&lt;&gt;"",Z299&lt;&gt;""),"Check - see columns S-Z for info","")</f>
        <v/>
      </c>
      <c r="F299" s="343"/>
      <c r="G299" s="254">
        <f>Q29</f>
        <v>0</v>
      </c>
      <c r="H299" s="321"/>
      <c r="I299" s="321"/>
      <c r="J299" s="342"/>
      <c r="N299" s="104"/>
      <c r="O299" s="104"/>
      <c r="P299" s="80"/>
      <c r="Q299" s="80"/>
      <c r="R299" s="283" t="s">
        <v>338</v>
      </c>
      <c r="S299" s="143" t="str">
        <f>IF(OR(G299-ROUND(G299,)&lt;&gt;0,H299-ROUND(H299,)&lt;&gt;0,I299-ROUND(I299,)&lt;&gt;0),"No decimal places, letters &amp; odd characters allowed","")</f>
        <v/>
      </c>
      <c r="T299" s="143" t="str">
        <f>IF(OR(G299&lt;V299,H299&lt;V299,I299&lt;V299),"input value is below the minimum value allowed","")</f>
        <v/>
      </c>
      <c r="U299" s="143" t="str">
        <f>IF(OR(G299&gt;W299,H299&gt;W299,I299&gt;W299),"Input value is above the maximum value allowed","")</f>
        <v/>
      </c>
      <c r="V299" s="334">
        <f>VLOOKUP($B299,'Min max table'!$A$6:$C$209,2,FALSE)</f>
        <v>0</v>
      </c>
      <c r="W299" s="334">
        <f>VLOOKUP($B299,'Min max table'!$A$6:$C$206,3,FALSE)</f>
        <v>800000</v>
      </c>
      <c r="X299" s="284" t="s">
        <v>16</v>
      </c>
      <c r="Y299" s="284" t="s">
        <v>16</v>
      </c>
      <c r="Z299" s="284"/>
    </row>
    <row r="300" spans="1:26" ht="60" customHeight="1" x14ac:dyDescent="0.4">
      <c r="A300" s="128" t="s">
        <v>142</v>
      </c>
      <c r="B300" s="406">
        <v>2500</v>
      </c>
      <c r="C300" s="131" t="s">
        <v>16</v>
      </c>
      <c r="D300" s="347" t="s">
        <v>1498</v>
      </c>
      <c r="E300" s="128" t="str">
        <f>IF(OR(S300&lt;&gt;"",T300&lt;&gt;"",U300&lt;&gt;"",Z300&lt;&gt;""),"Check - see columns S-Z for info","")</f>
        <v/>
      </c>
      <c r="F300" s="343"/>
      <c r="G300" s="254">
        <f>Q43</f>
        <v>0</v>
      </c>
      <c r="H300" s="321"/>
      <c r="I300" s="321"/>
      <c r="J300" s="342"/>
      <c r="N300" s="104"/>
      <c r="O300" s="104"/>
      <c r="P300" s="80"/>
      <c r="Q300" s="80"/>
      <c r="R300" s="283" t="s">
        <v>339</v>
      </c>
      <c r="S300" s="143" t="str">
        <f>IF(OR(G300-ROUND(G300,)&lt;&gt;0,H300-ROUND(H300,)&lt;&gt;0,I300-ROUND(I300,)&lt;&gt;0),"No decimal places, letters &amp; odd characters allowed","")</f>
        <v/>
      </c>
      <c r="T300" s="143" t="str">
        <f t="shared" ref="T300:T302" si="100">IF(OR(G300&lt;V300,H300&lt;V300,I300&lt;V300),"input value is below the minimum value allowed","")</f>
        <v/>
      </c>
      <c r="U300" s="143" t="str">
        <f t="shared" ref="U300:U302" si="101">IF(OR(G300&gt;W300,H300&gt;W300,I300&gt;W300),"Input value is above the maximum value allowed","")</f>
        <v/>
      </c>
      <c r="V300" s="334">
        <f>VLOOKUP($B300,'Min max table'!$A$6:$C$209,2,FALSE)</f>
        <v>0</v>
      </c>
      <c r="W300" s="334">
        <f>VLOOKUP($B300,'Min max table'!$A$6:$C$206,3,FALSE)</f>
        <v>400000</v>
      </c>
      <c r="X300" s="284" t="s">
        <v>16</v>
      </c>
      <c r="Y300" s="284" t="s">
        <v>16</v>
      </c>
      <c r="Z300" s="284"/>
    </row>
    <row r="301" spans="1:26" ht="60" customHeight="1" x14ac:dyDescent="0.4">
      <c r="A301" s="128" t="s">
        <v>340</v>
      </c>
      <c r="B301" s="406">
        <v>2530</v>
      </c>
      <c r="C301" s="131" t="s">
        <v>16</v>
      </c>
      <c r="D301" s="347" t="s">
        <v>1498</v>
      </c>
      <c r="E301" s="128" t="str">
        <f>IF(OR(S301&lt;&gt;"",T301&lt;&gt;"",U301&lt;&gt;"",Z301&lt;&gt;""),"Check - see columns S-Z for info","")</f>
        <v/>
      </c>
      <c r="F301" s="343"/>
      <c r="G301" s="254">
        <f>Q42-Q73</f>
        <v>0</v>
      </c>
      <c r="H301" s="321"/>
      <c r="I301" s="321"/>
      <c r="J301" s="342"/>
      <c r="N301" s="104"/>
      <c r="O301" s="104"/>
      <c r="P301" s="80"/>
      <c r="Q301" s="80"/>
      <c r="R301" s="283" t="s">
        <v>341</v>
      </c>
      <c r="S301" s="143" t="str">
        <f>IF(OR(G301-ROUND(G301,)&lt;&gt;0,H301-ROUND(H301,)&lt;&gt;0,I301-ROUND(I301,)&lt;&gt;0),"No decimal places, letters &amp; odd characters allowed","")</f>
        <v/>
      </c>
      <c r="T301" s="143" t="str">
        <f t="shared" si="100"/>
        <v/>
      </c>
      <c r="U301" s="143" t="str">
        <f t="shared" si="101"/>
        <v/>
      </c>
      <c r="V301" s="272">
        <f>VLOOKUP($B301,'Min max table'!$A$6:$C$209,2,FALSE)</f>
        <v>-400000</v>
      </c>
      <c r="W301" s="334">
        <f>VLOOKUP($B301,'Min max table'!$A$6:$C$206,3,FALSE)</f>
        <v>400000</v>
      </c>
      <c r="X301" s="284" t="s">
        <v>16</v>
      </c>
      <c r="Y301" s="284" t="s">
        <v>16</v>
      </c>
      <c r="Z301" s="284"/>
    </row>
    <row r="302" spans="1:26" ht="60" customHeight="1" x14ac:dyDescent="0.4">
      <c r="A302" s="130" t="s">
        <v>342</v>
      </c>
      <c r="B302" s="407">
        <v>2550</v>
      </c>
      <c r="C302" s="131" t="s">
        <v>16</v>
      </c>
      <c r="D302" s="347" t="s">
        <v>1498</v>
      </c>
      <c r="E302" s="128" t="str">
        <f>IF(OR(S302&lt;&gt;"",T302&lt;&gt;"",U302&lt;&gt;"",Z302&lt;&gt;""),"Check - see columns S-Z for info","")</f>
        <v/>
      </c>
      <c r="F302" s="343"/>
      <c r="G302" s="254">
        <f>Q44</f>
        <v>0</v>
      </c>
      <c r="H302" s="321"/>
      <c r="I302" s="321"/>
      <c r="J302" s="342"/>
      <c r="N302" s="104"/>
      <c r="O302" s="104"/>
      <c r="P302" s="80"/>
      <c r="Q302" s="80"/>
      <c r="R302" s="283" t="s">
        <v>343</v>
      </c>
      <c r="S302" s="143" t="str">
        <f>IF(OR(G302-ROUND(G302,)&lt;&gt;0,H302-ROUND(H302,)&lt;&gt;0,I302-ROUND(I302,)&lt;&gt;0),"No decimal places, letters &amp; odd characters allowed","")</f>
        <v/>
      </c>
      <c r="T302" s="143" t="str">
        <f t="shared" si="100"/>
        <v/>
      </c>
      <c r="U302" s="143" t="str">
        <f t="shared" si="101"/>
        <v/>
      </c>
      <c r="V302" s="272">
        <f>VLOOKUP($B302,'Min max table'!$A$6:$C$209,2,FALSE)</f>
        <v>-400000</v>
      </c>
      <c r="W302" s="334">
        <f>VLOOKUP($B302,'Min max table'!$A$6:$C$206,3,FALSE)</f>
        <v>400000</v>
      </c>
      <c r="X302" s="284" t="s">
        <v>16</v>
      </c>
      <c r="Y302" s="284" t="s">
        <v>16</v>
      </c>
      <c r="Z302" s="284"/>
    </row>
    <row r="303" spans="1:26" ht="60" customHeight="1" x14ac:dyDescent="0.4">
      <c r="A303" s="148" t="s">
        <v>344</v>
      </c>
      <c r="B303" s="135">
        <v>2980</v>
      </c>
      <c r="C303" s="131" t="s">
        <v>16</v>
      </c>
      <c r="D303" s="315"/>
      <c r="E303" s="128" t="str">
        <f>IF(OR(S303&lt;&gt;"",T303&lt;&gt;"",U303&lt;&gt;"",Z303&lt;&gt;""),"Check - see columns S-Z for info","")</f>
        <v/>
      </c>
      <c r="F303" s="343"/>
      <c r="G303" s="254">
        <f>SUM(G299:G302)</f>
        <v>0</v>
      </c>
      <c r="H303" s="254">
        <f>SUM(H299:H302)</f>
        <v>0</v>
      </c>
      <c r="I303" s="254">
        <f>SUM(I299:I302)</f>
        <v>0</v>
      </c>
      <c r="J303" s="342"/>
      <c r="N303" s="104"/>
      <c r="O303" s="104"/>
      <c r="P303" s="80"/>
      <c r="Q303" s="80"/>
      <c r="R303" s="283"/>
      <c r="S303" s="143"/>
      <c r="T303" s="143"/>
      <c r="U303" s="143"/>
      <c r="V303" s="334" t="s">
        <v>16</v>
      </c>
      <c r="W303" s="334" t="s">
        <v>16</v>
      </c>
      <c r="X303" s="284" t="s">
        <v>345</v>
      </c>
      <c r="Y303" s="280" t="str">
        <f>IF(Z303="","","Refer to "&amp;X303&amp;" in the validations table")</f>
        <v/>
      </c>
      <c r="Z303" s="143" t="str">
        <f>IF(AND(ISBLANK('Validations table'!E129),OR(I303&lt;&gt;0,G303&lt;&gt;0,H303&lt;&gt;0)), "Provide a brief summary of your assumptions regarding income.","")</f>
        <v/>
      </c>
    </row>
    <row r="304" spans="1:26" ht="75" customHeight="1" x14ac:dyDescent="0.4">
      <c r="A304" s="148" t="s">
        <v>346</v>
      </c>
      <c r="B304" s="406" t="s">
        <v>347</v>
      </c>
      <c r="C304" s="131" t="s">
        <v>16</v>
      </c>
      <c r="D304" s="315"/>
      <c r="E304" s="128" t="str">
        <f>IF(OR(S304&lt;&gt;"",T304&lt;&gt;"",U304&lt;&gt;"",Z304&lt;&gt;""),"Check - see columns S-Z for info","")</f>
        <v>Check - see columns S-Z for info</v>
      </c>
      <c r="F304" s="342"/>
      <c r="G304" s="342"/>
      <c r="H304" s="342"/>
      <c r="I304" s="342"/>
      <c r="J304" s="342"/>
      <c r="N304" s="104"/>
      <c r="O304" s="104"/>
      <c r="P304" s="80"/>
      <c r="Q304" s="80"/>
      <c r="R304" s="283" t="s">
        <v>348</v>
      </c>
      <c r="S304" s="143"/>
      <c r="T304" s="143"/>
      <c r="U304" s="143"/>
      <c r="V304" s="334">
        <f>VLOOKUP($B308,'Min max table'!$A$6:$C$209,2,FALSE)</f>
        <v>0</v>
      </c>
      <c r="W304" s="334">
        <f>VLOOKUP($B308,'Min max table'!$A$6:$C$228,3,FALSE)</f>
        <v>800000</v>
      </c>
      <c r="X304" s="284" t="s">
        <v>349</v>
      </c>
      <c r="Y304" s="280" t="str">
        <f>IF(Z304="","","Refer to "&amp;X304&amp;" in the validations table")</f>
        <v>Refer to QU2980a in the validations table</v>
      </c>
      <c r="Z304" s="143" t="str">
        <f>IF(AND(ISBLANK('Validations table'!E130),OR(G303=0,H303=0,I303=0)), "Explain why one or more of the forecast years is zero.","")</f>
        <v>Explain why one or more of the forecast years is zero.</v>
      </c>
    </row>
    <row r="305" spans="1:26" ht="90" customHeight="1" x14ac:dyDescent="0.6">
      <c r="A305" s="22" t="s">
        <v>350</v>
      </c>
      <c r="B305" s="342"/>
      <c r="C305" s="357"/>
      <c r="D305" s="357"/>
      <c r="E305" s="342"/>
      <c r="F305" s="342"/>
      <c r="G305" s="342"/>
      <c r="H305" s="342"/>
      <c r="I305" s="342"/>
      <c r="J305" s="342"/>
      <c r="N305" s="104"/>
      <c r="O305" s="104"/>
      <c r="P305" s="80"/>
      <c r="Q305" s="80"/>
      <c r="R305" s="71"/>
      <c r="S305" s="68"/>
      <c r="T305" s="73"/>
      <c r="U305" s="73"/>
      <c r="V305" s="89"/>
      <c r="W305" s="75"/>
      <c r="X305" s="83"/>
      <c r="Y305" s="123"/>
      <c r="Z305" s="123"/>
    </row>
    <row r="306" spans="1:26" ht="18.649999999999999" customHeight="1" x14ac:dyDescent="0.4">
      <c r="A306" s="251" t="s">
        <v>1680</v>
      </c>
      <c r="B306" s="342"/>
      <c r="C306" s="357"/>
      <c r="D306" s="357"/>
      <c r="E306" s="342"/>
      <c r="F306" s="59"/>
      <c r="G306" s="20"/>
      <c r="H306" s="57"/>
      <c r="I306" s="57"/>
      <c r="K306" s="10"/>
      <c r="Q306" s="80"/>
      <c r="R306" s="8"/>
      <c r="S306" s="12"/>
      <c r="T306" s="8"/>
      <c r="V306" s="13"/>
      <c r="X306" s="8"/>
      <c r="Y306" s="341"/>
    </row>
    <row r="307" spans="1:26" ht="47" x14ac:dyDescent="0.4">
      <c r="A307" s="29" t="s">
        <v>113</v>
      </c>
      <c r="B307" s="113" t="s">
        <v>92</v>
      </c>
      <c r="C307" s="113" t="s">
        <v>93</v>
      </c>
      <c r="D307" s="177" t="s">
        <v>94</v>
      </c>
      <c r="E307" s="114" t="s">
        <v>95</v>
      </c>
      <c r="F307" s="118"/>
      <c r="G307" s="127" t="str">
        <f>RIGHT('Version control'!$A$1,4)&amp;"/"&amp;RIGHT('Version control'!$A$1,4)-2000+1&amp;   "                £'000"</f>
        <v>2026/27                £'000</v>
      </c>
      <c r="H307" s="127" t="str">
        <f>RIGHT('Version control'!$A$1,4)+1&amp;"/"&amp;RIGHT('Version control'!$A$1,4)-2000+2&amp;   "                £'000"</f>
        <v>2027/28                £'000</v>
      </c>
      <c r="I307" s="127" t="str">
        <f>RIGHT('Version control'!$A$1,4)+2&amp;"/"&amp;RIGHT('Version control'!$A$1,4)-2000+3&amp;   "                £'000"</f>
        <v>2028/29                £'000</v>
      </c>
      <c r="J307" s="342"/>
      <c r="N307" s="104"/>
      <c r="O307" s="104"/>
      <c r="P307" s="80"/>
      <c r="Q307" s="80"/>
      <c r="R307" s="193" t="s">
        <v>114</v>
      </c>
      <c r="S307" s="177" t="s">
        <v>97</v>
      </c>
      <c r="T307" s="177" t="s">
        <v>98</v>
      </c>
      <c r="U307" s="177" t="s">
        <v>99</v>
      </c>
      <c r="V307" s="178" t="s">
        <v>100</v>
      </c>
      <c r="W307" s="178" t="s">
        <v>101</v>
      </c>
      <c r="X307" s="177" t="s">
        <v>102</v>
      </c>
      <c r="Y307" s="179" t="s">
        <v>103</v>
      </c>
      <c r="Z307" s="179" t="s">
        <v>104</v>
      </c>
    </row>
    <row r="308" spans="1:26" ht="60" customHeight="1" x14ac:dyDescent="0.4">
      <c r="A308" s="128" t="s">
        <v>351</v>
      </c>
      <c r="B308" s="406">
        <v>3100</v>
      </c>
      <c r="C308" s="131" t="s">
        <v>16</v>
      </c>
      <c r="D308" s="347" t="s">
        <v>1498</v>
      </c>
      <c r="E308" s="128" t="str">
        <f>IF(OR(S308&lt;&gt;"",T308&lt;&gt;"",U308&lt;&gt;"",Z308&lt;&gt;""),"Check - see columns S-Z for info","")</f>
        <v/>
      </c>
      <c r="F308" s="343"/>
      <c r="G308" s="254">
        <f>Q53</f>
        <v>0</v>
      </c>
      <c r="H308" s="321"/>
      <c r="I308" s="321"/>
      <c r="J308" s="342"/>
      <c r="N308" s="104"/>
      <c r="O308" s="104"/>
      <c r="P308" s="80"/>
      <c r="Q308" s="80"/>
      <c r="R308" s="283" t="s">
        <v>353</v>
      </c>
      <c r="S308" s="143" t="str">
        <f>IF(OR(G308-ROUND(G308,)&lt;&gt;0,H308-ROUND(H308,)&lt;&gt;0,I308-ROUND(I308,)&lt;&gt;0),"No decimal places, letters &amp; odd characters allowed","")</f>
        <v/>
      </c>
      <c r="T308" s="143" t="str">
        <f>IF(OR(G308&lt;V308,H308&lt;V308,I308&lt;V308),"input value is below the minimum value allowed","")</f>
        <v/>
      </c>
      <c r="U308" s="143" t="str">
        <f>IF(OR(G308&gt;W308,H308&gt;W308,I308&gt;W308),"Input value is above the maximum value allowed","")</f>
        <v/>
      </c>
      <c r="V308" s="334">
        <f>VLOOKUP($B308,'Min max table'!$A$6:$C$209,2,FALSE)</f>
        <v>0</v>
      </c>
      <c r="W308" s="334">
        <f>VLOOKUP($B308,'Min max table'!$A$6:$C$228,3,FALSE)</f>
        <v>800000</v>
      </c>
      <c r="X308" s="284" t="s">
        <v>16</v>
      </c>
      <c r="Y308" s="371" t="s">
        <v>16</v>
      </c>
      <c r="Z308" s="371"/>
    </row>
    <row r="309" spans="1:26" ht="60" customHeight="1" x14ac:dyDescent="0.4">
      <c r="A309" s="130" t="s">
        <v>352</v>
      </c>
      <c r="B309" s="407">
        <v>3300</v>
      </c>
      <c r="C309" s="131" t="s">
        <v>16</v>
      </c>
      <c r="D309" s="347" t="s">
        <v>1498</v>
      </c>
      <c r="E309" s="128" t="str">
        <f>IF(OR(S309&lt;&gt;"",T309&lt;&gt;"",U309&lt;&gt;"",Z309&lt;&gt;""),"Check - see columns S-Z for info","")</f>
        <v/>
      </c>
      <c r="F309" s="343"/>
      <c r="G309" s="254">
        <f>Q65+Q74</f>
        <v>0</v>
      </c>
      <c r="H309" s="321"/>
      <c r="I309" s="321"/>
      <c r="J309" s="342"/>
      <c r="N309" s="104"/>
      <c r="O309" s="104"/>
      <c r="P309" s="80"/>
      <c r="Q309" s="80"/>
      <c r="R309" s="283" t="s">
        <v>355</v>
      </c>
      <c r="S309" s="143" t="str">
        <f>IF(OR(G309-ROUND(G309,)&lt;&gt;0,H309-ROUND(H309,)&lt;&gt;0,I309-ROUND(I309,)&lt;&gt;0),"No decimal places, letters &amp; odd characters allowed","")</f>
        <v/>
      </c>
      <c r="T309" s="143" t="str">
        <f>IF(OR(G309&lt;V309,H309&lt;V309,I309&lt;V309),"input value is below the minimum value allowed","")</f>
        <v/>
      </c>
      <c r="U309" s="143" t="str">
        <f>IF(OR(G309&gt;W309,H309&gt;W309,I309&gt;W309),"Input value is above the maximum value allowed","")</f>
        <v/>
      </c>
      <c r="V309" s="334">
        <f>VLOOKUP($B309,'Min max table'!$A$6:$C$209,2,FALSE)</f>
        <v>0</v>
      </c>
      <c r="W309" s="334">
        <f>VLOOKUP($B309,'Min max table'!$A$6:$C$228,3,FALSE)</f>
        <v>400000</v>
      </c>
      <c r="X309" s="284" t="s">
        <v>16</v>
      </c>
      <c r="Y309" s="371" t="s">
        <v>16</v>
      </c>
      <c r="Z309" s="371"/>
    </row>
    <row r="310" spans="1:26" ht="60" customHeight="1" x14ac:dyDescent="0.4">
      <c r="A310" s="148" t="s">
        <v>354</v>
      </c>
      <c r="B310" s="135">
        <v>3800</v>
      </c>
      <c r="C310" s="131" t="s">
        <v>16</v>
      </c>
      <c r="D310" s="315"/>
      <c r="E310" s="128" t="str">
        <f>IF(OR(S310&lt;&gt;"",T310&lt;&gt;"",U310&lt;&gt;"",Z310&lt;&gt;""),"Check - see columns S-Z for info","")</f>
        <v/>
      </c>
      <c r="F310" s="343"/>
      <c r="G310" s="254">
        <f>SUM(G308:G309)</f>
        <v>0</v>
      </c>
      <c r="H310" s="254">
        <f>SUM(H308:H309)</f>
        <v>0</v>
      </c>
      <c r="I310" s="254">
        <f>SUM(I308:I309)</f>
        <v>0</v>
      </c>
      <c r="J310" s="342"/>
      <c r="N310" s="104"/>
      <c r="O310" s="104"/>
      <c r="P310" s="105"/>
      <c r="Q310" s="80"/>
      <c r="R310" s="283"/>
      <c r="S310" s="143"/>
      <c r="T310" s="143"/>
      <c r="U310" s="143"/>
      <c r="V310" s="334" t="s">
        <v>16</v>
      </c>
      <c r="W310" s="334" t="s">
        <v>16</v>
      </c>
      <c r="X310" s="284" t="s">
        <v>356</v>
      </c>
      <c r="Y310" s="280" t="str">
        <f>IF(Z310="","","Refer to "&amp;X310&amp;" in the validations table")</f>
        <v/>
      </c>
      <c r="Z310" s="143" t="str">
        <f>IF(AND(ISBLANK('Validations table'!E131),OR(I310&lt;&gt;0,G310&lt;&gt;0,H310&lt;&gt;0)), "Provide a brief summary of your assumptions regarding expenditure.","")</f>
        <v/>
      </c>
    </row>
    <row r="311" spans="1:26" ht="75" customHeight="1" x14ac:dyDescent="0.4">
      <c r="A311" s="429" t="s">
        <v>346</v>
      </c>
      <c r="B311" s="430" t="s">
        <v>16</v>
      </c>
      <c r="C311" s="131" t="s">
        <v>16</v>
      </c>
      <c r="D311" s="428"/>
      <c r="E311" s="128" t="str">
        <f>IF(OR(S311&lt;&gt;"",T311&lt;&gt;"",U311&lt;&gt;"",Z311&lt;&gt;""),"Check - see columns S-Z for info","")</f>
        <v>Check - see columns S-Z for info</v>
      </c>
      <c r="F311" s="380"/>
      <c r="G311" s="395"/>
      <c r="H311" s="395"/>
      <c r="I311" s="395"/>
      <c r="J311" s="342"/>
      <c r="N311" s="104"/>
      <c r="O311" s="104"/>
      <c r="P311" s="105"/>
      <c r="Q311" s="80"/>
      <c r="R311" s="283"/>
      <c r="S311" s="143"/>
      <c r="T311" s="143"/>
      <c r="U311" s="143"/>
      <c r="V311" s="334" t="s">
        <v>16</v>
      </c>
      <c r="W311" s="334" t="s">
        <v>16</v>
      </c>
      <c r="X311" s="284" t="s">
        <v>357</v>
      </c>
      <c r="Y311" s="280" t="str">
        <f>IF(Z311="","","Refer to "&amp;X311&amp;" in the validations table")</f>
        <v>Refer to QU3800a in the validations table</v>
      </c>
      <c r="Z311" s="143" t="str">
        <f>IF(AND(ISBLANK('Validations table'!E132),OR(I310=0,G310=0,H310=0)), "Explain why one or more of the forecast years is zero.","")</f>
        <v>Explain why one or more of the forecast years is zero.</v>
      </c>
    </row>
    <row r="312" spans="1:26" ht="18" customHeight="1" x14ac:dyDescent="0.4">
      <c r="A312" s="148" t="s">
        <v>358</v>
      </c>
      <c r="B312" s="139">
        <v>4000</v>
      </c>
      <c r="C312" s="131" t="s">
        <v>16</v>
      </c>
      <c r="D312" s="315"/>
      <c r="E312" s="128"/>
      <c r="F312" s="343"/>
      <c r="G312" s="254">
        <f>G303-G310</f>
        <v>0</v>
      </c>
      <c r="H312" s="254">
        <f>H303-H310</f>
        <v>0</v>
      </c>
      <c r="I312" s="254">
        <f>I303-I310</f>
        <v>0</v>
      </c>
      <c r="J312" s="342"/>
      <c r="N312" s="104"/>
      <c r="O312" s="104"/>
      <c r="Q312" s="80"/>
      <c r="R312" s="179"/>
      <c r="S312" s="179"/>
      <c r="T312" s="179"/>
      <c r="U312" s="179"/>
      <c r="V312" s="284" t="s">
        <v>16</v>
      </c>
      <c r="W312" s="284" t="s">
        <v>16</v>
      </c>
      <c r="X312" s="284" t="s">
        <v>16</v>
      </c>
      <c r="Y312" s="284" t="s">
        <v>16</v>
      </c>
      <c r="Z312" s="284"/>
    </row>
    <row r="313" spans="1:26" s="244" customFormat="1" ht="90" customHeight="1" x14ac:dyDescent="0.6">
      <c r="A313" s="22" t="s">
        <v>359</v>
      </c>
      <c r="C313" s="483"/>
      <c r="D313" s="478"/>
    </row>
    <row r="314" spans="1:26" ht="18.649999999999999" customHeight="1" x14ac:dyDescent="0.4">
      <c r="A314" s="251" t="s">
        <v>1681</v>
      </c>
      <c r="B314" s="244"/>
      <c r="C314" s="483"/>
      <c r="D314" s="478"/>
      <c r="E314" s="244"/>
      <c r="F314" s="59"/>
      <c r="G314" s="310"/>
      <c r="H314" s="310"/>
      <c r="I314" s="310"/>
      <c r="K314" s="244"/>
      <c r="R314" s="8"/>
      <c r="S314" s="12"/>
      <c r="T314" s="8"/>
      <c r="V314" s="13"/>
      <c r="X314" s="8"/>
      <c r="Y314" s="341"/>
    </row>
    <row r="315" spans="1:26" ht="75" customHeight="1" x14ac:dyDescent="0.4">
      <c r="A315" s="260" t="s">
        <v>1562</v>
      </c>
      <c r="B315" s="406">
        <v>3900</v>
      </c>
      <c r="C315" s="406"/>
      <c r="D315" s="347" t="s">
        <v>1498</v>
      </c>
      <c r="E315" s="128" t="str">
        <f>IF(OR(S315&lt;&gt;"",T315&lt;&gt;"",U315&lt;&gt;"",Z315&lt;&gt;""),"Check - see columns S-Z for info","")</f>
        <v>Check - see columns S-Z for info</v>
      </c>
      <c r="F315" s="342"/>
      <c r="G315" s="321"/>
      <c r="H315" s="321"/>
      <c r="I315" s="321"/>
      <c r="J315" s="342"/>
      <c r="K315" s="244"/>
      <c r="N315" s="248"/>
      <c r="O315" s="248"/>
      <c r="Q315" s="180"/>
      <c r="R315" s="283" t="s">
        <v>360</v>
      </c>
      <c r="S315" s="143"/>
      <c r="T315" s="143"/>
      <c r="U315" s="143"/>
      <c r="V315" s="334" t="s">
        <v>16</v>
      </c>
      <c r="W315" s="334" t="s">
        <v>16</v>
      </c>
      <c r="X315" s="284" t="s">
        <v>361</v>
      </c>
      <c r="Y315" s="280" t="str">
        <f>IF(Z315="","","Refer to "&amp;X315&amp;" in the validations table")</f>
        <v>Refer to QU3900 in the validations table</v>
      </c>
      <c r="Z315" s="143" t="str">
        <f>IF('Validations table'!E133&lt;&gt;"", "", "Provide reasons for the assumptions made for teaching staff costs")</f>
        <v>Provide reasons for the assumptions made for teaching staff costs</v>
      </c>
    </row>
    <row r="316" spans="1:26" ht="75" customHeight="1" x14ac:dyDescent="0.4">
      <c r="A316" s="260" t="s">
        <v>1563</v>
      </c>
      <c r="B316" s="406">
        <v>3950</v>
      </c>
      <c r="C316" s="406"/>
      <c r="D316" s="347" t="s">
        <v>1498</v>
      </c>
      <c r="E316" s="128" t="str">
        <f>IF(OR(S316&lt;&gt;"",T316&lt;&gt;"",U316&lt;&gt;"",Z316&lt;&gt;""),"Check - see columns S-Z for info","")</f>
        <v>Check - see columns S-Z for info</v>
      </c>
      <c r="F316" s="342"/>
      <c r="G316" s="321"/>
      <c r="H316" s="321"/>
      <c r="I316" s="321"/>
      <c r="J316" s="342"/>
      <c r="K316" s="244"/>
      <c r="N316" s="248"/>
      <c r="O316" s="248"/>
      <c r="Q316" s="180"/>
      <c r="R316" s="283" t="s">
        <v>362</v>
      </c>
      <c r="S316" s="143"/>
      <c r="T316" s="143"/>
      <c r="U316" s="143"/>
      <c r="V316" s="334" t="s">
        <v>16</v>
      </c>
      <c r="W316" s="334" t="s">
        <v>16</v>
      </c>
      <c r="X316" s="284" t="s">
        <v>363</v>
      </c>
      <c r="Y316" s="280" t="str">
        <f>IF(Z316="","","Refer to "&amp;X316&amp;" in the validations table")</f>
        <v>Refer to QU3950 in the validations table</v>
      </c>
      <c r="Z316" s="143" t="str">
        <f>IF('Validations table'!E134&lt;&gt;"", "", "Provide reasons for the assumptions made for support staff costs")</f>
        <v>Provide reasons for the assumptions made for support staff costs</v>
      </c>
    </row>
    <row r="317" spans="1:26" ht="90" customHeight="1" x14ac:dyDescent="0.6">
      <c r="A317" s="22" t="s">
        <v>364</v>
      </c>
      <c r="B317" s="77"/>
      <c r="C317" s="77"/>
      <c r="D317" s="318"/>
      <c r="E317" s="78"/>
      <c r="I317" s="79"/>
      <c r="J317" s="79"/>
      <c r="K317" s="79"/>
      <c r="L317" s="79"/>
      <c r="N317" s="79"/>
      <c r="O317" s="81"/>
      <c r="P317" s="81"/>
      <c r="Q317" s="81"/>
      <c r="R317" s="8"/>
      <c r="S317" s="189"/>
      <c r="T317" s="73"/>
      <c r="U317" s="73"/>
      <c r="V317" s="75"/>
      <c r="W317" s="75"/>
      <c r="X317" s="82"/>
      <c r="Y317" s="353"/>
      <c r="Z317" s="70"/>
    </row>
    <row r="318" spans="1:26" ht="18.649999999999999" customHeight="1" x14ac:dyDescent="0.35">
      <c r="A318" s="251" t="s">
        <v>1680</v>
      </c>
      <c r="B318" s="77"/>
      <c r="C318" s="77"/>
      <c r="D318" s="318"/>
      <c r="E318" s="78"/>
      <c r="F318" s="59"/>
      <c r="G318" s="20"/>
      <c r="H318" s="57"/>
      <c r="I318" s="57"/>
      <c r="K318" s="10"/>
      <c r="R318" s="8"/>
      <c r="S318" s="12"/>
      <c r="T318" s="8"/>
      <c r="V318" s="13"/>
      <c r="X318" s="8"/>
      <c r="Y318" s="341"/>
    </row>
    <row r="319" spans="1:26" ht="47" x14ac:dyDescent="0.4">
      <c r="A319" s="29" t="s">
        <v>113</v>
      </c>
      <c r="B319" s="113" t="s">
        <v>92</v>
      </c>
      <c r="C319" s="113" t="s">
        <v>93</v>
      </c>
      <c r="D319" s="177" t="s">
        <v>94</v>
      </c>
      <c r="E319" s="114" t="s">
        <v>95</v>
      </c>
      <c r="F319" s="39"/>
      <c r="G319" s="127" t="str">
        <f>RIGHT('Version control'!$A$1,4)&amp;"/"&amp;RIGHT('Version control'!$A$1,4)-2000+1&amp;   "                £'000"</f>
        <v>2026/27                £'000</v>
      </c>
      <c r="H319" s="127" t="str">
        <f>RIGHT('Version control'!$A$1,4)+1&amp;"/"&amp;RIGHT('Version control'!$A$1,4)-2000+2&amp;   "                £'000"</f>
        <v>2027/28                £'000</v>
      </c>
      <c r="I319" s="127" t="str">
        <f>RIGHT('Version control'!$A$1,4)+2&amp;"/"&amp;RIGHT('Version control'!$A$1,4)-2000+3&amp;   "                £'000"</f>
        <v>2028/29                £'000</v>
      </c>
      <c r="J319" s="8"/>
      <c r="M319" s="31"/>
      <c r="N319" s="104"/>
      <c r="O319" s="106"/>
      <c r="P319" s="106"/>
      <c r="Q319" s="106"/>
      <c r="R319" s="193" t="s">
        <v>114</v>
      </c>
      <c r="S319" s="177" t="s">
        <v>97</v>
      </c>
      <c r="T319" s="177" t="s">
        <v>98</v>
      </c>
      <c r="U319" s="177" t="s">
        <v>99</v>
      </c>
      <c r="V319" s="178" t="s">
        <v>100</v>
      </c>
      <c r="W319" s="178" t="s">
        <v>101</v>
      </c>
      <c r="X319" s="177" t="s">
        <v>102</v>
      </c>
      <c r="Y319" s="179" t="s">
        <v>103</v>
      </c>
      <c r="Z319" s="179" t="s">
        <v>104</v>
      </c>
    </row>
    <row r="320" spans="1:26" ht="52.5" customHeight="1" x14ac:dyDescent="0.4">
      <c r="A320" s="128" t="s">
        <v>365</v>
      </c>
      <c r="B320" s="406">
        <v>5850</v>
      </c>
      <c r="C320" s="131" t="s">
        <v>16</v>
      </c>
      <c r="D320" s="347" t="s">
        <v>1498</v>
      </c>
      <c r="E320" s="128" t="str">
        <f>IF(OR(S328&lt;&gt;"",T328&lt;&gt;"",U328&lt;&gt;"",Z328&lt;&gt;""),"Check - see columns S-Z for info","")</f>
        <v/>
      </c>
      <c r="F320" s="343"/>
      <c r="G320" s="254">
        <f>-G302</f>
        <v>0</v>
      </c>
      <c r="H320" s="254">
        <f>-H302</f>
        <v>0</v>
      </c>
      <c r="I320" s="254">
        <f>-I302</f>
        <v>0</v>
      </c>
      <c r="J320" s="8"/>
      <c r="N320" s="107"/>
      <c r="O320" s="106"/>
      <c r="P320" s="106"/>
      <c r="Q320" s="106"/>
      <c r="R320" s="283" t="s">
        <v>366</v>
      </c>
      <c r="S320" s="143"/>
      <c r="T320" s="143"/>
      <c r="U320" s="143"/>
      <c r="V320" s="190" t="s">
        <v>16</v>
      </c>
      <c r="W320" s="190" t="s">
        <v>16</v>
      </c>
      <c r="X320" s="190" t="s">
        <v>16</v>
      </c>
      <c r="Y320" s="190" t="s">
        <v>16</v>
      </c>
      <c r="Z320" s="190"/>
    </row>
    <row r="321" spans="1:26" ht="52.5" customHeight="1" x14ac:dyDescent="0.4">
      <c r="A321" s="128" t="s">
        <v>367</v>
      </c>
      <c r="B321" s="406">
        <v>5500</v>
      </c>
      <c r="C321" s="131" t="s">
        <v>16</v>
      </c>
      <c r="D321" s="347" t="s">
        <v>1498</v>
      </c>
      <c r="E321" s="128" t="str">
        <f>IF(OR(S328&lt;&gt;"",T328&lt;&gt;"",U328&lt;&gt;"",Z328&lt;&gt;""),"Check - see columns S-Z for info","")</f>
        <v/>
      </c>
      <c r="F321" s="343"/>
      <c r="G321" s="254">
        <f>Q108+Q100</f>
        <v>0</v>
      </c>
      <c r="H321" s="321"/>
      <c r="I321" s="321"/>
      <c r="J321" s="8"/>
      <c r="N321" s="108"/>
      <c r="O321" s="109"/>
      <c r="P321" s="109"/>
      <c r="Q321" s="109"/>
      <c r="R321" s="283" t="s">
        <v>368</v>
      </c>
      <c r="S321" s="143" t="str">
        <f t="shared" ref="S321:S323" si="102">IF(OR(G321-ROUND(G321,)&lt;&gt;0,H321-ROUND(H321,)&lt;&gt;0,I321-ROUND(I321,)&lt;&gt;0),"No decimal places, letters &amp; odd characters allowed","")</f>
        <v/>
      </c>
      <c r="T321" s="143" t="str">
        <f t="shared" ref="T321:T323" si="103">IF(OR(G321&lt;V321,H321&lt;V321,I321&lt;V321),"input value is below the minimum value allowed","")</f>
        <v/>
      </c>
      <c r="U321" s="143" t="str">
        <f t="shared" ref="U321:U323" si="104">IF(OR(G321&gt;W321,H321&gt;W321,I321&gt;W321),"Input value is above the maximum value allowed","")</f>
        <v/>
      </c>
      <c r="V321" s="191">
        <f>VLOOKUP($B321,'Min max table'!$A$6:$C$228,2,FALSE)</f>
        <v>0</v>
      </c>
      <c r="W321" s="397">
        <f>VLOOKUP($B321,'Min max table'!$A$6:$C$228,3,FALSE)</f>
        <v>200000</v>
      </c>
      <c r="X321" s="190" t="s">
        <v>16</v>
      </c>
      <c r="Y321" s="190" t="s">
        <v>16</v>
      </c>
      <c r="Z321" s="190"/>
    </row>
    <row r="322" spans="1:26" ht="52.5" customHeight="1" x14ac:dyDescent="0.4">
      <c r="A322" s="128" t="s">
        <v>369</v>
      </c>
      <c r="B322" s="406">
        <v>6500</v>
      </c>
      <c r="C322" s="131" t="s">
        <v>16</v>
      </c>
      <c r="D322" s="347" t="s">
        <v>1498</v>
      </c>
      <c r="E322" s="128" t="str">
        <f>IF(OR(S328&lt;&gt;"",T328&lt;&gt;"",U328&lt;&gt;"",Z328&lt;&gt;""),"Check - see columns S-Z for info","")</f>
        <v/>
      </c>
      <c r="F322" s="343"/>
      <c r="G322" s="254">
        <f>Q135</f>
        <v>0</v>
      </c>
      <c r="H322" s="321"/>
      <c r="I322" s="321"/>
      <c r="J322" s="8"/>
      <c r="N322" s="108"/>
      <c r="O322" s="109"/>
      <c r="P322" s="109"/>
      <c r="Q322" s="109"/>
      <c r="R322" s="283" t="s">
        <v>370</v>
      </c>
      <c r="S322" s="143" t="str">
        <f t="shared" si="102"/>
        <v/>
      </c>
      <c r="T322" s="143" t="str">
        <f t="shared" si="103"/>
        <v/>
      </c>
      <c r="U322" s="143" t="str">
        <f t="shared" si="104"/>
        <v/>
      </c>
      <c r="V322" s="191">
        <f>VLOOKUP($B322,'Min max table'!$A$6:$C$228,2,FALSE)</f>
        <v>0</v>
      </c>
      <c r="W322" s="397">
        <f>VLOOKUP($B322,'Min max table'!$A$6:$C$228,3,FALSE)</f>
        <v>200000</v>
      </c>
      <c r="X322" s="190" t="s">
        <v>16</v>
      </c>
      <c r="Y322" s="190" t="s">
        <v>16</v>
      </c>
      <c r="Z322" s="190"/>
    </row>
    <row r="323" spans="1:26" ht="45" customHeight="1" x14ac:dyDescent="0.4">
      <c r="A323" s="130" t="s">
        <v>371</v>
      </c>
      <c r="B323" s="407">
        <v>5840</v>
      </c>
      <c r="C323" s="131" t="s">
        <v>16</v>
      </c>
      <c r="D323" s="347" t="s">
        <v>1498</v>
      </c>
      <c r="E323" s="128" t="str">
        <f>IF(OR(S328&lt;&gt;"",T328&lt;&gt;"",U328&lt;&gt;"",Z328&lt;&gt;""),"Check - see columns S-Z for info","")</f>
        <v/>
      </c>
      <c r="F323" s="343"/>
      <c r="G323" s="254">
        <f>Q113</f>
        <v>0</v>
      </c>
      <c r="H323" s="321"/>
      <c r="I323" s="321"/>
      <c r="J323" s="8"/>
      <c r="N323" s="110"/>
      <c r="O323" s="111"/>
      <c r="P323" s="111"/>
      <c r="Q323" s="111"/>
      <c r="R323" s="283" t="s">
        <v>372</v>
      </c>
      <c r="S323" s="143" t="str">
        <f t="shared" si="102"/>
        <v/>
      </c>
      <c r="T323" s="143" t="str">
        <f t="shared" si="103"/>
        <v/>
      </c>
      <c r="U323" s="143" t="str">
        <f t="shared" si="104"/>
        <v/>
      </c>
      <c r="V323" s="191">
        <f>VLOOKUP($B323,'Min max table'!$A$6:$C$228,2,FALSE)</f>
        <v>0</v>
      </c>
      <c r="W323" s="397">
        <f>VLOOKUP($B323,'Min max table'!$A$6:$C$228,3,FALSE)</f>
        <v>200000</v>
      </c>
      <c r="X323" s="190" t="s">
        <v>16</v>
      </c>
      <c r="Y323" s="190" t="s">
        <v>16</v>
      </c>
      <c r="Z323" s="190"/>
    </row>
    <row r="324" spans="1:26" ht="60" customHeight="1" x14ac:dyDescent="0.35">
      <c r="A324" s="148" t="s">
        <v>373</v>
      </c>
      <c r="B324" s="139">
        <v>6600</v>
      </c>
      <c r="C324" s="131" t="s">
        <v>16</v>
      </c>
      <c r="D324" s="315"/>
      <c r="E324" s="128" t="str">
        <f>IF(OR(S328&lt;&gt;"",T328&lt;&gt;"",U328&lt;&gt;"",Z328&lt;&gt;""),"Check - see columns S-Z for info","")</f>
        <v/>
      </c>
      <c r="F324" s="343"/>
      <c r="G324" s="254">
        <f>G321+G323-G322+G320</f>
        <v>0</v>
      </c>
      <c r="H324" s="254">
        <f>H321+H323-H322+H320</f>
        <v>0</v>
      </c>
      <c r="I324" s="254">
        <f>I321+I323-I322+I320</f>
        <v>0</v>
      </c>
      <c r="J324" s="8"/>
      <c r="N324" s="104"/>
      <c r="O324" s="104"/>
      <c r="P324" s="104"/>
      <c r="Q324" s="104"/>
      <c r="R324" s="181"/>
      <c r="S324" s="143"/>
      <c r="T324" s="143"/>
      <c r="U324" s="143"/>
      <c r="V324" s="143" t="s">
        <v>16</v>
      </c>
      <c r="W324" s="143" t="s">
        <v>16</v>
      </c>
      <c r="X324" s="398" t="s">
        <v>374</v>
      </c>
      <c r="Y324" s="280" t="str">
        <f>IF(Z324="","","Refer to "&amp;X324&amp;" in the validations table")</f>
        <v/>
      </c>
      <c r="Z324" s="143" t="str">
        <f>IF(AND(ISBLANK('Validations table'!E136),OR(G324&lt;&gt;0,H324&lt;&gt;0,I324&lt;&gt;0)), "Provide a brief summary of your assumptions regarding capital income and expenditure.","")</f>
        <v/>
      </c>
    </row>
    <row r="325" spans="1:26" ht="90" customHeight="1" x14ac:dyDescent="0.6">
      <c r="A325" s="22" t="s">
        <v>375</v>
      </c>
      <c r="B325" s="77"/>
      <c r="C325" s="77"/>
      <c r="D325" s="318"/>
      <c r="E325" s="78"/>
      <c r="I325" s="79"/>
      <c r="J325" s="79"/>
      <c r="K325" s="79"/>
      <c r="L325" s="79"/>
      <c r="N325" s="79"/>
      <c r="O325" s="81"/>
      <c r="P325" s="81"/>
      <c r="Q325" s="81"/>
      <c r="R325" s="8"/>
      <c r="S325" s="189"/>
      <c r="T325" s="73"/>
      <c r="U325" s="73"/>
      <c r="V325" s="70"/>
      <c r="W325" s="75"/>
      <c r="X325" s="82"/>
      <c r="Y325" s="353"/>
      <c r="Z325" s="169"/>
    </row>
    <row r="326" spans="1:26" ht="18.649999999999999" customHeight="1" x14ac:dyDescent="0.35">
      <c r="A326" s="251" t="s">
        <v>1680</v>
      </c>
      <c r="B326" s="77"/>
      <c r="C326" s="77"/>
      <c r="D326" s="318"/>
      <c r="E326" s="78"/>
      <c r="F326" s="59"/>
      <c r="G326" s="20"/>
      <c r="H326" s="57"/>
      <c r="I326" s="57"/>
      <c r="K326" s="10"/>
      <c r="R326" s="8"/>
      <c r="S326" s="12"/>
      <c r="T326" s="8"/>
      <c r="V326" s="13"/>
      <c r="X326" s="8"/>
      <c r="Y326" s="341"/>
    </row>
    <row r="327" spans="1:26" ht="46.5" x14ac:dyDescent="0.35">
      <c r="A327" s="29" t="s">
        <v>113</v>
      </c>
      <c r="B327" s="113" t="s">
        <v>92</v>
      </c>
      <c r="C327" s="113" t="s">
        <v>93</v>
      </c>
      <c r="D327" s="177" t="s">
        <v>94</v>
      </c>
      <c r="E327" s="114" t="s">
        <v>95</v>
      </c>
      <c r="F327" s="39"/>
      <c r="G327" s="127" t="str">
        <f>RIGHT('Version control'!$A$1,4)&amp;"/"&amp;RIGHT('Version control'!$A$1,4)-2000+1&amp;   "                £'000"</f>
        <v>2026/27                £'000</v>
      </c>
      <c r="H327" s="127" t="str">
        <f>RIGHT('Version control'!$A$1,4)+1&amp;"/"&amp;RIGHT('Version control'!$A$1,4)-2000+2&amp;   "                £'000"</f>
        <v>2027/28                £'000</v>
      </c>
      <c r="I327" s="127" t="str">
        <f>RIGHT('Version control'!$A$1,4)+2&amp;"/"&amp;RIGHT('Version control'!$A$1,4)-2000+3&amp;   "                £'000"</f>
        <v>2028/29                £'000</v>
      </c>
      <c r="J327" s="8"/>
      <c r="M327" s="31"/>
      <c r="N327" s="104"/>
      <c r="O327" s="104"/>
      <c r="P327" s="104"/>
      <c r="Q327" s="104"/>
      <c r="R327" s="193" t="s">
        <v>114</v>
      </c>
      <c r="S327" s="177" t="s">
        <v>97</v>
      </c>
      <c r="T327" s="177" t="s">
        <v>98</v>
      </c>
      <c r="U327" s="177" t="s">
        <v>99</v>
      </c>
      <c r="V327" s="178" t="s">
        <v>100</v>
      </c>
      <c r="W327" s="178" t="s">
        <v>101</v>
      </c>
      <c r="X327" s="177" t="s">
        <v>102</v>
      </c>
      <c r="Y327" s="179" t="s">
        <v>103</v>
      </c>
      <c r="Z327" s="179" t="s">
        <v>104</v>
      </c>
    </row>
    <row r="328" spans="1:26" ht="75" customHeight="1" x14ac:dyDescent="0.35">
      <c r="A328" s="128" t="s">
        <v>376</v>
      </c>
      <c r="B328" s="406">
        <v>7200</v>
      </c>
      <c r="C328" s="131" t="s">
        <v>16</v>
      </c>
      <c r="D328" s="347" t="s">
        <v>1498</v>
      </c>
      <c r="E328" s="128" t="str">
        <f>IF(OR(S328&lt;&gt;"",T328&lt;&gt;"",U328&lt;&gt;"",Z328&lt;&gt;""),"Check - see columns S-Z for info","")</f>
        <v/>
      </c>
      <c r="F328" s="343"/>
      <c r="G328" s="254">
        <f>Q191</f>
        <v>0</v>
      </c>
      <c r="H328" s="321"/>
      <c r="I328" s="321"/>
      <c r="J328" s="8"/>
      <c r="N328" s="104"/>
      <c r="O328" s="104"/>
      <c r="P328" s="104"/>
      <c r="Q328" s="104"/>
      <c r="R328" s="283" t="s">
        <v>377</v>
      </c>
      <c r="S328" s="143" t="str">
        <f t="shared" ref="S328:S330" si="105">IF(OR(G328-ROUND(G328,)&lt;&gt;0,H328-ROUND(H328,)&lt;&gt;0,I328-ROUND(I328,)&lt;&gt;0),"No decimal places, letters &amp; odd characters allowed","")</f>
        <v/>
      </c>
      <c r="T328" s="143" t="str">
        <f t="shared" ref="T328:T330" si="106">IF(OR(G328&lt;V328,H328&lt;V328,I328&lt;V328),"input value is below the minimum value allowed","")</f>
        <v/>
      </c>
      <c r="U328" s="143" t="str">
        <f t="shared" ref="U328:U330" si="107">IF(OR(G328&gt;W328,H328&gt;W328,I328&gt;W328),"Input value is above the maximum value allowed","")</f>
        <v/>
      </c>
      <c r="V328" s="390">
        <f>VLOOKUP($B328,'Min max table'!$A$6:$C$228,2,FALSE)</f>
        <v>0</v>
      </c>
      <c r="W328" s="390">
        <f>VLOOKUP($B328,'Min max table'!$A$6:$C$228,3,FALSE)</f>
        <v>200000</v>
      </c>
      <c r="X328" s="398" t="s">
        <v>378</v>
      </c>
      <c r="Y328" s="280" t="str">
        <f>IF(Z328="","","Refer to "&amp;X328&amp;" in the validations table")</f>
        <v/>
      </c>
      <c r="Z328" s="143" t="str">
        <f>IF(AND(ISBLANK('Validations table'!E139),OR(G328&lt;&gt;0,H328&lt;&gt;0,I328&lt;&gt;0)), "Provide a brief summary of your depreciation for buildings, donated assets and other assets.","")</f>
        <v/>
      </c>
    </row>
    <row r="329" spans="1:26" ht="75" customHeight="1" x14ac:dyDescent="0.35">
      <c r="A329" s="128" t="s">
        <v>379</v>
      </c>
      <c r="B329" s="406">
        <v>7100</v>
      </c>
      <c r="C329" s="131" t="s">
        <v>16</v>
      </c>
      <c r="D329" s="347" t="s">
        <v>1498</v>
      </c>
      <c r="E329" s="128" t="str">
        <f>IF(OR(S329&lt;&gt;"",T329&lt;&gt;"",U329&lt;&gt;"",Z329&lt;&gt;""),"Check - see columns S-Z for info","")</f>
        <v/>
      </c>
      <c r="F329" s="343"/>
      <c r="G329" s="254">
        <f>SUM(Q183:Q184,Q161:Q162)</f>
        <v>0</v>
      </c>
      <c r="H329" s="321"/>
      <c r="I329" s="321"/>
      <c r="J329" s="8"/>
      <c r="N329" s="104"/>
      <c r="O329" s="104"/>
      <c r="P329" s="104"/>
      <c r="Q329" s="104"/>
      <c r="R329" s="283" t="s">
        <v>380</v>
      </c>
      <c r="S329" s="143" t="str">
        <f t="shared" si="105"/>
        <v/>
      </c>
      <c r="T329" s="143" t="str">
        <f t="shared" si="106"/>
        <v/>
      </c>
      <c r="U329" s="143" t="str">
        <f t="shared" si="107"/>
        <v/>
      </c>
      <c r="V329" s="390">
        <f>VLOOKUP($B329,'Min max table'!$A$6:$C$228,2,FALSE)</f>
        <v>0</v>
      </c>
      <c r="W329" s="390">
        <f>VLOOKUP($B329,'Min max table'!$A$6:$C$228,3,FALSE)</f>
        <v>200000</v>
      </c>
      <c r="X329" s="398" t="s">
        <v>381</v>
      </c>
      <c r="Y329" s="280" t="str">
        <f>IF(Z329="","","Refer to "&amp;X329&amp;" in the validations table")</f>
        <v/>
      </c>
      <c r="Z329" s="143" t="str">
        <f>IF(AND(ISBLANK('Validations table'!E138),OR(G329&lt;&gt;0,H329&lt;&gt;0,I329&lt;&gt;0)), "Provide a brief summary of your other non-cash costs.","")</f>
        <v/>
      </c>
    </row>
    <row r="330" spans="1:26" ht="75" customHeight="1" x14ac:dyDescent="0.35">
      <c r="A330" s="128" t="s">
        <v>382</v>
      </c>
      <c r="B330" s="406">
        <v>7000</v>
      </c>
      <c r="C330" s="131" t="s">
        <v>16</v>
      </c>
      <c r="D330" s="347" t="s">
        <v>1498</v>
      </c>
      <c r="E330" s="128" t="str">
        <f>IF(OR(S330&lt;&gt;"",T330&lt;&gt;"",U330&lt;&gt;"",Z330&lt;&gt;""),"Check - see columns S-Z for info","")</f>
        <v/>
      </c>
      <c r="F330" s="343"/>
      <c r="G330" s="254">
        <f>P156+P157</f>
        <v>0</v>
      </c>
      <c r="H330" s="321"/>
      <c r="I330" s="321"/>
      <c r="J330" s="8"/>
      <c r="N330" s="104"/>
      <c r="O330" s="104"/>
      <c r="P330" s="104"/>
      <c r="Q330" s="104"/>
      <c r="R330" s="283" t="s">
        <v>383</v>
      </c>
      <c r="S330" s="143" t="str">
        <f t="shared" si="105"/>
        <v/>
      </c>
      <c r="T330" s="143" t="str">
        <f t="shared" si="106"/>
        <v/>
      </c>
      <c r="U330" s="143" t="str">
        <f t="shared" si="107"/>
        <v/>
      </c>
      <c r="V330" s="272">
        <f>VLOOKUP($B330,'Min max table'!$A$6:$C$228,2,FALSE)</f>
        <v>-300000</v>
      </c>
      <c r="W330" s="390">
        <f>VLOOKUP($B330,'Min max table'!$A$6:$C$228,3,FALSE)</f>
        <v>300000</v>
      </c>
      <c r="X330" s="398" t="s">
        <v>384</v>
      </c>
      <c r="Y330" s="280" t="str">
        <f>IF(Z330="","","Refer to "&amp;X330&amp;" in the validations table")</f>
        <v/>
      </c>
      <c r="Z330" s="143" t="str">
        <f>IF(AND(ISBLANK('Validations table'!E137),OR(G330&lt;0,H330&lt;0,I330&lt;0)), "Provide a brief explanation of your forecast overdraft and your plans to eliminate it.","")</f>
        <v/>
      </c>
    </row>
    <row r="331" spans="1:26" ht="75" customHeight="1" x14ac:dyDescent="0.35">
      <c r="A331" s="148" t="s">
        <v>385</v>
      </c>
      <c r="B331" s="139">
        <v>9000</v>
      </c>
      <c r="C331" s="131" t="s">
        <v>16</v>
      </c>
      <c r="D331" s="315"/>
      <c r="E331" s="128" t="str">
        <f>IF(OR(S331&lt;&gt;"",T331&lt;&gt;"",U331&lt;&gt;"",Z331&lt;&gt;""),"Check - see columns S-Z for info","")</f>
        <v/>
      </c>
      <c r="F331" s="343"/>
      <c r="G331" s="254">
        <f>Q11</f>
        <v>0</v>
      </c>
      <c r="H331" s="321"/>
      <c r="I331" s="321"/>
      <c r="J331" s="8"/>
      <c r="N331" s="104"/>
      <c r="O331" s="104"/>
      <c r="P331" s="104"/>
      <c r="Q331" s="104"/>
      <c r="R331" s="283"/>
      <c r="S331" s="143" t="str">
        <f t="shared" ref="S331" si="108">IF(OR(G331-ROUND(G331,)&lt;&gt;0,H331-ROUND(H331,)&lt;&gt;0,I331-ROUND(I331,)&lt;&gt;0),"No decimal places, letters &amp; odd characters allowed","")</f>
        <v/>
      </c>
      <c r="T331" s="143" t="str">
        <f t="shared" ref="T331" si="109">IF(OR(G331&lt;V331,H331&lt;V331,I331&lt;V331),"input value is below the minimum value allowed","")</f>
        <v/>
      </c>
      <c r="U331" s="143" t="str">
        <f t="shared" ref="U331" si="110">IF(OR(G331&gt;W331,H331&gt;W331,I331&gt;W331),"Input value is above the maximum value allowed","")</f>
        <v/>
      </c>
      <c r="V331" s="390">
        <f>VLOOKUP($B331,'Min max table'!$A$6:$C$228,2,FALSE)</f>
        <v>0</v>
      </c>
      <c r="W331" s="390">
        <f>VLOOKUP($B331,'Min max table'!$A$6:$C$228,3,FALSE)</f>
        <v>999999</v>
      </c>
      <c r="X331" s="398" t="s">
        <v>386</v>
      </c>
      <c r="Y331" s="280" t="str">
        <f>IF(Z331="","","Refer to "&amp;X331&amp;" in the validations table")</f>
        <v/>
      </c>
      <c r="Z331" s="143" t="str">
        <f>IF(AND(ISBLANK('Validations table'!E142),OR(G331&lt;&gt;0,H331&lt;&gt;0,I331&lt;&gt;0)),"Check that you've entered estimated pupil numbers for every year and they haven't been rounded. Provide a brief summary of your assumptions to explain any significant movement between the years.","")</f>
        <v/>
      </c>
    </row>
    <row r="332" spans="1:26" ht="90" customHeight="1" x14ac:dyDescent="0.6">
      <c r="A332" s="22" t="s">
        <v>387</v>
      </c>
      <c r="B332" s="604" t="s">
        <v>391</v>
      </c>
      <c r="C332" s="77"/>
      <c r="D332" s="318"/>
      <c r="E332" s="78"/>
      <c r="I332" s="79"/>
      <c r="J332" s="79"/>
      <c r="K332" s="79"/>
      <c r="L332" s="79"/>
      <c r="N332" s="79"/>
      <c r="O332" s="81"/>
      <c r="P332" s="81"/>
      <c r="Q332" s="81"/>
      <c r="R332" s="8"/>
      <c r="S332" s="189"/>
      <c r="T332" s="73"/>
      <c r="U332" s="73"/>
      <c r="V332" s="75"/>
      <c r="W332" s="75"/>
      <c r="X332" s="82"/>
      <c r="Y332" s="353"/>
      <c r="Z332" s="70"/>
    </row>
    <row r="333" spans="1:26" ht="18.649999999999999" customHeight="1" x14ac:dyDescent="0.35">
      <c r="A333" s="251" t="s">
        <v>1680</v>
      </c>
      <c r="B333" s="77"/>
      <c r="C333" s="77"/>
      <c r="D333" s="318"/>
      <c r="E333" s="78"/>
      <c r="F333" s="59"/>
      <c r="G333" s="20"/>
      <c r="H333" s="57"/>
      <c r="I333" s="57"/>
      <c r="K333" s="10"/>
      <c r="R333" s="8"/>
      <c r="S333" s="12"/>
      <c r="T333" s="8"/>
      <c r="V333" s="13"/>
      <c r="X333" s="8"/>
      <c r="Y333" s="341"/>
    </row>
    <row r="334" spans="1:26" ht="46.5" x14ac:dyDescent="0.35">
      <c r="A334" s="29" t="s">
        <v>113</v>
      </c>
      <c r="B334" s="113" t="s">
        <v>92</v>
      </c>
      <c r="C334" s="113" t="s">
        <v>93</v>
      </c>
      <c r="D334" s="177" t="s">
        <v>94</v>
      </c>
      <c r="E334" s="114" t="s">
        <v>95</v>
      </c>
      <c r="F334" s="39"/>
      <c r="G334" s="221" t="str">
        <f>RIGHT('Version control'!$A$1,4)&amp;"/"&amp;RIGHT('Version control'!$A$1,4)-2000+1&amp;   "                £'000"</f>
        <v>2026/27                £'000</v>
      </c>
      <c r="H334" s="221" t="str">
        <f>RIGHT('Version control'!$A$1,4)+1&amp;"/"&amp;RIGHT('Version control'!$A$1,4)-2000+2&amp;   "                £'000"</f>
        <v>2027/28                £'000</v>
      </c>
      <c r="I334" s="221" t="str">
        <f>RIGHT('Version control'!$A$1,4)+2&amp;"/"&amp;RIGHT('Version control'!$A$1,4)-2000+3&amp;   "                £'000"</f>
        <v>2028/29                £'000</v>
      </c>
      <c r="J334" s="342"/>
      <c r="M334" s="31"/>
      <c r="N334" s="104"/>
      <c r="O334" s="104"/>
      <c r="P334" s="104"/>
      <c r="Q334" s="104"/>
      <c r="R334" s="179" t="s">
        <v>114</v>
      </c>
      <c r="S334" s="399" t="s">
        <v>97</v>
      </c>
      <c r="T334" s="177" t="s">
        <v>98</v>
      </c>
      <c r="U334" s="177" t="s">
        <v>99</v>
      </c>
      <c r="V334" s="178" t="s">
        <v>100</v>
      </c>
      <c r="W334" s="178" t="s">
        <v>101</v>
      </c>
      <c r="X334" s="177" t="s">
        <v>102</v>
      </c>
      <c r="Y334" s="179" t="s">
        <v>103</v>
      </c>
      <c r="Z334" s="179" t="s">
        <v>104</v>
      </c>
    </row>
    <row r="335" spans="1:26" ht="52.5" customHeight="1" x14ac:dyDescent="0.35">
      <c r="A335" s="148" t="str">
        <f>"Revenue reserve opening balance b/f 1 Sep "&amp;RIGHT('Version control'!$A$1,4)&amp;"/"&amp;RIGHT('Version control'!$A$1,4)+1&amp;"/"&amp;RIGHT('Version control'!$A$1,4)+2</f>
        <v>Revenue reserve opening balance b/f 1 Sep 2026/2027/2028</v>
      </c>
      <c r="B335" s="139">
        <v>4100</v>
      </c>
      <c r="C335" s="131" t="s">
        <v>16</v>
      </c>
      <c r="D335" s="347" t="s">
        <v>1498</v>
      </c>
      <c r="E335" s="128" t="str">
        <f>IF(OR(S335&lt;&gt;"",T335&lt;&gt;"",U335&lt;&gt;"",Z335&lt;&gt;""),"Check - see columns S-Z for info","")</f>
        <v/>
      </c>
      <c r="F335" s="343"/>
      <c r="G335" s="254">
        <f>O84</f>
        <v>0</v>
      </c>
      <c r="H335" s="254">
        <f>G336</f>
        <v>0</v>
      </c>
      <c r="I335" s="254">
        <f>H336</f>
        <v>0</v>
      </c>
      <c r="J335" s="342"/>
      <c r="N335" s="104"/>
      <c r="O335" s="104"/>
      <c r="P335" s="104"/>
      <c r="Q335" s="104"/>
      <c r="R335" s="181" t="s">
        <v>388</v>
      </c>
      <c r="S335" s="143"/>
      <c r="T335" s="143"/>
      <c r="U335" s="143"/>
      <c r="V335" s="129" t="s">
        <v>16</v>
      </c>
      <c r="W335" s="129" t="s">
        <v>16</v>
      </c>
      <c r="X335" s="129" t="s">
        <v>16</v>
      </c>
      <c r="Y335" s="129" t="s">
        <v>16</v>
      </c>
      <c r="Z335" s="129"/>
    </row>
    <row r="336" spans="1:26" ht="75" customHeight="1" x14ac:dyDescent="0.35">
      <c r="A336" s="148" t="str">
        <f>"Revenue Reserve balance c/f 31 Aug "&amp;RIGHT('Version control'!$A$1,4)+1&amp;"/"&amp;RIGHT('Version control'!$A$1,4)+2&amp;"/"&amp;RIGHT('Version control'!$A$1,4)+3</f>
        <v>Revenue Reserve balance c/f 31 Aug 2027/2028/2029</v>
      </c>
      <c r="B336" s="139">
        <v>4300</v>
      </c>
      <c r="C336" s="131" t="s">
        <v>16</v>
      </c>
      <c r="D336" s="347" t="s">
        <v>1498</v>
      </c>
      <c r="E336" s="128" t="str">
        <f>IF(OR(S336&lt;&gt;"",T336&lt;&gt;"",U336&lt;&gt;"",Z336&lt;&gt;""),"Check - see columns S-Z for info","")</f>
        <v/>
      </c>
      <c r="F336" s="343"/>
      <c r="G336" s="254">
        <f>P88</f>
        <v>0</v>
      </c>
      <c r="H336" s="254">
        <f>H335+H312</f>
        <v>0</v>
      </c>
      <c r="I336" s="254">
        <f>I335+I312</f>
        <v>0</v>
      </c>
      <c r="J336" s="342"/>
      <c r="N336" s="104"/>
      <c r="O336" s="104"/>
      <c r="P336" s="104"/>
      <c r="Q336" s="104"/>
      <c r="R336" s="181" t="s">
        <v>389</v>
      </c>
      <c r="S336" s="143"/>
      <c r="T336" s="143"/>
      <c r="U336" s="143"/>
      <c r="V336" s="129" t="s">
        <v>16</v>
      </c>
      <c r="W336" s="129" t="s">
        <v>16</v>
      </c>
      <c r="X336" s="334" t="s">
        <v>390</v>
      </c>
      <c r="Y336" s="280" t="str">
        <f>IF(Z336="","","Refer to "&amp;X336&amp;" in the validations table")</f>
        <v/>
      </c>
      <c r="Z336" s="129" t="str">
        <f>IF(AND(ISBLANK('Validations table'!E135)*OR(G336&lt;0,H336&lt;0,I336&lt;0)),"You've forecast a net closing deficit in at least one of the 3 forecast years. Tell us about your plans to eliminate this deficit.","")</f>
        <v/>
      </c>
    </row>
    <row r="337" spans="1:26" ht="54" customHeight="1" x14ac:dyDescent="0.4">
      <c r="A337" s="148" t="str">
        <f>"Trust reserves balances at 31 Aug "&amp;RIGHT('Version control'!$A$1,4)+1&amp;"/"&amp;RIGHT('Version control'!$A$1,4)+2&amp;"/"&amp;RIGHT('Version control'!$A$1,4)+3</f>
        <v>Trust reserves balances at 31 Aug 2027/2028/2029</v>
      </c>
      <c r="B337" s="202">
        <v>8000</v>
      </c>
      <c r="C337" s="131" t="s">
        <v>16</v>
      </c>
      <c r="D337" s="347" t="s">
        <v>1498</v>
      </c>
      <c r="E337" s="128" t="str">
        <f>IF(OR(S337&lt;&gt;"",T337&lt;&gt;"",U337&lt;&gt;"",Z337&lt;&gt;""),"Check - see columns S-Z for info","")</f>
        <v/>
      </c>
      <c r="F337" s="343"/>
      <c r="G337" s="254">
        <f>P196</f>
        <v>0</v>
      </c>
      <c r="H337" s="321"/>
      <c r="I337" s="321"/>
      <c r="J337" s="342"/>
      <c r="N337" s="108"/>
      <c r="O337" s="109"/>
      <c r="P337" s="109"/>
      <c r="Q337" s="109"/>
      <c r="R337" s="181" t="s">
        <v>392</v>
      </c>
      <c r="S337" s="143" t="str">
        <f t="shared" ref="S337" si="111">IF(OR(G337-ROUND(G337,)&lt;&gt;0,H337-ROUND(H337,)&lt;&gt;0,I337-ROUND(I337,)&lt;&gt;0),"No decimal places, letters &amp; odd characters allowed","")</f>
        <v/>
      </c>
      <c r="T337" s="143" t="str">
        <f t="shared" ref="T337" si="112">IF(OR(G337&lt;V337,H337&lt;V337,I337&lt;V337),"input value is below the minimum value allowed","")</f>
        <v/>
      </c>
      <c r="U337" s="143" t="str">
        <f t="shared" ref="U337" si="113">IF(OR(G337&gt;W337,H337&gt;W337,I337&gt;W337),"Input value is above the maximum value allowed","")</f>
        <v/>
      </c>
      <c r="V337" s="272">
        <f>VLOOKUP($B337,'Min max table'!$A$6:$C$228,2,FALSE)</f>
        <v>-999999</v>
      </c>
      <c r="W337" s="390">
        <f>VLOOKUP($B337,'Min max table'!$A$6:$C$228,3,FALSE)</f>
        <v>999999</v>
      </c>
      <c r="X337" s="400" t="s">
        <v>393</v>
      </c>
      <c r="Y337" s="280" t="str">
        <f>IF(Z337="","","Refer to "&amp;X337&amp;" in the validations table")</f>
        <v/>
      </c>
      <c r="Z337" s="129" t="str">
        <f>IF(AND(ISBLANK('Validations table'!E140),OR(G337&lt;0,H337&lt;0,I337&lt;0)), "You've stated that there may be a deficit on your reserves in at least one of the future years. Tell us about the circumstances and actions planned to eliminate the deficit.","")</f>
        <v/>
      </c>
    </row>
    <row r="338" spans="1:26" ht="75" customHeight="1" x14ac:dyDescent="0.35">
      <c r="A338" s="252" t="s">
        <v>394</v>
      </c>
      <c r="B338" s="314" t="s">
        <v>395</v>
      </c>
      <c r="C338" s="314" t="s">
        <v>16</v>
      </c>
      <c r="D338" s="338" t="s">
        <v>16</v>
      </c>
      <c r="E338" s="128" t="str">
        <f>IF(OR(S338&lt;&gt;"",T338&lt;&gt;"",U338&lt;&gt;"",Z338&lt;&gt;""),"Check - see columns S-Z for info","")</f>
        <v/>
      </c>
      <c r="F338" s="343"/>
      <c r="G338" s="307">
        <f>G337*1000</f>
        <v>0</v>
      </c>
      <c r="H338" s="307">
        <f>H337*1000</f>
        <v>0</v>
      </c>
      <c r="I338" s="307">
        <f>I337*1000</f>
        <v>0</v>
      </c>
      <c r="J338" s="342"/>
      <c r="N338" s="112"/>
      <c r="O338" s="31"/>
      <c r="P338" s="31"/>
      <c r="Q338" s="31"/>
      <c r="R338" s="181"/>
      <c r="S338" s="143"/>
      <c r="T338" s="143"/>
      <c r="U338" s="143"/>
      <c r="V338" s="129" t="s">
        <v>16</v>
      </c>
      <c r="W338" s="129" t="s">
        <v>16</v>
      </c>
      <c r="X338" s="400" t="s">
        <v>396</v>
      </c>
      <c r="Y338" s="280" t="str">
        <f>IF(Z338="","","Refer to "&amp;X338&amp;" in the validations table")</f>
        <v/>
      </c>
      <c r="Z338" s="129" t="str">
        <f>IFERROR(IF(OR(G337=0,H337=0),"",IF(OR((H337-G337)/G337&lt;-0.1,(I337-H337)/H337&lt;-0.1),IF(ISBLANK('Validations table'!E141),"Your reserve balances are depleting at greater than 10% between one or both years. Provide additional reassurance how this will be addressed.",""),"")),"")</f>
        <v/>
      </c>
    </row>
    <row r="339" spans="1:26" ht="45" customHeight="1" x14ac:dyDescent="0.35">
      <c r="A339" s="433" t="s">
        <v>0</v>
      </c>
      <c r="B339" s="341"/>
      <c r="C339" s="341"/>
      <c r="D339" s="341"/>
      <c r="E339" s="343"/>
      <c r="F339" s="343"/>
      <c r="G339" s="343"/>
      <c r="H339" s="343"/>
      <c r="I339" s="343"/>
      <c r="J339" s="342"/>
      <c r="R339" s="8"/>
    </row>
  </sheetData>
  <sheetProtection algorithmName="SHA-512" hashValue="HyJhyWVoM4CnAVnlhixzRdd5ZM5m0qQnbkMm5dW2lhhOuLyzYNA0EvrSg2FYtDfNuOPhOHnRHPuUV5R3ZWsj1w==" saltValue="GN7Or5WkpN6HkTrWypSjxw==" spinCount="100000" sheet="1" objects="1" scenarios="1"/>
  <mergeCells count="12">
    <mergeCell ref="G46:G47"/>
    <mergeCell ref="H46:H47"/>
    <mergeCell ref="I46:I47"/>
    <mergeCell ref="J46:J47"/>
    <mergeCell ref="F46:F47"/>
    <mergeCell ref="P46:P47"/>
    <mergeCell ref="Q46:Q47"/>
    <mergeCell ref="K46:K47"/>
    <mergeCell ref="L46:L47"/>
    <mergeCell ref="M46:M47"/>
    <mergeCell ref="N46:N47"/>
    <mergeCell ref="O46:O47"/>
  </mergeCells>
  <conditionalFormatting sqref="A205:A294">
    <cfRule type="cellIs" dxfId="3946" priority="4179" operator="lessThan">
      <formula>0</formula>
    </cfRule>
    <cfRule type="cellIs" dxfId="3945" priority="4176" operator="greaterThan">
      <formula>0</formula>
    </cfRule>
    <cfRule type="cellIs" dxfId="3944" priority="4178" operator="lessThan">
      <formula>0</formula>
    </cfRule>
    <cfRule type="cellIs" dxfId="3943" priority="4177" operator="lessThan">
      <formula>0</formula>
    </cfRule>
    <cfRule type="cellIs" dxfId="3942" priority="4175" operator="greaterThan">
      <formula>0</formula>
    </cfRule>
    <cfRule type="cellIs" dxfId="3941" priority="4174" operator="lessThan">
      <formula>0</formula>
    </cfRule>
  </conditionalFormatting>
  <conditionalFormatting sqref="B5">
    <cfRule type="cellIs" dxfId="3940" priority="5521" operator="lessThan">
      <formula>0</formula>
    </cfRule>
    <cfRule type="cellIs" priority="5522" operator="lessThan">
      <formula>0</formula>
    </cfRule>
    <cfRule type="cellIs" dxfId="3939" priority="5517" operator="greaterThan">
      <formula>0</formula>
    </cfRule>
    <cfRule type="cellIs" dxfId="3938" priority="5518" operator="lessThan">
      <formula>0</formula>
    </cfRule>
    <cfRule type="cellIs" dxfId="3937" priority="5519" operator="equal">
      <formula>0</formula>
    </cfRule>
    <cfRule type="cellIs" dxfId="3936" priority="5520" operator="greaterThan">
      <formula>0</formula>
    </cfRule>
  </conditionalFormatting>
  <conditionalFormatting sqref="B197">
    <cfRule type="cellIs" dxfId="3935" priority="21176" operator="equal">
      <formula>"Check Validations"</formula>
    </cfRule>
    <cfRule type="cellIs" dxfId="3934" priority="21173" operator="equal">
      <formula>"Check"</formula>
    </cfRule>
    <cfRule type="cellIs" dxfId="3933" priority="21175" operator="equal">
      <formula>"Check Validation"</formula>
    </cfRule>
  </conditionalFormatting>
  <conditionalFormatting sqref="B89:D90">
    <cfRule type="containsText" dxfId="3932" priority="7469" operator="containsText" text="Check">
      <formula>NOT(ISERROR(SEARCH("Check",B89)))</formula>
    </cfRule>
    <cfRule type="cellIs" dxfId="3931" priority="7470" operator="equal">
      <formula>"Check"</formula>
    </cfRule>
    <cfRule type="cellIs" dxfId="3930" priority="7471" operator="equal">
      <formula>"Check Validation"</formula>
    </cfRule>
    <cfRule type="cellIs" dxfId="3929" priority="7491" operator="equal">
      <formula>"Check"</formula>
    </cfRule>
    <cfRule type="containsText" dxfId="3928" priority="7490" operator="containsText" text="Check">
      <formula>NOT(ISERROR(SEARCH("Check",B89)))</formula>
    </cfRule>
    <cfRule type="containsText" dxfId="3927" priority="7489" operator="containsText" text="check - see columns S-Z for info">
      <formula>NOT(ISERROR(SEARCH("check - see columns S-Z for info",B89)))</formula>
    </cfRule>
    <cfRule type="containsText" dxfId="3926" priority="7488" operator="containsText" text="check - see columns S-Z for info">
      <formula>NOT(ISERROR(SEARCH("check - see columns S-Z for info",B89)))</formula>
    </cfRule>
    <cfRule type="cellIs" dxfId="3925" priority="7497" operator="equal">
      <formula>"Check Validations"</formula>
    </cfRule>
    <cfRule type="containsBlanks" dxfId="3924" priority="7487">
      <formula>LEN(TRIM(B89))=0</formula>
    </cfRule>
    <cfRule type="cellIs" dxfId="3923" priority="7476" operator="equal">
      <formula>"Check Validations"</formula>
    </cfRule>
    <cfRule type="containsText" dxfId="3922" priority="7464" operator="containsText" text="check - see columns S-Z for info">
      <formula>NOT(ISERROR(SEARCH("check - see columns S-Z for info",B89)))</formula>
    </cfRule>
    <cfRule type="containsText" priority="7465" operator="containsText" text="check - see columns S-Z for info">
      <formula>NOT(ISERROR(SEARCH("check - see columns S-Z for info",B89)))</formula>
    </cfRule>
    <cfRule type="containsBlanks" dxfId="3921" priority="7466">
      <formula>LEN(TRIM(B89))=0</formula>
    </cfRule>
    <cfRule type="containsText" dxfId="3920" priority="7467" operator="containsText" text="check - see columns S-Z for info">
      <formula>NOT(ISERROR(SEARCH("check - see columns S-Z for info",B89)))</formula>
    </cfRule>
    <cfRule type="containsText" dxfId="3919" priority="7468" operator="containsText" text="check - see columns S-Z for info">
      <formula>NOT(ISERROR(SEARCH("check - see columns S-Z for info",B89)))</formula>
    </cfRule>
    <cfRule type="cellIs" dxfId="3918" priority="7492" operator="equal">
      <formula>"Check Validation"</formula>
    </cfRule>
  </conditionalFormatting>
  <conditionalFormatting sqref="B338:D338">
    <cfRule type="containsText" dxfId="3917" priority="8897" operator="containsText" text="Check">
      <formula>NOT(ISERROR(SEARCH("Check",B338)))</formula>
    </cfRule>
    <cfRule type="containsText" dxfId="3916" priority="8896" operator="containsText" text="check - see columns S-Z for info">
      <formula>NOT(ISERROR(SEARCH("check - see columns S-Z for info",B338)))</formula>
    </cfRule>
    <cfRule type="containsText" dxfId="3915" priority="8895" operator="containsText" text="check - see columns S-Z for info">
      <formula>NOT(ISERROR(SEARCH("check - see columns S-Z for info",B338)))</formula>
    </cfRule>
    <cfRule type="containsBlanks" dxfId="3914" priority="8894">
      <formula>LEN(TRIM(B338))=0</formula>
    </cfRule>
    <cfRule type="containsText" priority="8893" operator="containsText" text="check - see columns S-Z for info">
      <formula>NOT(ISERROR(SEARCH("check - see columns S-Z for info",B338)))</formula>
    </cfRule>
    <cfRule type="containsText" dxfId="3913" priority="8892" operator="containsText" text="check - see columns S-Z for info">
      <formula>NOT(ISERROR(SEARCH("check - see columns S-Z for info",B338)))</formula>
    </cfRule>
    <cfRule type="cellIs" dxfId="3912" priority="8920" operator="equal">
      <formula>"Check Validation"</formula>
    </cfRule>
    <cfRule type="cellIs" dxfId="3911" priority="8898" operator="equal">
      <formula>"Check"</formula>
    </cfRule>
    <cfRule type="cellIs" dxfId="3910" priority="8899" operator="equal">
      <formula>"Check Validation"</formula>
    </cfRule>
    <cfRule type="cellIs" dxfId="3909" priority="8904" operator="equal">
      <formula>"Check Validations"</formula>
    </cfRule>
    <cfRule type="containsBlanks" dxfId="3908" priority="8915">
      <formula>LEN(TRIM(B338))=0</formula>
    </cfRule>
    <cfRule type="containsText" dxfId="3907" priority="8916" operator="containsText" text="check - see columns S-Z for info">
      <formula>NOT(ISERROR(SEARCH("check - see columns S-Z for info",B338)))</formula>
    </cfRule>
    <cfRule type="containsText" dxfId="3906" priority="8917" operator="containsText" text="check - see columns S-Z for info">
      <formula>NOT(ISERROR(SEARCH("check - see columns S-Z for info",B338)))</formula>
    </cfRule>
    <cfRule type="containsText" dxfId="3905" priority="8918" operator="containsText" text="Check">
      <formula>NOT(ISERROR(SEARCH("Check",B338)))</formula>
    </cfRule>
    <cfRule type="cellIs" dxfId="3904" priority="8919" operator="equal">
      <formula>"Check"</formula>
    </cfRule>
    <cfRule type="cellIs" dxfId="3903" priority="8925" operator="equal">
      <formula>"Check Validations"</formula>
    </cfRule>
  </conditionalFormatting>
  <conditionalFormatting sqref="C85:D85">
    <cfRule type="containsText" dxfId="3902" priority="7444" operator="containsText" text="check - see columns S-Z for info">
      <formula>NOT(ISERROR(SEARCH("check - see columns S-Z for info",C85)))</formula>
    </cfRule>
    <cfRule type="cellIs" dxfId="3901" priority="7453" operator="equal">
      <formula>"Check Validations"</formula>
    </cfRule>
    <cfRule type="cellIs" dxfId="3900" priority="7448" operator="equal">
      <formula>"Check Validation"</formula>
    </cfRule>
    <cfRule type="containsText" dxfId="3899" priority="7423" operator="containsText" text="check - see columns S-Z for info">
      <formula>NOT(ISERROR(SEARCH("check - see columns S-Z for info",C85)))</formula>
    </cfRule>
    <cfRule type="cellIs" dxfId="3898" priority="7447" operator="equal">
      <formula>"Check"</formula>
    </cfRule>
    <cfRule type="containsText" dxfId="3897" priority="7446" operator="containsText" text="Check">
      <formula>NOT(ISERROR(SEARCH("Check",C85)))</formula>
    </cfRule>
    <cfRule type="containsText" dxfId="3896" priority="7420" operator="containsText" text="check - see columns S-Z for info">
      <formula>NOT(ISERROR(SEARCH("check - see columns S-Z for info",C85)))</formula>
    </cfRule>
    <cfRule type="containsText" priority="7421" operator="containsText" text="check - see columns S-Z for info">
      <formula>NOT(ISERROR(SEARCH("check - see columns S-Z for info",C85)))</formula>
    </cfRule>
    <cfRule type="containsBlanks" dxfId="3895" priority="7422">
      <formula>LEN(TRIM(C85))=0</formula>
    </cfRule>
    <cfRule type="containsText" dxfId="3894" priority="7424" operator="containsText" text="check - see columns S-Z for info">
      <formula>NOT(ISERROR(SEARCH("check - see columns S-Z for info",C85)))</formula>
    </cfRule>
    <cfRule type="containsText" dxfId="3893" priority="7425" operator="containsText" text="Check">
      <formula>NOT(ISERROR(SEARCH("Check",C85)))</formula>
    </cfRule>
    <cfRule type="cellIs" dxfId="3892" priority="7426" operator="equal">
      <formula>"Check"</formula>
    </cfRule>
    <cfRule type="cellIs" dxfId="3891" priority="7427" operator="equal">
      <formula>"Check Validation"</formula>
    </cfRule>
    <cfRule type="containsText" dxfId="3890" priority="7445" operator="containsText" text="check - see columns S-Z for info">
      <formula>NOT(ISERROR(SEARCH("check - see columns S-Z for info",C85)))</formula>
    </cfRule>
    <cfRule type="cellIs" dxfId="3889" priority="7432" operator="equal">
      <formula>"Check Validations"</formula>
    </cfRule>
    <cfRule type="containsBlanks" dxfId="3888" priority="7443">
      <formula>LEN(TRIM(C85))=0</formula>
    </cfRule>
  </conditionalFormatting>
  <conditionalFormatting sqref="D29">
    <cfRule type="containsText" dxfId="3887" priority="5515" operator="containsText" text="i">
      <formula>NOT(ISERROR(SEARCH("i",D29)))</formula>
    </cfRule>
  </conditionalFormatting>
  <conditionalFormatting sqref="D46:D47 E163:H163 E164:E165">
    <cfRule type="containsText" dxfId="3886" priority="21172" operator="containsText" text="Check">
      <formula>NOT(ISERROR(SEARCH("Check",D46)))</formula>
    </cfRule>
  </conditionalFormatting>
  <conditionalFormatting sqref="D54:J54">
    <cfRule type="containsText" dxfId="3885" priority="20801" operator="containsText" text="Check">
      <formula>NOT(ISERROR(SEARCH("Check",D54)))</formula>
    </cfRule>
    <cfRule type="cellIs" dxfId="3884" priority="20803" operator="equal">
      <formula>"Check"</formula>
    </cfRule>
    <cfRule type="cellIs" dxfId="3883" priority="20804" operator="equal">
      <formula>"Check Validation"</formula>
    </cfRule>
    <cfRule type="cellIs" dxfId="3882" priority="20805" operator="equal">
      <formula>"Check Validations"</formula>
    </cfRule>
  </conditionalFormatting>
  <conditionalFormatting sqref="D6:Q6">
    <cfRule type="cellIs" dxfId="3881" priority="14729" operator="equal">
      <formula>"Check Validations"</formula>
    </cfRule>
    <cfRule type="cellIs" dxfId="3880" priority="14730" operator="equal">
      <formula>"Check"</formula>
    </cfRule>
    <cfRule type="cellIs" dxfId="3879" priority="14728" operator="equal">
      <formula>"Check Validation"</formula>
    </cfRule>
  </conditionalFormatting>
  <conditionalFormatting sqref="D8:R8 D9:E9 G9:R9 F9:F13 F14:R14 F15 F18:F28 J18:J29 D46:D47 E163:H163 F312">
    <cfRule type="cellIs" dxfId="3878" priority="21551" operator="equal">
      <formula>"Check"</formula>
    </cfRule>
  </conditionalFormatting>
  <conditionalFormatting sqref="D8:R8 D9:E9 G9:R9 F9:F13 F14:R14 F15 F18:F28 J18:J29 E46:Q46 D46:D47 E47 E79:R79 F89:J90 E91:J92 E93:Q93 E94:J94 E101:J101 G119:Q119 F120:R120 E136:J137 E152:J153 E154:R154 E163:H163 E192:J192 E194:J194 J200 F200:G202 E295:H296 F312 E317:H317 E325:H325 E332:H332">
    <cfRule type="cellIs" dxfId="3877" priority="21537" operator="equal">
      <formula>"Check Validation"</formula>
    </cfRule>
  </conditionalFormatting>
  <conditionalFormatting sqref="D8:R8 D9:E9 G9:R9 F9:F13 F14:R14 F15 F18:F28 J18:J29 F31:F37 J32:J37 E46:Q46 D46:D47 E47 E79:R79 F80:F81 F83:F88 F89:J90 E91:J92 E93:Q93 E94:J94 E101:J101 G119:Q119 F120:R120 E136:J137 F138:F139 E152:J153 E154:R154 E163:H163 F166:F167 E170:H170 F173:F174 E192:J192 E194:J194 J200 F200:G202 E295:H296 F312 E317:H317 E325:H325 E332:H332">
    <cfRule type="cellIs" dxfId="3876" priority="21538" operator="equal">
      <formula>"Check Validations"</formula>
    </cfRule>
  </conditionalFormatting>
  <conditionalFormatting sqref="E11:E12">
    <cfRule type="containsText" dxfId="3875" priority="2054" operator="containsText" text="Check">
      <formula>NOT(ISERROR(SEARCH("Check",E11)))</formula>
    </cfRule>
    <cfRule type="containsText" priority="2049" operator="containsText" text="check - see columns S-Z for info">
      <formula>NOT(ISERROR(SEARCH("check - see columns S-Z for info",E11)))</formula>
    </cfRule>
    <cfRule type="containsText" dxfId="3874" priority="2050" operator="containsText" text="check - see columns S-Z for info">
      <formula>NOT(ISERROR(SEARCH("check - see columns S-Z for info",E11)))</formula>
    </cfRule>
    <cfRule type="containsText" dxfId="3873" priority="2052" operator="containsText" text="check - see columns S-Z for info">
      <formula>NOT(ISERROR(SEARCH("check - see columns S-Z for info",E11)))</formula>
    </cfRule>
    <cfRule type="containsText" dxfId="3872" priority="2053" operator="containsText" text="check - see columns S-Z for info">
      <formula>NOT(ISERROR(SEARCH("check - see columns S-Z for info",E11)))</formula>
    </cfRule>
    <cfRule type="containsBlanks" dxfId="3871" priority="2051">
      <formula>LEN(TRIM(E11))=0</formula>
    </cfRule>
    <cfRule type="containsText" dxfId="3870" priority="2048" operator="containsText" text="check - see columns S-Z for info">
      <formula>NOT(ISERROR(SEARCH("check - see columns S-Z for info",E11)))</formula>
    </cfRule>
    <cfRule type="cellIs" dxfId="3869" priority="2057" operator="equal">
      <formula>"Check Validations"</formula>
    </cfRule>
    <cfRule type="cellIs" dxfId="3868" priority="2056" operator="equal">
      <formula>"Check Validation"</formula>
    </cfRule>
    <cfRule type="cellIs" dxfId="3867" priority="2055" operator="equal">
      <formula>"Check"</formula>
    </cfRule>
  </conditionalFormatting>
  <conditionalFormatting sqref="E12">
    <cfRule type="containsText" dxfId="3866" priority="2043" operator="containsText" text="Check - see columns M-T for info">
      <formula>NOT(ISERROR(SEARCH("Check - see columns M-T for info",E12)))</formula>
    </cfRule>
    <cfRule type="containsText" dxfId="3865" priority="2047" operator="containsText" text="check - see columns S-Z for info. Only revisit after you have input GAG funding on line 102">
      <formula>NOT(ISERROR(SEARCH("check - see columns S-Z for info. Only revisit after you have input GAG funding on line 102",E12)))</formula>
    </cfRule>
    <cfRule type="containsText" dxfId="3864" priority="2046" operator="containsText" text="check - see columns M-T for info">
      <formula>NOT(ISERROR(SEARCH("check - see columns M-T for info",E12)))</formula>
    </cfRule>
    <cfRule type="containsText" dxfId="3863" priority="2045" operator="containsText" text="check">
      <formula>NOT(ISERROR(SEARCH("check",E12)))</formula>
    </cfRule>
    <cfRule type="containsText" dxfId="3862" priority="2044" operator="containsText" text="check">
      <formula>NOT(ISERROR(SEARCH("check",E12)))</formula>
    </cfRule>
  </conditionalFormatting>
  <conditionalFormatting sqref="E18:E29">
    <cfRule type="containsText" dxfId="3861" priority="14113" operator="containsText" text="check - see columns S-Z for info">
      <formula>NOT(ISERROR(SEARCH("check - see columns S-Z for info",E18)))</formula>
    </cfRule>
    <cfRule type="containsText" dxfId="3860" priority="10854" operator="containsText" text="check - see columns S-Z for info">
      <formula>NOT(ISERROR(SEARCH("check - see columns S-Z for info",E18)))</formula>
    </cfRule>
    <cfRule type="containsText" dxfId="3859" priority="14114" operator="containsText" text="Check">
      <formula>NOT(ISERROR(SEARCH("Check",E18)))</formula>
    </cfRule>
    <cfRule type="cellIs" dxfId="3858" priority="14115" operator="equal">
      <formula>"Check"</formula>
    </cfRule>
    <cfRule type="cellIs" dxfId="3857" priority="14116" operator="equal">
      <formula>"Check Validation"</formula>
    </cfRule>
    <cfRule type="cellIs" dxfId="3856" priority="14121" operator="equal">
      <formula>"Check Validations"</formula>
    </cfRule>
    <cfRule type="containsBlanks" dxfId="3855" priority="14111">
      <formula>LEN(TRIM(E18))=0</formula>
    </cfRule>
    <cfRule type="containsText" priority="10832" operator="containsText" text="check - see columns S-Z for info">
      <formula>NOT(ISERROR(SEARCH("check - see columns S-Z for info",E18)))</formula>
    </cfRule>
    <cfRule type="containsText" dxfId="3854" priority="14112" operator="containsText" text="check - see columns S-Z for info">
      <formula>NOT(ISERROR(SEARCH("check - see columns S-Z for info",E18)))</formula>
    </cfRule>
    <cfRule type="containsText" dxfId="3853" priority="5423" operator="containsText" text="check - see columns S-Z for info">
      <formula>NOT(ISERROR(SEARCH("check - see columns S-Z for info",E18)))</formula>
    </cfRule>
  </conditionalFormatting>
  <conditionalFormatting sqref="E20:E26">
    <cfRule type="cellIs" dxfId="3852" priority="14157" operator="equal">
      <formula>"Check"</formula>
    </cfRule>
    <cfRule type="containsText" dxfId="3851" priority="14155" operator="containsText" text="check - see columns S-Z for info">
      <formula>NOT(ISERROR(SEARCH("check - see columns S-Z for info",E20)))</formula>
    </cfRule>
    <cfRule type="cellIs" dxfId="3850" priority="14158" operator="equal">
      <formula>"Check Validation"</formula>
    </cfRule>
    <cfRule type="cellIs" dxfId="3849" priority="14163" operator="equal">
      <formula>"Check Validations"</formula>
    </cfRule>
    <cfRule type="containsText" dxfId="3848" priority="14156" operator="containsText" text="Check">
      <formula>NOT(ISERROR(SEARCH("Check",E20)))</formula>
    </cfRule>
  </conditionalFormatting>
  <conditionalFormatting sqref="E20:E29">
    <cfRule type="cellIs" dxfId="3847" priority="10838" operator="equal">
      <formula>"Check Validation"</formula>
    </cfRule>
    <cfRule type="cellIs" dxfId="3846" priority="10837" operator="equal">
      <formula>"Check"</formula>
    </cfRule>
    <cfRule type="containsText" dxfId="3845" priority="10836" operator="containsText" text="Check">
      <formula>NOT(ISERROR(SEARCH("Check",E20)))</formula>
    </cfRule>
    <cfRule type="containsBlanks" dxfId="3844" priority="10833">
      <formula>LEN(TRIM(E20))=0</formula>
    </cfRule>
    <cfRule type="containsText" dxfId="3843" priority="10831" operator="containsText" text="check - see columns S-Z for info">
      <formula>NOT(ISERROR(SEARCH("check - see columns S-Z for info",E20)))</formula>
    </cfRule>
    <cfRule type="containsText" dxfId="3842" priority="10835" operator="containsText" text="check - see columns S-Z for info">
      <formula>NOT(ISERROR(SEARCH("check - see columns S-Z for info",E20)))</formula>
    </cfRule>
    <cfRule type="cellIs" dxfId="3841" priority="10843" operator="equal">
      <formula>"Check Validations"</formula>
    </cfRule>
    <cfRule type="containsText" dxfId="3840" priority="10834" operator="containsText" text="check - see columns S-Z for info">
      <formula>NOT(ISERROR(SEARCH("check - see columns S-Z for info",E20)))</formula>
    </cfRule>
  </conditionalFormatting>
  <conditionalFormatting sqref="E28">
    <cfRule type="containsText" dxfId="3839" priority="14324" operator="containsText" text="Check">
      <formula>NOT(ISERROR(SEARCH("Check",E28)))</formula>
    </cfRule>
    <cfRule type="cellIs" dxfId="3838" priority="14331" operator="equal">
      <formula>"Check Validations"</formula>
    </cfRule>
    <cfRule type="cellIs" dxfId="3837" priority="14326" operator="equal">
      <formula>"Check Validation"</formula>
    </cfRule>
    <cfRule type="cellIs" dxfId="3836" priority="14325" operator="equal">
      <formula>"Check"</formula>
    </cfRule>
  </conditionalFormatting>
  <conditionalFormatting sqref="E28:E29">
    <cfRule type="containsText" dxfId="3835" priority="14322" operator="containsText" text="check - see columns S-Z for info">
      <formula>NOT(ISERROR(SEARCH("check - see columns S-Z for info",E28)))</formula>
    </cfRule>
    <cfRule type="containsBlanks" dxfId="3834" priority="14321">
      <formula>LEN(TRIM(E28))=0</formula>
    </cfRule>
    <cfRule type="containsText" dxfId="3833" priority="14323" operator="containsText" text="check - see columns S-Z for info">
      <formula>NOT(ISERROR(SEARCH("check - see columns S-Z for info",E28)))</formula>
    </cfRule>
  </conditionalFormatting>
  <conditionalFormatting sqref="E32:E37">
    <cfRule type="containsText" dxfId="3832" priority="5411" operator="containsText" text="check - see columns S-Z for info">
      <formula>NOT(ISERROR(SEARCH("check - see columns S-Z for info",E32)))</formula>
    </cfRule>
    <cfRule type="containsText" priority="5399" operator="containsText" text="check - see columns S-Z for info">
      <formula>NOT(ISERROR(SEARCH("check - see columns S-Z for info",E32)))</formula>
    </cfRule>
    <cfRule type="containsText" dxfId="3831" priority="5398" operator="containsText" text="check - see columns S-Z for info">
      <formula>NOT(ISERROR(SEARCH("check - see columns S-Z for info",E32)))</formula>
    </cfRule>
    <cfRule type="containsText" dxfId="3830" priority="5397" operator="containsText" text="check - see columns S-Z for info">
      <formula>NOT(ISERROR(SEARCH("check - see columns S-Z for info",E32)))</formula>
    </cfRule>
    <cfRule type="containsBlanks" dxfId="3829" priority="5416">
      <formula>LEN(TRIM(E32))=0</formula>
    </cfRule>
    <cfRule type="containsText" dxfId="3828" priority="5417" operator="containsText" text="check - see columns S-Z for info">
      <formula>NOT(ISERROR(SEARCH("check - see columns S-Z for info",E32)))</formula>
    </cfRule>
    <cfRule type="cellIs" dxfId="3827" priority="5421" operator="equal">
      <formula>"Check Validation"</formula>
    </cfRule>
    <cfRule type="containsText" dxfId="3826" priority="5418" operator="containsText" text="check - see columns S-Z for info">
      <formula>NOT(ISERROR(SEARCH("check - see columns S-Z for info",E32)))</formula>
    </cfRule>
    <cfRule type="containsBlanks" dxfId="3825" priority="5400">
      <formula>LEN(TRIM(E32))=0</formula>
    </cfRule>
    <cfRule type="containsText" dxfId="3824" priority="5402" operator="containsText" text="check - see columns S-Z for info">
      <formula>NOT(ISERROR(SEARCH("check - see columns S-Z for info",E32)))</formula>
    </cfRule>
    <cfRule type="containsText" dxfId="3823" priority="5403" operator="containsText" text="Check">
      <formula>NOT(ISERROR(SEARCH("Check",E32)))</formula>
    </cfRule>
    <cfRule type="cellIs" dxfId="3822" priority="5404" operator="equal">
      <formula>"Check"</formula>
    </cfRule>
    <cfRule type="cellIs" dxfId="3821" priority="5405" operator="equal">
      <formula>"Check Validation"</formula>
    </cfRule>
    <cfRule type="cellIs" dxfId="3820" priority="5406" operator="equal">
      <formula>"Check Validations"</formula>
    </cfRule>
    <cfRule type="containsText" dxfId="3819" priority="5407" operator="containsText" text="check - see columns S-Z for info">
      <formula>NOT(ISERROR(SEARCH("check - see columns S-Z for info",E32)))</formula>
    </cfRule>
    <cfRule type="containsBlanks" dxfId="3818" priority="5409">
      <formula>LEN(TRIM(E32))=0</formula>
    </cfRule>
    <cfRule type="containsText" dxfId="3817" priority="5410" operator="containsText" text="check - see columns S-Z for info">
      <formula>NOT(ISERROR(SEARCH("check - see columns S-Z for info",E32)))</formula>
    </cfRule>
    <cfRule type="cellIs" dxfId="3816" priority="5422" operator="equal">
      <formula>"Check Validations"</formula>
    </cfRule>
    <cfRule type="containsText" dxfId="3815" priority="5401" operator="containsText" text="check - see columns S-Z for info">
      <formula>NOT(ISERROR(SEARCH("check - see columns S-Z for info",E32)))</formula>
    </cfRule>
    <cfRule type="containsText" dxfId="3814" priority="5412" operator="containsText" text="Check">
      <formula>NOT(ISERROR(SEARCH("Check",E32)))</formula>
    </cfRule>
    <cfRule type="cellIs" dxfId="3813" priority="5413" operator="equal">
      <formula>"Check"</formula>
    </cfRule>
    <cfRule type="cellIs" dxfId="3812" priority="5414" operator="equal">
      <formula>"Check Validation"</formula>
    </cfRule>
    <cfRule type="cellIs" dxfId="3811" priority="5415" operator="equal">
      <formula>"Check Validations"</formula>
    </cfRule>
  </conditionalFormatting>
  <conditionalFormatting sqref="E40:E42 E44:E45">
    <cfRule type="containsText" dxfId="3810" priority="1209" operator="containsText" text="check - see columns S-Z for info">
      <formula>NOT(ISERROR(SEARCH("check - see columns S-Z for info",E40)))</formula>
    </cfRule>
    <cfRule type="containsText" dxfId="3809" priority="1206" operator="containsText" text="check - see columns S-Z for info">
      <formula>NOT(ISERROR(SEARCH("check - see columns S-Z for info",E40)))</formula>
    </cfRule>
    <cfRule type="containsBlanks" dxfId="3808" priority="1207">
      <formula>LEN(TRIM(E40))=0</formula>
    </cfRule>
    <cfRule type="containsBlanks" dxfId="3807" priority="1214">
      <formula>LEN(TRIM(E40))=0</formula>
    </cfRule>
    <cfRule type="containsText" dxfId="3806" priority="1217" operator="containsText" text="Check">
      <formula>NOT(ISERROR(SEARCH("Check",E40)))</formula>
    </cfRule>
    <cfRule type="containsText" dxfId="3805" priority="1216" operator="containsText" text="check - see columns S-Z for info">
      <formula>NOT(ISERROR(SEARCH("check - see columns S-Z for info",E40)))</formula>
    </cfRule>
    <cfRule type="containsText" dxfId="3804" priority="1215" operator="containsText" text="check - see columns S-Z for info">
      <formula>NOT(ISERROR(SEARCH("check - see columns S-Z for info",E40)))</formula>
    </cfRule>
    <cfRule type="cellIs" dxfId="3803" priority="1212" operator="equal">
      <formula>"Check Validation"</formula>
    </cfRule>
    <cfRule type="containsText" dxfId="3802" priority="1210" operator="containsText" text="Check">
      <formula>NOT(ISERROR(SEARCH("Check",E40)))</formula>
    </cfRule>
    <cfRule type="cellIs" dxfId="3801" priority="1220" operator="equal">
      <formula>"Check Validations"</formula>
    </cfRule>
    <cfRule type="cellIs" dxfId="3800" priority="1219" operator="equal">
      <formula>"Check Validation"</formula>
    </cfRule>
    <cfRule type="cellIs" dxfId="3799" priority="1213" operator="equal">
      <formula>"Check Validations"</formula>
    </cfRule>
    <cfRule type="cellIs" dxfId="3798" priority="1211" operator="equal">
      <formula>"Check"</formula>
    </cfRule>
    <cfRule type="cellIs" dxfId="3797" priority="1218" operator="equal">
      <formula>"Check"</formula>
    </cfRule>
    <cfRule type="containsText" dxfId="3796" priority="1208" operator="containsText" text="check - see columns S-Z for info">
      <formula>NOT(ISERROR(SEARCH("check - see columns S-Z for info",E40)))</formula>
    </cfRule>
  </conditionalFormatting>
  <conditionalFormatting sqref="E40:E45">
    <cfRule type="containsText" dxfId="3795" priority="1181" operator="containsText" text="check - see columns S-Z for info">
      <formula>NOT(ISERROR(SEARCH("check - see columns S-Z for info",E40)))</formula>
    </cfRule>
    <cfRule type="containsText" priority="1173" operator="containsText" text="check - see columns S-Z for info">
      <formula>NOT(ISERROR(SEARCH("check - see columns S-Z for info",E40)))</formula>
    </cfRule>
    <cfRule type="containsText" dxfId="3794" priority="1171" operator="containsText" text="check - see columns S-Z for info">
      <formula>NOT(ISERROR(SEARCH("check - see columns S-Z for info",E40)))</formula>
    </cfRule>
    <cfRule type="cellIs" dxfId="3793" priority="1195" operator="equal">
      <formula>"Check Validations"</formula>
    </cfRule>
    <cfRule type="cellIs" dxfId="3792" priority="1194" operator="equal">
      <formula>"Check Validation"</formula>
    </cfRule>
    <cfRule type="cellIs" dxfId="3791" priority="1193" operator="equal">
      <formula>"Check"</formula>
    </cfRule>
    <cfRule type="containsText" dxfId="3790" priority="1192" operator="containsText" text="Check">
      <formula>NOT(ISERROR(SEARCH("Check",E40)))</formula>
    </cfRule>
    <cfRule type="containsText" dxfId="3789" priority="1191" operator="containsText" text="check - see columns S-Z for info">
      <formula>NOT(ISERROR(SEARCH("check - see columns S-Z for info",E40)))</formula>
    </cfRule>
    <cfRule type="containsText" dxfId="3788" priority="1190" operator="containsText" text="check - see columns S-Z for info">
      <formula>NOT(ISERROR(SEARCH("check - see columns S-Z for info",E40)))</formula>
    </cfRule>
    <cfRule type="containsBlanks" dxfId="3787" priority="1189">
      <formula>LEN(TRIM(E40))=0</formula>
    </cfRule>
  </conditionalFormatting>
  <conditionalFormatting sqref="E43">
    <cfRule type="cellIs" dxfId="3786" priority="1178" operator="equal">
      <formula>"Check"</formula>
    </cfRule>
    <cfRule type="cellIs" dxfId="3785" priority="1179" operator="equal">
      <formula>"Check Validation"</formula>
    </cfRule>
    <cfRule type="containsText" dxfId="3784" priority="1176" operator="containsText" text="check - see columns S-Z for info">
      <formula>NOT(ISERROR(SEARCH("check - see columns S-Z for info",E43)))</formula>
    </cfRule>
    <cfRule type="containsText" dxfId="3783" priority="1177" operator="containsText" text="Check">
      <formula>NOT(ISERROR(SEARCH("Check",E43)))</formula>
    </cfRule>
    <cfRule type="cellIs" dxfId="3782" priority="1180" operator="equal">
      <formula>"Check Validations"</formula>
    </cfRule>
    <cfRule type="containsBlanks" dxfId="3781" priority="1182">
      <formula>LEN(TRIM(E43))=0</formula>
    </cfRule>
    <cfRule type="containsText" dxfId="3780" priority="1183" operator="containsText" text="check - see columns S-Z for info">
      <formula>NOT(ISERROR(SEARCH("check - see columns S-Z for info",E43)))</formula>
    </cfRule>
    <cfRule type="cellIs" dxfId="3779" priority="1188" operator="equal">
      <formula>"Check Validations"</formula>
    </cfRule>
    <cfRule type="containsText" dxfId="3778" priority="1184" operator="containsText" text="check - see columns S-Z for info">
      <formula>NOT(ISERROR(SEARCH("check - see columns S-Z for info",E43)))</formula>
    </cfRule>
    <cfRule type="containsText" dxfId="3777" priority="1172" operator="containsText" text="check - see columns S-Z for info">
      <formula>NOT(ISERROR(SEARCH("check - see columns S-Z for info",E43)))</formula>
    </cfRule>
    <cfRule type="containsBlanks" dxfId="3776" priority="1174">
      <formula>LEN(TRIM(E43))=0</formula>
    </cfRule>
    <cfRule type="containsText" dxfId="3775" priority="1175" operator="containsText" text="check - see columns S-Z for info">
      <formula>NOT(ISERROR(SEARCH("check - see columns S-Z for info",E43)))</formula>
    </cfRule>
    <cfRule type="containsText" dxfId="3774" priority="1185" operator="containsText" text="Check">
      <formula>NOT(ISERROR(SEARCH("Check",E43)))</formula>
    </cfRule>
    <cfRule type="cellIs" dxfId="3773" priority="1186" operator="equal">
      <formula>"Check"</formula>
    </cfRule>
    <cfRule type="cellIs" dxfId="3772" priority="1187" operator="equal">
      <formula>"Check Validation"</formula>
    </cfRule>
  </conditionalFormatting>
  <conditionalFormatting sqref="E49:E53">
    <cfRule type="containsText" dxfId="3771" priority="1231" operator="containsText" text="check - see columns S-Z for info">
      <formula>NOT(ISERROR(SEARCH("check - see columns S-Z for info",E49)))</formula>
    </cfRule>
    <cfRule type="containsText" dxfId="3770" priority="1233" operator="containsText" text="check - see columns S-Z for info">
      <formula>NOT(ISERROR(SEARCH("check - see columns S-Z for info",E49)))</formula>
    </cfRule>
    <cfRule type="containsText" dxfId="3769" priority="1234" operator="containsText" text="check - see columns S-Z for info">
      <formula>NOT(ISERROR(SEARCH("check - see columns S-Z for info",E49)))</formula>
    </cfRule>
    <cfRule type="containsText" dxfId="3768" priority="1235" operator="containsText" text="Check">
      <formula>NOT(ISERROR(SEARCH("Check",E49)))</formula>
    </cfRule>
    <cfRule type="cellIs" dxfId="3767" priority="1236" operator="equal">
      <formula>"Check"</formula>
    </cfRule>
    <cfRule type="containsBlanks" dxfId="3766" priority="1239">
      <formula>LEN(TRIM(E49))=0</formula>
    </cfRule>
    <cfRule type="cellIs" dxfId="3765" priority="1237" operator="equal">
      <formula>"Check Validation"</formula>
    </cfRule>
    <cfRule type="containsText" dxfId="3764" priority="1241" operator="containsText" text="check - see columns S-Z for info">
      <formula>NOT(ISERROR(SEARCH("check - see columns S-Z for info",E49)))</formula>
    </cfRule>
    <cfRule type="containsText" dxfId="3763" priority="1222" operator="containsText" text="check - see columns S-Z for info">
      <formula>NOT(ISERROR(SEARCH("check - see columns S-Z for info",E49)))</formula>
    </cfRule>
    <cfRule type="containsText" priority="1223" operator="containsText" text="check - see columns S-Z for info">
      <formula>NOT(ISERROR(SEARCH("check - see columns S-Z for info",E49)))</formula>
    </cfRule>
    <cfRule type="containsBlanks" dxfId="3762" priority="1224">
      <formula>LEN(TRIM(E49))=0</formula>
    </cfRule>
    <cfRule type="containsText" dxfId="3761" priority="1225" operator="containsText" text="check - see columns S-Z for info">
      <formula>NOT(ISERROR(SEARCH("check - see columns S-Z for info",E49)))</formula>
    </cfRule>
    <cfRule type="cellIs" dxfId="3760" priority="1245" operator="equal">
      <formula>"Check Validations"</formula>
    </cfRule>
    <cfRule type="cellIs" dxfId="3759" priority="1244" operator="equal">
      <formula>"Check Validation"</formula>
    </cfRule>
    <cfRule type="containsText" dxfId="3758" priority="1226" operator="containsText" text="check - see columns S-Z for info">
      <formula>NOT(ISERROR(SEARCH("check - see columns S-Z for info",E49)))</formula>
    </cfRule>
    <cfRule type="containsText" dxfId="3757" priority="1227" operator="containsText" text="Check">
      <formula>NOT(ISERROR(SEARCH("Check",E49)))</formula>
    </cfRule>
    <cfRule type="cellIs" dxfId="3756" priority="1228" operator="equal">
      <formula>"Check"</formula>
    </cfRule>
    <cfRule type="cellIs" dxfId="3755" priority="1238" operator="equal">
      <formula>"Check Validations"</formula>
    </cfRule>
    <cfRule type="cellIs" dxfId="3754" priority="1229" operator="equal">
      <formula>"Check Validation"</formula>
    </cfRule>
    <cfRule type="cellIs" dxfId="3753" priority="1230" operator="equal">
      <formula>"Check Validations"</formula>
    </cfRule>
    <cfRule type="containsText" dxfId="3752" priority="1240" operator="containsText" text="check - see columns S-Z for info">
      <formula>NOT(ISERROR(SEARCH("check - see columns S-Z for info",E49)))</formula>
    </cfRule>
    <cfRule type="containsText" dxfId="3751" priority="1221" operator="containsText" text="check - see columns S-Z for info">
      <formula>NOT(ISERROR(SEARCH("check - see columns S-Z for info",E49)))</formula>
    </cfRule>
    <cfRule type="containsBlanks" dxfId="3750" priority="1232">
      <formula>LEN(TRIM(E49))=0</formula>
    </cfRule>
  </conditionalFormatting>
  <conditionalFormatting sqref="E56:E65">
    <cfRule type="cellIs" dxfId="3749" priority="1253" operator="equal">
      <formula>"Check"</formula>
    </cfRule>
    <cfRule type="containsText" dxfId="3748" priority="1252" operator="containsText" text="Check">
      <formula>NOT(ISERROR(SEARCH("Check",E56)))</formula>
    </cfRule>
    <cfRule type="containsText" dxfId="3747" priority="1251" operator="containsText" text="check - see columns S-Z for info">
      <formula>NOT(ISERROR(SEARCH("check - see columns S-Z for info",E56)))</formula>
    </cfRule>
    <cfRule type="containsText" dxfId="3746" priority="1250" operator="containsText" text="check - see columns S-Z for info">
      <formula>NOT(ISERROR(SEARCH("check - see columns S-Z for info",E56)))</formula>
    </cfRule>
    <cfRule type="containsBlanks" dxfId="3745" priority="1249">
      <formula>LEN(TRIM(E56))=0</formula>
    </cfRule>
    <cfRule type="containsText" dxfId="3744" priority="1247" operator="containsText" text="check - see columns S-Z for info">
      <formula>NOT(ISERROR(SEARCH("check - see columns S-Z for info",E56)))</formula>
    </cfRule>
    <cfRule type="containsText" dxfId="3743" priority="1246" operator="containsText" text="check - see columns S-Z for info">
      <formula>NOT(ISERROR(SEARCH("check - see columns S-Z for info",E56)))</formula>
    </cfRule>
    <cfRule type="containsText" priority="1248" operator="containsText" text="check - see columns S-Z for info">
      <formula>NOT(ISERROR(SEARCH("check - see columns S-Z for info",E56)))</formula>
    </cfRule>
    <cfRule type="cellIs" dxfId="3742" priority="1270" operator="equal">
      <formula>"Check Validations"</formula>
    </cfRule>
    <cfRule type="cellIs" dxfId="3741" priority="1269" operator="equal">
      <formula>"Check Validation"</formula>
    </cfRule>
    <cfRule type="cellIs" dxfId="3740" priority="1268" operator="equal">
      <formula>"Check"</formula>
    </cfRule>
    <cfRule type="containsText" dxfId="3739" priority="1267" operator="containsText" text="Check">
      <formula>NOT(ISERROR(SEARCH("Check",E56)))</formula>
    </cfRule>
    <cfRule type="containsText" dxfId="3738" priority="1266" operator="containsText" text="check - see columns S-Z for info">
      <formula>NOT(ISERROR(SEARCH("check - see columns S-Z for info",E56)))</formula>
    </cfRule>
    <cfRule type="containsText" dxfId="3737" priority="1265" operator="containsText" text="check - see columns S-Z for info">
      <formula>NOT(ISERROR(SEARCH("check - see columns S-Z for info",E56)))</formula>
    </cfRule>
    <cfRule type="containsBlanks" dxfId="3736" priority="1264">
      <formula>LEN(TRIM(E56))=0</formula>
    </cfRule>
    <cfRule type="cellIs" dxfId="3735" priority="1263" operator="equal">
      <formula>"Check Validations"</formula>
    </cfRule>
    <cfRule type="cellIs" dxfId="3734" priority="1262" operator="equal">
      <formula>"Check Validation"</formula>
    </cfRule>
    <cfRule type="cellIs" dxfId="3733" priority="1261" operator="equal">
      <formula>"Check"</formula>
    </cfRule>
    <cfRule type="containsText" dxfId="3732" priority="1260" operator="containsText" text="Check">
      <formula>NOT(ISERROR(SEARCH("Check",E56)))</formula>
    </cfRule>
    <cfRule type="containsText" dxfId="3731" priority="1259" operator="containsText" text="check - see columns S-Z for info">
      <formula>NOT(ISERROR(SEARCH("check - see columns S-Z for info",E56)))</formula>
    </cfRule>
    <cfRule type="containsText" dxfId="3730" priority="1258" operator="containsText" text="check - see columns S-Z for info">
      <formula>NOT(ISERROR(SEARCH("check - see columns S-Z for info",E56)))</formula>
    </cfRule>
    <cfRule type="containsBlanks" dxfId="3729" priority="1257">
      <formula>LEN(TRIM(E56))=0</formula>
    </cfRule>
    <cfRule type="containsText" dxfId="3728" priority="1256" operator="containsText" text="check - see columns S-Z for info">
      <formula>NOT(ISERROR(SEARCH("check - see columns S-Z for info",E56)))</formula>
    </cfRule>
    <cfRule type="cellIs" dxfId="3727" priority="1255" operator="equal">
      <formula>"Check Validations"</formula>
    </cfRule>
    <cfRule type="cellIs" dxfId="3726" priority="1254" operator="equal">
      <formula>"Check Validation"</formula>
    </cfRule>
  </conditionalFormatting>
  <conditionalFormatting sqref="E68">
    <cfRule type="containsText" dxfId="3725" priority="5263" operator="containsText" text="Check">
      <formula>NOT(ISERROR(SEARCH("Check",E68)))</formula>
    </cfRule>
    <cfRule type="containsText" dxfId="3724" priority="5262" operator="containsText" text="check - see columns S-Z for info">
      <formula>NOT(ISERROR(SEARCH("check - see columns S-Z for info",E68)))</formula>
    </cfRule>
    <cfRule type="containsText" dxfId="3723" priority="5246" operator="containsText" text="check - see columns S-Z for info">
      <formula>NOT(ISERROR(SEARCH("check - see columns S-Z for info",E68)))</formula>
    </cfRule>
    <cfRule type="containsText" dxfId="3722" priority="5261" operator="containsText" text="check - see columns S-Z for info">
      <formula>NOT(ISERROR(SEARCH("check - see columns S-Z for info",E68)))</formula>
    </cfRule>
    <cfRule type="containsBlanks" dxfId="3721" priority="5260">
      <formula>LEN(TRIM(E68))=0</formula>
    </cfRule>
    <cfRule type="containsText" priority="5243" operator="containsText" text="check - see columns S-Z for info">
      <formula>NOT(ISERROR(SEARCH("check - see columns S-Z for info",E68)))</formula>
    </cfRule>
    <cfRule type="cellIs" dxfId="3720" priority="5259" operator="equal">
      <formula>"Check Validations"</formula>
    </cfRule>
    <cfRule type="cellIs" dxfId="3719" priority="5258" operator="equal">
      <formula>"Check Validation"</formula>
    </cfRule>
    <cfRule type="containsText" dxfId="3718" priority="5242" operator="containsText" text="check - see columns S-Z for info">
      <formula>NOT(ISERROR(SEARCH("check - see columns S-Z for info",E68)))</formula>
    </cfRule>
    <cfRule type="containsText" dxfId="3717" priority="5256" operator="containsText" text="Check">
      <formula>NOT(ISERROR(SEARCH("Check",E68)))</formula>
    </cfRule>
    <cfRule type="containsText" dxfId="3716" priority="5255" operator="containsText" text="check - see columns S-Z for info">
      <formula>NOT(ISERROR(SEARCH("check - see columns S-Z for info",E68)))</formula>
    </cfRule>
    <cfRule type="containsText" dxfId="3715" priority="5241" operator="containsText" text="check - see columns S-Z for info">
      <formula>NOT(ISERROR(SEARCH("check - see columns S-Z for info",E68)))</formula>
    </cfRule>
    <cfRule type="cellIs" dxfId="3714" priority="5265" operator="equal">
      <formula>"Check Validation"</formula>
    </cfRule>
    <cfRule type="containsText" dxfId="3713" priority="5254" operator="containsText" text="check - see columns S-Z for info">
      <formula>NOT(ISERROR(SEARCH("check - see columns S-Z for info",E68)))</formula>
    </cfRule>
    <cfRule type="containsBlanks" dxfId="3712" priority="5253">
      <formula>LEN(TRIM(E68))=0</formula>
    </cfRule>
    <cfRule type="containsText" dxfId="3711" priority="5251" operator="containsText" text="check - see columns S-Z for info">
      <formula>NOT(ISERROR(SEARCH("check - see columns S-Z for info",E68)))</formula>
    </cfRule>
    <cfRule type="cellIs" dxfId="3710" priority="5250" operator="equal">
      <formula>"Check Validations"</formula>
    </cfRule>
    <cfRule type="cellIs" dxfId="3709" priority="5249" operator="equal">
      <formula>"Check Validation"</formula>
    </cfRule>
    <cfRule type="cellIs" dxfId="3708" priority="5266" operator="equal">
      <formula>"Check Validations"</formula>
    </cfRule>
    <cfRule type="cellIs" dxfId="3707" priority="5257" operator="equal">
      <formula>"Check"</formula>
    </cfRule>
    <cfRule type="cellIs" dxfId="3706" priority="5248" operator="equal">
      <formula>"Check"</formula>
    </cfRule>
    <cfRule type="containsText" dxfId="3705" priority="5247" operator="containsText" text="Check">
      <formula>NOT(ISERROR(SEARCH("Check",E68)))</formula>
    </cfRule>
    <cfRule type="containsText" dxfId="3704" priority="5245" operator="containsText" text="check - see columns S-Z for info">
      <formula>NOT(ISERROR(SEARCH("check - see columns S-Z for info",E68)))</formula>
    </cfRule>
    <cfRule type="containsBlanks" dxfId="3703" priority="5244">
      <formula>LEN(TRIM(E68))=0</formula>
    </cfRule>
    <cfRule type="cellIs" dxfId="3702" priority="5264" operator="equal">
      <formula>"Check"</formula>
    </cfRule>
  </conditionalFormatting>
  <conditionalFormatting sqref="E71">
    <cfRule type="cellIs" dxfId="3701" priority="488" operator="equal">
      <formula>"Check Validations"</formula>
    </cfRule>
    <cfRule type="containsText" dxfId="3700" priority="476" operator="containsText" text="check - see columns S-Z for info">
      <formula>NOT(ISERROR(SEARCH("check - see columns S-Z for info",E71)))</formula>
    </cfRule>
    <cfRule type="cellIs" dxfId="3699" priority="479" operator="equal">
      <formula>"Check Validation"</formula>
    </cfRule>
    <cfRule type="containsBlanks" dxfId="3698" priority="474">
      <formula>LEN(TRIM(E71))=0</formula>
    </cfRule>
    <cfRule type="containsText" dxfId="3697" priority="483" operator="containsText" text="check - see columns S-Z for info">
      <formula>NOT(ISERROR(SEARCH("check - see columns S-Z for info",E71)))</formula>
    </cfRule>
    <cfRule type="cellIs" dxfId="3696" priority="478" operator="equal">
      <formula>"Check"</formula>
    </cfRule>
    <cfRule type="containsText" dxfId="3695" priority="477" operator="containsText" text="Check">
      <formula>NOT(ISERROR(SEARCH("Check",E71)))</formula>
    </cfRule>
    <cfRule type="cellIs" dxfId="3694" priority="480" operator="equal">
      <formula>"Check Validations"</formula>
    </cfRule>
    <cfRule type="containsText" dxfId="3693" priority="475" operator="containsText" text="check - see columns S-Z for info">
      <formula>NOT(ISERROR(SEARCH("check - see columns S-Z for info",E71)))</formula>
    </cfRule>
    <cfRule type="containsBlanks" dxfId="3692" priority="482">
      <formula>LEN(TRIM(E71))=0</formula>
    </cfRule>
    <cfRule type="cellIs" dxfId="3691" priority="487" operator="equal">
      <formula>"Check Validation"</formula>
    </cfRule>
    <cfRule type="cellIs" dxfId="3690" priority="486" operator="equal">
      <formula>"Check"</formula>
    </cfRule>
    <cfRule type="containsText" dxfId="3689" priority="485" operator="containsText" text="Check">
      <formula>NOT(ISERROR(SEARCH("Check",E71)))</formula>
    </cfRule>
    <cfRule type="containsText" dxfId="3688" priority="484" operator="containsText" text="check - see columns S-Z for info">
      <formula>NOT(ISERROR(SEARCH("check - see columns S-Z for info",E71)))</formula>
    </cfRule>
    <cfRule type="containsText" dxfId="3687" priority="472" operator="containsText" text="check - see columns S-Z for info">
      <formula>NOT(ISERROR(SEARCH("check - see columns S-Z for info",E71)))</formula>
    </cfRule>
  </conditionalFormatting>
  <conditionalFormatting sqref="E71:E72">
    <cfRule type="cellIs" dxfId="3686" priority="495" operator="equal">
      <formula>"Check Validations"</formula>
    </cfRule>
    <cfRule type="cellIs" dxfId="3685" priority="494" operator="equal">
      <formula>"Check Validation"</formula>
    </cfRule>
    <cfRule type="cellIs" dxfId="3684" priority="493" operator="equal">
      <formula>"Check"</formula>
    </cfRule>
    <cfRule type="containsText" dxfId="3683" priority="492" operator="containsText" text="Check">
      <formula>NOT(ISERROR(SEARCH("Check",E71)))</formula>
    </cfRule>
    <cfRule type="containsText" dxfId="3682" priority="490" operator="containsText" text="check - see columns S-Z for info">
      <formula>NOT(ISERROR(SEARCH("check - see columns S-Z for info",E71)))</formula>
    </cfRule>
    <cfRule type="containsBlanks" dxfId="3681" priority="489">
      <formula>LEN(TRIM(E71))=0</formula>
    </cfRule>
    <cfRule type="containsText" dxfId="3680" priority="491" operator="containsText" text="check - see columns S-Z for info">
      <formula>NOT(ISERROR(SEARCH("check - see columns S-Z for info",E71)))</formula>
    </cfRule>
    <cfRule type="containsText" dxfId="3679" priority="481" operator="containsText" text="check - see columns S-Z for info">
      <formula>NOT(ISERROR(SEARCH("check - see columns S-Z for info",E71)))</formula>
    </cfRule>
  </conditionalFormatting>
  <conditionalFormatting sqref="E71:E77">
    <cfRule type="containsText" priority="473" operator="containsText" text="check - see columns S-Z for info">
      <formula>NOT(ISERROR(SEARCH("check - see columns S-Z for info",E71)))</formula>
    </cfRule>
    <cfRule type="containsText" dxfId="3678" priority="467" operator="containsText" text="check - see columns S-Z for info">
      <formula>NOT(ISERROR(SEARCH("check - see columns S-Z for info",E71)))</formula>
    </cfRule>
  </conditionalFormatting>
  <conditionalFormatting sqref="E72">
    <cfRule type="containsText" dxfId="3677" priority="515" operator="containsText" text="check - see columns S-Z for info">
      <formula>NOT(ISERROR(SEARCH("check - see columns S-Z for info",E72)))</formula>
    </cfRule>
    <cfRule type="cellIs" dxfId="3676" priority="512" operator="equal">
      <formula>"Check Validation"</formula>
    </cfRule>
    <cfRule type="cellIs" dxfId="3675" priority="511" operator="equal">
      <formula>"Check"</formula>
    </cfRule>
    <cfRule type="cellIs" dxfId="3674" priority="520" operator="equal">
      <formula>"Check Validations"</formula>
    </cfRule>
    <cfRule type="cellIs" dxfId="3673" priority="519" operator="equal">
      <formula>"Check Validation"</formula>
    </cfRule>
    <cfRule type="containsText" dxfId="3672" priority="517" operator="containsText" text="Check">
      <formula>NOT(ISERROR(SEARCH("Check",E72)))</formula>
    </cfRule>
    <cfRule type="containsText" dxfId="3671" priority="516" operator="containsText" text="check - see columns S-Z for info">
      <formula>NOT(ISERROR(SEARCH("check - see columns S-Z for info",E72)))</formula>
    </cfRule>
    <cfRule type="containsBlanks" dxfId="3670" priority="514">
      <formula>LEN(TRIM(E72))=0</formula>
    </cfRule>
    <cfRule type="containsText" dxfId="3669" priority="510" operator="containsText" text="Check">
      <formula>NOT(ISERROR(SEARCH("Check",E72)))</formula>
    </cfRule>
    <cfRule type="containsText" dxfId="3668" priority="508" operator="containsText" text="check - see columns S-Z for info">
      <formula>NOT(ISERROR(SEARCH("check - see columns S-Z for info",E72)))</formula>
    </cfRule>
    <cfRule type="containsBlanks" dxfId="3667" priority="507">
      <formula>LEN(TRIM(E72))=0</formula>
    </cfRule>
    <cfRule type="containsText" dxfId="3666" priority="506" operator="containsText" text="check - see columns S-Z for info">
      <formula>NOT(ISERROR(SEARCH("check - see columns S-Z for info",E72)))</formula>
    </cfRule>
    <cfRule type="containsText" dxfId="3665" priority="509" operator="containsText" text="check - see columns S-Z for info">
      <formula>NOT(ISERROR(SEARCH("check - see columns S-Z for info",E72)))</formula>
    </cfRule>
    <cfRule type="cellIs" dxfId="3664" priority="518" operator="equal">
      <formula>"Check"</formula>
    </cfRule>
    <cfRule type="cellIs" dxfId="3663" priority="513" operator="equal">
      <formula>"Check Validations"</formula>
    </cfRule>
  </conditionalFormatting>
  <conditionalFormatting sqref="E73">
    <cfRule type="containsText" dxfId="3662" priority="5225" operator="containsText" text="check - see columns S-Z for info">
      <formula>NOT(ISERROR(SEARCH("check - see columns S-Z for info",E73)))</formula>
    </cfRule>
    <cfRule type="cellIs" dxfId="3661" priority="5239" operator="equal">
      <formula>"Check Validation"</formula>
    </cfRule>
    <cfRule type="cellIs" dxfId="3660" priority="5238" operator="equal">
      <formula>"Check"</formula>
    </cfRule>
    <cfRule type="containsText" dxfId="3659" priority="5237" operator="containsText" text="Check">
      <formula>NOT(ISERROR(SEARCH("Check",E73)))</formula>
    </cfRule>
    <cfRule type="containsText" dxfId="3658" priority="5236" operator="containsText" text="check - see columns S-Z for info">
      <formula>NOT(ISERROR(SEARCH("check - see columns S-Z for info",E73)))</formula>
    </cfRule>
    <cfRule type="containsText" dxfId="3657" priority="5235" operator="containsText" text="check - see columns S-Z for info">
      <formula>NOT(ISERROR(SEARCH("check - see columns S-Z for info",E73)))</formula>
    </cfRule>
    <cfRule type="containsBlanks" dxfId="3656" priority="5234">
      <formula>LEN(TRIM(E73))=0</formula>
    </cfRule>
    <cfRule type="containsText" dxfId="3655" priority="5228" operator="containsText" text="check - see columns S-Z for info">
      <formula>NOT(ISERROR(SEARCH("check - see columns S-Z for info",E73)))</formula>
    </cfRule>
    <cfRule type="containsText" dxfId="3654" priority="5230" operator="containsText" text="Check">
      <formula>NOT(ISERROR(SEARCH("Check",E73)))</formula>
    </cfRule>
    <cfRule type="containsBlanks" dxfId="3653" priority="5227">
      <formula>LEN(TRIM(E73))=0</formula>
    </cfRule>
    <cfRule type="containsText" dxfId="3652" priority="5229" operator="containsText" text="check - see columns S-Z for info">
      <formula>NOT(ISERROR(SEARCH("check - see columns S-Z for info",E73)))</formula>
    </cfRule>
    <cfRule type="cellIs" dxfId="3651" priority="5233" operator="equal">
      <formula>"Check Validations"</formula>
    </cfRule>
    <cfRule type="cellIs" dxfId="3650" priority="5232" operator="equal">
      <formula>"Check Validation"</formula>
    </cfRule>
    <cfRule type="cellIs" dxfId="3649" priority="5231" operator="equal">
      <formula>"Check"</formula>
    </cfRule>
    <cfRule type="cellIs" dxfId="3648" priority="5240" operator="equal">
      <formula>"Check Validations"</formula>
    </cfRule>
  </conditionalFormatting>
  <conditionalFormatting sqref="E73:E75">
    <cfRule type="containsText" dxfId="3647" priority="541" operator="containsText" text="check - see columns S-Z for info">
      <formula>NOT(ISERROR(SEARCH("check - see columns S-Z for info",E73)))</formula>
    </cfRule>
    <cfRule type="containsText" dxfId="3646" priority="542" operator="containsText" text="Check">
      <formula>NOT(ISERROR(SEARCH("Check",E73)))</formula>
    </cfRule>
    <cfRule type="containsText" dxfId="3645" priority="540" operator="containsText" text="check - see columns S-Z for info">
      <formula>NOT(ISERROR(SEARCH("check - see columns S-Z for info",E73)))</formula>
    </cfRule>
    <cfRule type="cellIs" dxfId="3644" priority="543" operator="equal">
      <formula>"Check"</formula>
    </cfRule>
    <cfRule type="cellIs" dxfId="3643" priority="544" operator="equal">
      <formula>"Check Validation"</formula>
    </cfRule>
    <cfRule type="cellIs" dxfId="3642" priority="545" operator="equal">
      <formula>"Check Validations"</formula>
    </cfRule>
    <cfRule type="containsText" dxfId="3641" priority="531" operator="containsText" text="check - see columns S-Z for info">
      <formula>NOT(ISERROR(SEARCH("check - see columns S-Z for info",E73)))</formula>
    </cfRule>
    <cfRule type="containsBlanks" dxfId="3640" priority="539">
      <formula>LEN(TRIM(E73))=0</formula>
    </cfRule>
  </conditionalFormatting>
  <conditionalFormatting sqref="E74">
    <cfRule type="containsText" dxfId="3639" priority="522" operator="containsText" text="check - see columns S-Z for info">
      <formula>NOT(ISERROR(SEARCH("check - see columns S-Z for info",E74)))</formula>
    </cfRule>
    <cfRule type="containsBlanks" dxfId="3638" priority="524">
      <formula>LEN(TRIM(E74))=0</formula>
    </cfRule>
    <cfRule type="containsText" dxfId="3637" priority="525" operator="containsText" text="check - see columns S-Z for info">
      <formula>NOT(ISERROR(SEARCH("check - see columns S-Z for info",E74)))</formula>
    </cfRule>
    <cfRule type="containsText" dxfId="3636" priority="526" operator="containsText" text="check - see columns S-Z for info">
      <formula>NOT(ISERROR(SEARCH("check - see columns S-Z for info",E74)))</formula>
    </cfRule>
    <cfRule type="containsText" dxfId="3635" priority="527" operator="containsText" text="Check">
      <formula>NOT(ISERROR(SEARCH("Check",E74)))</formula>
    </cfRule>
    <cfRule type="cellIs" dxfId="3634" priority="528" operator="equal">
      <formula>"Check"</formula>
    </cfRule>
    <cfRule type="cellIs" dxfId="3633" priority="530" operator="equal">
      <formula>"Check Validations"</formula>
    </cfRule>
    <cfRule type="containsBlanks" dxfId="3632" priority="532">
      <formula>LEN(TRIM(E74))=0</formula>
    </cfRule>
    <cfRule type="containsText" dxfId="3631" priority="533" operator="containsText" text="check - see columns S-Z for info">
      <formula>NOT(ISERROR(SEARCH("check - see columns S-Z for info",E74)))</formula>
    </cfRule>
    <cfRule type="containsText" dxfId="3630" priority="534" operator="containsText" text="check - see columns S-Z for info">
      <formula>NOT(ISERROR(SEARCH("check - see columns S-Z for info",E74)))</formula>
    </cfRule>
    <cfRule type="containsText" dxfId="3629" priority="535" operator="containsText" text="Check">
      <formula>NOT(ISERROR(SEARCH("Check",E74)))</formula>
    </cfRule>
    <cfRule type="cellIs" dxfId="3628" priority="529" operator="equal">
      <formula>"Check Validation"</formula>
    </cfRule>
    <cfRule type="cellIs" dxfId="3627" priority="536" operator="equal">
      <formula>"Check"</formula>
    </cfRule>
    <cfRule type="cellIs" dxfId="3626" priority="537" operator="equal">
      <formula>"Check Validation"</formula>
    </cfRule>
    <cfRule type="cellIs" dxfId="3625" priority="538" operator="equal">
      <formula>"Check Validations"</formula>
    </cfRule>
  </conditionalFormatting>
  <conditionalFormatting sqref="E75">
    <cfRule type="cellIs" dxfId="3624" priority="561" operator="equal">
      <formula>"Check"</formula>
    </cfRule>
    <cfRule type="containsText" dxfId="3623" priority="560" operator="containsText" text="Check">
      <formula>NOT(ISERROR(SEARCH("Check",E75)))</formula>
    </cfRule>
    <cfRule type="containsText" dxfId="3622" priority="559" operator="containsText" text="check - see columns S-Z for info">
      <formula>NOT(ISERROR(SEARCH("check - see columns S-Z for info",E75)))</formula>
    </cfRule>
    <cfRule type="cellIs" dxfId="3621" priority="562" operator="equal">
      <formula>"Check Validation"</formula>
    </cfRule>
    <cfRule type="containsText" dxfId="3620" priority="558" operator="containsText" text="check - see columns S-Z for info">
      <formula>NOT(ISERROR(SEARCH("check - see columns S-Z for info",E75)))</formula>
    </cfRule>
    <cfRule type="containsBlanks" dxfId="3619" priority="557">
      <formula>LEN(TRIM(E75))=0</formula>
    </cfRule>
    <cfRule type="cellIs" dxfId="3618" priority="563" operator="equal">
      <formula>"Check Validations"</formula>
    </cfRule>
  </conditionalFormatting>
  <conditionalFormatting sqref="E75:E76">
    <cfRule type="containsText" dxfId="3617" priority="556" operator="containsText" text="check - see columns S-Z for info">
      <formula>NOT(ISERROR(SEARCH("check - see columns S-Z for info",E75)))</formula>
    </cfRule>
    <cfRule type="containsBlanks" dxfId="3616" priority="564">
      <formula>LEN(TRIM(E75))=0</formula>
    </cfRule>
    <cfRule type="containsText" dxfId="3615" priority="565" operator="containsText" text="check - see columns S-Z for info">
      <formula>NOT(ISERROR(SEARCH("check - see columns S-Z for info",E75)))</formula>
    </cfRule>
    <cfRule type="containsText" dxfId="3614" priority="566" operator="containsText" text="check - see columns S-Z for info">
      <formula>NOT(ISERROR(SEARCH("check - see columns S-Z for info",E75)))</formula>
    </cfRule>
    <cfRule type="cellIs" dxfId="3613" priority="568" operator="equal">
      <formula>"Check"</formula>
    </cfRule>
    <cfRule type="cellIs" dxfId="3612" priority="569" operator="equal">
      <formula>"Check Validation"</formula>
    </cfRule>
    <cfRule type="containsText" dxfId="3611" priority="567" operator="containsText" text="Check">
      <formula>NOT(ISERROR(SEARCH("Check",E75)))</formula>
    </cfRule>
    <cfRule type="cellIs" dxfId="3610" priority="570" operator="equal">
      <formula>"Check Validations"</formula>
    </cfRule>
  </conditionalFormatting>
  <conditionalFormatting sqref="E76">
    <cfRule type="cellIs" dxfId="3609" priority="587" operator="equal">
      <formula>"Check Validation"</formula>
    </cfRule>
    <cfRule type="containsBlanks" dxfId="3608" priority="582">
      <formula>LEN(TRIM(E76))=0</formula>
    </cfRule>
    <cfRule type="cellIs" dxfId="3607" priority="588" operator="equal">
      <formula>"Check Validations"</formula>
    </cfRule>
    <cfRule type="cellIs" dxfId="3606" priority="586" operator="equal">
      <formula>"Check"</formula>
    </cfRule>
    <cfRule type="containsText" dxfId="3605" priority="585" operator="containsText" text="Check">
      <formula>NOT(ISERROR(SEARCH("Check",E76)))</formula>
    </cfRule>
    <cfRule type="containsText" dxfId="3604" priority="583" operator="containsText" text="check - see columns S-Z for info">
      <formula>NOT(ISERROR(SEARCH("check - see columns S-Z for info",E76)))</formula>
    </cfRule>
    <cfRule type="containsText" dxfId="3603" priority="584" operator="containsText" text="check - see columns S-Z for info">
      <formula>NOT(ISERROR(SEARCH("check - see columns S-Z for info",E76)))</formula>
    </cfRule>
  </conditionalFormatting>
  <conditionalFormatting sqref="E76:E77">
    <cfRule type="containsBlanks" dxfId="3602" priority="589">
      <formula>LEN(TRIM(E76))=0</formula>
    </cfRule>
    <cfRule type="containsText" dxfId="3601" priority="581" operator="containsText" text="check - see columns S-Z for info">
      <formula>NOT(ISERROR(SEARCH("check - see columns S-Z for info",E76)))</formula>
    </cfRule>
    <cfRule type="containsText" dxfId="3600" priority="591" operator="containsText" text="check - see columns S-Z for info">
      <formula>NOT(ISERROR(SEARCH("check - see columns S-Z for info",E76)))</formula>
    </cfRule>
    <cfRule type="containsText" dxfId="3599" priority="590" operator="containsText" text="check - see columns S-Z for info">
      <formula>NOT(ISERROR(SEARCH("check - see columns S-Z for info",E76)))</formula>
    </cfRule>
    <cfRule type="containsText" dxfId="3598" priority="592" operator="containsText" text="Check">
      <formula>NOT(ISERROR(SEARCH("Check",E76)))</formula>
    </cfRule>
    <cfRule type="cellIs" dxfId="3597" priority="593" operator="equal">
      <formula>"Check"</formula>
    </cfRule>
  </conditionalFormatting>
  <conditionalFormatting sqref="E77">
    <cfRule type="containsText" dxfId="3596" priority="615" operator="containsText" text="check - see columns S-Z for info">
      <formula>NOT(ISERROR(SEARCH("check - see columns S-Z for info",E77)))</formula>
    </cfRule>
    <cfRule type="containsBlanks" dxfId="3595" priority="614">
      <formula>LEN(TRIM(E77))=0</formula>
    </cfRule>
    <cfRule type="cellIs" dxfId="3594" priority="620" operator="equal">
      <formula>"Check Validations"</formula>
    </cfRule>
    <cfRule type="cellIs" dxfId="3593" priority="618" operator="equal">
      <formula>"Check"</formula>
    </cfRule>
    <cfRule type="containsText" dxfId="3592" priority="616" operator="containsText" text="check - see columns S-Z for info">
      <formula>NOT(ISERROR(SEARCH("check - see columns S-Z for info",E77)))</formula>
    </cfRule>
    <cfRule type="cellIs" dxfId="3591" priority="612" operator="equal">
      <formula>"Check Validation"</formula>
    </cfRule>
    <cfRule type="cellIs" dxfId="3590" priority="619" operator="equal">
      <formula>"Check Validation"</formula>
    </cfRule>
    <cfRule type="containsText" dxfId="3589" priority="617" operator="containsText" text="Check">
      <formula>NOT(ISERROR(SEARCH("Check",E77)))</formula>
    </cfRule>
    <cfRule type="cellIs" dxfId="3588" priority="611" operator="equal">
      <formula>"Check"</formula>
    </cfRule>
    <cfRule type="cellIs" dxfId="3587" priority="613" operator="equal">
      <formula>"Check Validations"</formula>
    </cfRule>
    <cfRule type="containsText" dxfId="3586" priority="606" operator="containsText" text="check - see columns S-Z for info">
      <formula>NOT(ISERROR(SEARCH("check - see columns S-Z for info",E77)))</formula>
    </cfRule>
    <cfRule type="containsBlanks" dxfId="3585" priority="607">
      <formula>LEN(TRIM(E77))=0</formula>
    </cfRule>
    <cfRule type="containsText" dxfId="3584" priority="608" operator="containsText" text="check - see columns S-Z for info">
      <formula>NOT(ISERROR(SEARCH("check - see columns S-Z for info",E77)))</formula>
    </cfRule>
    <cfRule type="containsText" dxfId="3583" priority="609" operator="containsText" text="check - see columns S-Z for info">
      <formula>NOT(ISERROR(SEARCH("check - see columns S-Z for info",E77)))</formula>
    </cfRule>
    <cfRule type="containsText" dxfId="3582" priority="610" operator="containsText" text="Check">
      <formula>NOT(ISERROR(SEARCH("Check",E77)))</formula>
    </cfRule>
  </conditionalFormatting>
  <conditionalFormatting sqref="E81">
    <cfRule type="cellIs" dxfId="3581" priority="5206" operator="equal">
      <formula>"Check Validation"</formula>
    </cfRule>
    <cfRule type="containsText" dxfId="3580" priority="5189" operator="containsText" text="check - see columns S-Z for info">
      <formula>NOT(ISERROR(SEARCH("check - see columns S-Z for info",E81)))</formula>
    </cfRule>
    <cfRule type="containsText" dxfId="3579" priority="5190" operator="containsText" text="check - see columns S-Z for info">
      <formula>NOT(ISERROR(SEARCH("check - see columns S-Z for info",E81)))</formula>
    </cfRule>
    <cfRule type="containsText" priority="5191" operator="containsText" text="check - see columns S-Z for info">
      <formula>NOT(ISERROR(SEARCH("check - see columns S-Z for info",E81)))</formula>
    </cfRule>
    <cfRule type="containsText" dxfId="3578" priority="5193" operator="containsText" text="check - see columns S-Z for info">
      <formula>NOT(ISERROR(SEARCH("check - see columns S-Z for info",E81)))</formula>
    </cfRule>
    <cfRule type="containsText" dxfId="3577" priority="5194" operator="containsText" text="check - see columns S-Z for info">
      <formula>NOT(ISERROR(SEARCH("check - see columns S-Z for info",E81)))</formula>
    </cfRule>
    <cfRule type="containsText" dxfId="3576" priority="5195" operator="containsText" text="Check">
      <formula>NOT(ISERROR(SEARCH("Check",E81)))</formula>
    </cfRule>
    <cfRule type="cellIs" dxfId="3575" priority="5196" operator="equal">
      <formula>"Check"</formula>
    </cfRule>
    <cfRule type="cellIs" dxfId="3574" priority="5197" operator="equal">
      <formula>"Check Validation"</formula>
    </cfRule>
    <cfRule type="cellIs" dxfId="3573" priority="5198" operator="equal">
      <formula>"Check Validations"</formula>
    </cfRule>
    <cfRule type="containsText" dxfId="3572" priority="5199" operator="containsText" text="check - see columns S-Z for info">
      <formula>NOT(ISERROR(SEARCH("check - see columns S-Z for info",E81)))</formula>
    </cfRule>
    <cfRule type="containsBlanks" dxfId="3571" priority="5201">
      <formula>LEN(TRIM(E81))=0</formula>
    </cfRule>
    <cfRule type="containsText" dxfId="3570" priority="5202" operator="containsText" text="check - see columns S-Z for info">
      <formula>NOT(ISERROR(SEARCH("check - see columns S-Z for info",E81)))</formula>
    </cfRule>
    <cfRule type="containsText" dxfId="3569" priority="5203" operator="containsText" text="check - see columns S-Z for info">
      <formula>NOT(ISERROR(SEARCH("check - see columns S-Z for info",E81)))</formula>
    </cfRule>
    <cfRule type="containsText" dxfId="3568" priority="5204" operator="containsText" text="Check">
      <formula>NOT(ISERROR(SEARCH("Check",E81)))</formula>
    </cfRule>
    <cfRule type="cellIs" dxfId="3567" priority="5205" operator="equal">
      <formula>"Check"</formula>
    </cfRule>
    <cfRule type="containsBlanks" dxfId="3566" priority="5192">
      <formula>LEN(TRIM(E81))=0</formula>
    </cfRule>
    <cfRule type="cellIs" dxfId="3565" priority="5214" operator="equal">
      <formula>"Check Validations"</formula>
    </cfRule>
    <cfRule type="cellIs" dxfId="3564" priority="5213" operator="equal">
      <formula>"Check Validation"</formula>
    </cfRule>
    <cfRule type="containsText" dxfId="3563" priority="5210" operator="containsText" text="check - see columns S-Z for info">
      <formula>NOT(ISERROR(SEARCH("check - see columns S-Z for info",E81)))</formula>
    </cfRule>
    <cfRule type="containsText" dxfId="3562" priority="5209" operator="containsText" text="check - see columns S-Z for info">
      <formula>NOT(ISERROR(SEARCH("check - see columns S-Z for info",E81)))</formula>
    </cfRule>
    <cfRule type="containsBlanks" dxfId="3561" priority="5208">
      <formula>LEN(TRIM(E81))=0</formula>
    </cfRule>
    <cfRule type="cellIs" dxfId="3560" priority="5207" operator="equal">
      <formula>"Check Validations"</formula>
    </cfRule>
  </conditionalFormatting>
  <conditionalFormatting sqref="E84:E85">
    <cfRule type="cellIs" dxfId="3559" priority="629" operator="equal">
      <formula>"Check Validation"</formula>
    </cfRule>
    <cfRule type="containsText" dxfId="3558" priority="641" operator="containsText" text="check - see columns S-Z for info">
      <formula>NOT(ISERROR(SEARCH("check - see columns S-Z for info",E84)))</formula>
    </cfRule>
    <cfRule type="containsText" dxfId="3557" priority="640" operator="containsText" text="check - see columns S-Z for info">
      <formula>NOT(ISERROR(SEARCH("check - see columns S-Z for info",E84)))</formula>
    </cfRule>
    <cfRule type="containsBlanks" dxfId="3556" priority="639">
      <formula>LEN(TRIM(E84))=0</formula>
    </cfRule>
    <cfRule type="cellIs" dxfId="3555" priority="638" operator="equal">
      <formula>"Check Validations"</formula>
    </cfRule>
    <cfRule type="containsText" dxfId="3554" priority="627" operator="containsText" text="Check">
      <formula>NOT(ISERROR(SEARCH("Check",E84)))</formula>
    </cfRule>
    <cfRule type="cellIs" dxfId="3553" priority="637" operator="equal">
      <formula>"Check Validation"</formula>
    </cfRule>
    <cfRule type="cellIs" dxfId="3552" priority="636" operator="equal">
      <formula>"Check"</formula>
    </cfRule>
    <cfRule type="containsText" dxfId="3551" priority="635" operator="containsText" text="Check">
      <formula>NOT(ISERROR(SEARCH("Check",E84)))</formula>
    </cfRule>
    <cfRule type="cellIs" dxfId="3550" priority="628" operator="equal">
      <formula>"Check"</formula>
    </cfRule>
    <cfRule type="containsText" dxfId="3549" priority="622" operator="containsText" text="check - see columns S-Z for info">
      <formula>NOT(ISERROR(SEARCH("check - see columns S-Z for info",E84)))</formula>
    </cfRule>
    <cfRule type="containsText" dxfId="3548" priority="631" operator="containsText" text="check - see columns S-Z for info">
      <formula>NOT(ISERROR(SEARCH("check - see columns S-Z for info",E84)))</formula>
    </cfRule>
    <cfRule type="containsText" dxfId="3547" priority="634" operator="containsText" text="check - see columns S-Z for info">
      <formula>NOT(ISERROR(SEARCH("check - see columns S-Z for info",E84)))</formula>
    </cfRule>
    <cfRule type="containsText" priority="623" operator="containsText" text="check - see columns S-Z for info">
      <formula>NOT(ISERROR(SEARCH("check - see columns S-Z for info",E84)))</formula>
    </cfRule>
    <cfRule type="containsText" dxfId="3546" priority="633" operator="containsText" text="check - see columns S-Z for info">
      <formula>NOT(ISERROR(SEARCH("check - see columns S-Z for info",E84)))</formula>
    </cfRule>
    <cfRule type="containsBlanks" dxfId="3545" priority="632">
      <formula>LEN(TRIM(E84))=0</formula>
    </cfRule>
    <cfRule type="containsText" dxfId="3544" priority="621" operator="containsText" text="check - see columns S-Z for info">
      <formula>NOT(ISERROR(SEARCH("check - see columns S-Z for info",E84)))</formula>
    </cfRule>
    <cfRule type="containsBlanks" dxfId="3543" priority="624">
      <formula>LEN(TRIM(E84))=0</formula>
    </cfRule>
    <cfRule type="containsText" dxfId="3542" priority="625" operator="containsText" text="check - see columns S-Z for info">
      <formula>NOT(ISERROR(SEARCH("check - see columns S-Z for info",E84)))</formula>
    </cfRule>
    <cfRule type="containsText" dxfId="3541" priority="642" operator="containsText" text="Check">
      <formula>NOT(ISERROR(SEARCH("Check",E84)))</formula>
    </cfRule>
    <cfRule type="containsText" dxfId="3540" priority="626" operator="containsText" text="check - see columns S-Z for info">
      <formula>NOT(ISERROR(SEARCH("check - see columns S-Z for info",E84)))</formula>
    </cfRule>
    <cfRule type="cellIs" dxfId="3539" priority="630" operator="equal">
      <formula>"Check Validations"</formula>
    </cfRule>
    <cfRule type="cellIs" dxfId="3538" priority="645" operator="equal">
      <formula>"Check Validations"</formula>
    </cfRule>
    <cfRule type="cellIs" dxfId="3537" priority="644" operator="equal">
      <formula>"Check Validation"</formula>
    </cfRule>
    <cfRule type="cellIs" dxfId="3536" priority="643" operator="equal">
      <formula>"Check"</formula>
    </cfRule>
  </conditionalFormatting>
  <conditionalFormatting sqref="E88">
    <cfRule type="containsBlanks" dxfId="3535" priority="5156">
      <formula>LEN(TRIM(E88))=0</formula>
    </cfRule>
    <cfRule type="cellIs" dxfId="3534" priority="5155" operator="equal">
      <formula>"Check Validations"</formula>
    </cfRule>
    <cfRule type="cellIs" dxfId="3533" priority="5154" operator="equal">
      <formula>"Check Validation"</formula>
    </cfRule>
    <cfRule type="cellIs" dxfId="3532" priority="5153" operator="equal">
      <formula>"Check"</formula>
    </cfRule>
    <cfRule type="containsText" dxfId="3531" priority="5152" operator="containsText" text="Check">
      <formula>NOT(ISERROR(SEARCH("Check",E88)))</formula>
    </cfRule>
    <cfRule type="containsText" dxfId="3530" priority="5151" operator="containsText" text="check - see columns S-Z for info">
      <formula>NOT(ISERROR(SEARCH("check - see columns S-Z for info",E88)))</formula>
    </cfRule>
    <cfRule type="containsText" dxfId="3529" priority="5150" operator="containsText" text="check - see columns S-Z for info">
      <formula>NOT(ISERROR(SEARCH("check - see columns S-Z for info",E88)))</formula>
    </cfRule>
    <cfRule type="containsBlanks" dxfId="3528" priority="5149">
      <formula>LEN(TRIM(E88))=0</formula>
    </cfRule>
    <cfRule type="cellIs" dxfId="3527" priority="5162" operator="equal">
      <formula>"Check Validations"</formula>
    </cfRule>
    <cfRule type="cellIs" dxfId="3526" priority="5161" operator="equal">
      <formula>"Check Validation"</formula>
    </cfRule>
    <cfRule type="containsText" dxfId="3525" priority="5158" operator="containsText" text="check - see columns S-Z for info">
      <formula>NOT(ISERROR(SEARCH("check - see columns S-Z for info",E88)))</formula>
    </cfRule>
    <cfRule type="containsText" dxfId="3524" priority="5157" operator="containsText" text="check - see columns S-Z for info">
      <formula>NOT(ISERROR(SEARCH("check - see columns S-Z for info",E88)))</formula>
    </cfRule>
    <cfRule type="containsText" dxfId="3523" priority="5147" operator="containsText" text="check - see columns S-Z for info">
      <formula>NOT(ISERROR(SEARCH("check - see columns S-Z for info",E88)))</formula>
    </cfRule>
  </conditionalFormatting>
  <conditionalFormatting sqref="E88:E90">
    <cfRule type="containsText" dxfId="3522" priority="665" operator="containsText" text="check - see columns S-Z for info">
      <formula>NOT(ISERROR(SEARCH("check - see columns S-Z for info",E88)))</formula>
    </cfRule>
    <cfRule type="containsText" priority="648" operator="containsText" text="check - see columns S-Z for info">
      <formula>NOT(ISERROR(SEARCH("check - see columns S-Z for info",E88)))</formula>
    </cfRule>
    <cfRule type="containsText" dxfId="3521" priority="656" operator="containsText" text="check - see columns S-Z for info">
      <formula>NOT(ISERROR(SEARCH("check - see columns S-Z for info",E88)))</formula>
    </cfRule>
    <cfRule type="containsBlanks" dxfId="3520" priority="664">
      <formula>LEN(TRIM(E88))=0</formula>
    </cfRule>
    <cfRule type="cellIs" dxfId="3519" priority="668" operator="equal">
      <formula>"Check"</formula>
    </cfRule>
    <cfRule type="containsText" dxfId="3518" priority="646" operator="containsText" text="check - see columns S-Z for info">
      <formula>NOT(ISERROR(SEARCH("check - see columns S-Z for info",E88)))</formula>
    </cfRule>
    <cfRule type="cellIs" dxfId="3517" priority="669" operator="equal">
      <formula>"Check Validation"</formula>
    </cfRule>
    <cfRule type="cellIs" dxfId="3516" priority="670" operator="equal">
      <formula>"Check Validations"</formula>
    </cfRule>
    <cfRule type="containsText" dxfId="3515" priority="667" operator="containsText" text="Check">
      <formula>NOT(ISERROR(SEARCH("Check",E88)))</formula>
    </cfRule>
    <cfRule type="containsText" dxfId="3514" priority="666" operator="containsText" text="check - see columns S-Z for info">
      <formula>NOT(ISERROR(SEARCH("check - see columns S-Z for info",E88)))</formula>
    </cfRule>
  </conditionalFormatting>
  <conditionalFormatting sqref="E89">
    <cfRule type="cellIs" dxfId="3513" priority="662" operator="equal">
      <formula>"Check Validation"</formula>
    </cfRule>
    <cfRule type="cellIs" dxfId="3512" priority="655" operator="equal">
      <formula>"Check Validations"</formula>
    </cfRule>
    <cfRule type="cellIs" dxfId="3511" priority="654" operator="equal">
      <formula>"Check Validation"</formula>
    </cfRule>
    <cfRule type="cellIs" dxfId="3510" priority="653" operator="equal">
      <formula>"Check"</formula>
    </cfRule>
    <cfRule type="containsText" dxfId="3509" priority="647" operator="containsText" text="check - see columns S-Z for info">
      <formula>NOT(ISERROR(SEARCH("check - see columns S-Z for info",E89)))</formula>
    </cfRule>
    <cfRule type="containsText" dxfId="3508" priority="652" operator="containsText" text="Check">
      <formula>NOT(ISERROR(SEARCH("Check",E89)))</formula>
    </cfRule>
    <cfRule type="containsBlanks" dxfId="3507" priority="649">
      <formula>LEN(TRIM(E89))=0</formula>
    </cfRule>
    <cfRule type="containsText" dxfId="3506" priority="650" operator="containsText" text="check - see columns S-Z for info">
      <formula>NOT(ISERROR(SEARCH("check - see columns S-Z for info",E89)))</formula>
    </cfRule>
    <cfRule type="containsText" dxfId="3505" priority="651" operator="containsText" text="check - see columns S-Z for info">
      <formula>NOT(ISERROR(SEARCH("check - see columns S-Z for info",E89)))</formula>
    </cfRule>
    <cfRule type="cellIs" dxfId="3504" priority="661" operator="equal">
      <formula>"Check"</formula>
    </cfRule>
    <cfRule type="containsText" dxfId="3503" priority="660" operator="containsText" text="Check">
      <formula>NOT(ISERROR(SEARCH("Check",E89)))</formula>
    </cfRule>
    <cfRule type="containsText" dxfId="3502" priority="659" operator="containsText" text="check - see columns S-Z for info">
      <formula>NOT(ISERROR(SEARCH("check - see columns S-Z for info",E89)))</formula>
    </cfRule>
    <cfRule type="containsText" dxfId="3501" priority="658" operator="containsText" text="check - see columns S-Z for info">
      <formula>NOT(ISERROR(SEARCH("check - see columns S-Z for info",E89)))</formula>
    </cfRule>
    <cfRule type="containsBlanks" dxfId="3500" priority="657">
      <formula>LEN(TRIM(E89))=0</formula>
    </cfRule>
    <cfRule type="cellIs" dxfId="3499" priority="663" operator="equal">
      <formula>"Check Validations"</formula>
    </cfRule>
  </conditionalFormatting>
  <conditionalFormatting sqref="E90">
    <cfRule type="containsText" dxfId="3498" priority="681" operator="containsText" text="check - see columns S-Z for info">
      <formula>NOT(ISERROR(SEARCH("check - see columns S-Z for info",E90)))</formula>
    </cfRule>
    <cfRule type="containsBlanks" dxfId="3497" priority="682">
      <formula>LEN(TRIM(E90))=0</formula>
    </cfRule>
    <cfRule type="containsText" dxfId="3496" priority="683" operator="containsText" text="check - see columns S-Z for info">
      <formula>NOT(ISERROR(SEARCH("check - see columns S-Z for info",E90)))</formula>
    </cfRule>
    <cfRule type="containsText" dxfId="3495" priority="684" operator="containsText" text="check - see columns S-Z for info">
      <formula>NOT(ISERROR(SEARCH("check - see columns S-Z for info",E90)))</formula>
    </cfRule>
    <cfRule type="containsText" dxfId="3494" priority="685" operator="containsText" text="Check">
      <formula>NOT(ISERROR(SEARCH("Check",E90)))</formula>
    </cfRule>
    <cfRule type="cellIs" dxfId="3493" priority="686" operator="equal">
      <formula>"Check"</formula>
    </cfRule>
    <cfRule type="cellIs" dxfId="3492" priority="687" operator="equal">
      <formula>"Check Validation"</formula>
    </cfRule>
    <cfRule type="containsBlanks" dxfId="3491" priority="689">
      <formula>LEN(TRIM(E90))=0</formula>
    </cfRule>
    <cfRule type="containsText" dxfId="3490" priority="690" operator="containsText" text="check - see columns S-Z for info">
      <formula>NOT(ISERROR(SEARCH("check - see columns S-Z for info",E90)))</formula>
    </cfRule>
    <cfRule type="containsText" dxfId="3489" priority="691" operator="containsText" text="check - see columns S-Z for info">
      <formula>NOT(ISERROR(SEARCH("check - see columns S-Z for info",E90)))</formula>
    </cfRule>
    <cfRule type="containsText" dxfId="3488" priority="692" operator="containsText" text="Check">
      <formula>NOT(ISERROR(SEARCH("Check",E90)))</formula>
    </cfRule>
    <cfRule type="cellIs" dxfId="3487" priority="693" operator="equal">
      <formula>"Check"</formula>
    </cfRule>
    <cfRule type="cellIs" dxfId="3486" priority="694" operator="equal">
      <formula>"Check Validation"</formula>
    </cfRule>
    <cfRule type="cellIs" dxfId="3485" priority="695" operator="equal">
      <formula>"Check Validations"</formula>
    </cfRule>
    <cfRule type="cellIs" dxfId="3484" priority="688" operator="equal">
      <formula>"Check Validations"</formula>
    </cfRule>
  </conditionalFormatting>
  <conditionalFormatting sqref="E96:E100">
    <cfRule type="containsText" dxfId="3483" priority="5132" operator="containsText" text="check - see columns S-Z for info">
      <formula>NOT(ISERROR(SEARCH("check - see columns S-Z for info",E96)))</formula>
    </cfRule>
    <cfRule type="containsBlanks" dxfId="3482" priority="5130">
      <formula>LEN(TRIM(E96))=0</formula>
    </cfRule>
    <cfRule type="cellIs" dxfId="3481" priority="5129" operator="equal">
      <formula>"Check Validations"</formula>
    </cfRule>
    <cfRule type="cellIs" dxfId="3480" priority="5128" operator="equal">
      <formula>"Check Validation"</formula>
    </cfRule>
    <cfRule type="cellIs" dxfId="3479" priority="5127" operator="equal">
      <formula>"Check"</formula>
    </cfRule>
    <cfRule type="containsText" dxfId="3478" priority="5126" operator="containsText" text="Check">
      <formula>NOT(ISERROR(SEARCH("Check",E96)))</formula>
    </cfRule>
    <cfRule type="containsText" dxfId="3477" priority="5125" operator="containsText" text="check - see columns S-Z for info">
      <formula>NOT(ISERROR(SEARCH("check - see columns S-Z for info",E96)))</formula>
    </cfRule>
    <cfRule type="containsText" dxfId="3476" priority="5124" operator="containsText" text="check - see columns S-Z for info">
      <formula>NOT(ISERROR(SEARCH("check - see columns S-Z for info",E96)))</formula>
    </cfRule>
    <cfRule type="containsBlanks" dxfId="3475" priority="5123">
      <formula>LEN(TRIM(E96))=0</formula>
    </cfRule>
    <cfRule type="containsText" dxfId="3474" priority="5121" operator="containsText" text="check - see columns S-Z for info">
      <formula>NOT(ISERROR(SEARCH("check - see columns S-Z for info",E96)))</formula>
    </cfRule>
    <cfRule type="cellIs" dxfId="3473" priority="5120" operator="equal">
      <formula>"Check Validations"</formula>
    </cfRule>
    <cfRule type="cellIs" dxfId="3472" priority="5118" operator="equal">
      <formula>"Check"</formula>
    </cfRule>
    <cfRule type="containsText" dxfId="3471" priority="5117" operator="containsText" text="Check">
      <formula>NOT(ISERROR(SEARCH("Check",E96)))</formula>
    </cfRule>
    <cfRule type="containsText" dxfId="3470" priority="5116" operator="containsText" text="check - see columns S-Z for info">
      <formula>NOT(ISERROR(SEARCH("check - see columns S-Z for info",E96)))</formula>
    </cfRule>
    <cfRule type="containsText" dxfId="3469" priority="5115" operator="containsText" text="check - see columns S-Z for info">
      <formula>NOT(ISERROR(SEARCH("check - see columns S-Z for info",E96)))</formula>
    </cfRule>
    <cfRule type="containsBlanks" dxfId="3468" priority="5114">
      <formula>LEN(TRIM(E96))=0</formula>
    </cfRule>
    <cfRule type="containsText" priority="5113" operator="containsText" text="check - see columns S-Z for info">
      <formula>NOT(ISERROR(SEARCH("check - see columns S-Z for info",E96)))</formula>
    </cfRule>
    <cfRule type="containsText" dxfId="3467" priority="5112" operator="containsText" text="check - see columns S-Z for info">
      <formula>NOT(ISERROR(SEARCH("check - see columns S-Z for info",E96)))</formula>
    </cfRule>
    <cfRule type="containsText" dxfId="3466" priority="5111" operator="containsText" text="check - see columns S-Z for info">
      <formula>NOT(ISERROR(SEARCH("check - see columns S-Z for info",E96)))</formula>
    </cfRule>
    <cfRule type="containsText" dxfId="3465" priority="5131" operator="containsText" text="check - see columns S-Z for info">
      <formula>NOT(ISERROR(SEARCH("check - see columns S-Z for info",E96)))</formula>
    </cfRule>
    <cfRule type="cellIs" dxfId="3464" priority="5119" operator="equal">
      <formula>"Check Validation"</formula>
    </cfRule>
    <cfRule type="cellIs" dxfId="3463" priority="5136" operator="equal">
      <formula>"Check Validations"</formula>
    </cfRule>
    <cfRule type="cellIs" dxfId="3462" priority="5135" operator="equal">
      <formula>"Check Validation"</formula>
    </cfRule>
  </conditionalFormatting>
  <conditionalFormatting sqref="E103">
    <cfRule type="containsText" dxfId="3461" priority="708" operator="containsText" text="check - see columns S-Z for info">
      <formula>NOT(ISERROR(SEARCH("check - see columns S-Z for info",E103)))</formula>
    </cfRule>
    <cfRule type="containsText" dxfId="3460" priority="701" operator="containsText" text="check - see columns S-Z for info">
      <formula>NOT(ISERROR(SEARCH("check - see columns S-Z for info",E103)))</formula>
    </cfRule>
    <cfRule type="containsText" dxfId="3459" priority="702" operator="containsText" text="Check">
      <formula>NOT(ISERROR(SEARCH("Check",E103)))</formula>
    </cfRule>
    <cfRule type="cellIs" dxfId="3458" priority="703" operator="equal">
      <formula>"Check"</formula>
    </cfRule>
    <cfRule type="cellIs" dxfId="3457" priority="704" operator="equal">
      <formula>"Check Validation"</formula>
    </cfRule>
    <cfRule type="cellIs" dxfId="3456" priority="712" operator="equal">
      <formula>"Check Validation"</formula>
    </cfRule>
    <cfRule type="containsText" dxfId="3455" priority="700" operator="containsText" text="check - see columns S-Z for info">
      <formula>NOT(ISERROR(SEARCH("check - see columns S-Z for info",E103)))</formula>
    </cfRule>
    <cfRule type="cellIs" dxfId="3454" priority="705" operator="equal">
      <formula>"Check Validations"</formula>
    </cfRule>
    <cfRule type="cellIs" dxfId="3453" priority="713" operator="equal">
      <formula>"Check Validations"</formula>
    </cfRule>
    <cfRule type="containsText" dxfId="3452" priority="697" operator="containsText" text="check - see columns S-Z for info">
      <formula>NOT(ISERROR(SEARCH("check - see columns S-Z for info",E103)))</formula>
    </cfRule>
    <cfRule type="containsBlanks" dxfId="3451" priority="707">
      <formula>LEN(TRIM(E103))=0</formula>
    </cfRule>
    <cfRule type="containsBlanks" dxfId="3450" priority="699">
      <formula>LEN(TRIM(E103))=0</formula>
    </cfRule>
    <cfRule type="cellIs" dxfId="3449" priority="711" operator="equal">
      <formula>"Check"</formula>
    </cfRule>
    <cfRule type="containsText" dxfId="3448" priority="710" operator="containsText" text="Check">
      <formula>NOT(ISERROR(SEARCH("Check",E103)))</formula>
    </cfRule>
    <cfRule type="containsText" dxfId="3447" priority="709" operator="containsText" text="check - see columns S-Z for info">
      <formula>NOT(ISERROR(SEARCH("check - see columns S-Z for info",E103)))</formula>
    </cfRule>
  </conditionalFormatting>
  <conditionalFormatting sqref="E103:E104">
    <cfRule type="cellIs" dxfId="3446" priority="719" operator="equal">
      <formula>"Check Validation"</formula>
    </cfRule>
    <cfRule type="cellIs" dxfId="3445" priority="720" operator="equal">
      <formula>"Check Validations"</formula>
    </cfRule>
    <cfRule type="containsText" dxfId="3444" priority="706" operator="containsText" text="check - see columns S-Z for info">
      <formula>NOT(ISERROR(SEARCH("check - see columns S-Z for info",E103)))</formula>
    </cfRule>
    <cfRule type="containsBlanks" dxfId="3443" priority="714">
      <formula>LEN(TRIM(E103))=0</formula>
    </cfRule>
    <cfRule type="containsText" dxfId="3442" priority="715" operator="containsText" text="check - see columns S-Z for info">
      <formula>NOT(ISERROR(SEARCH("check - see columns S-Z for info",E103)))</formula>
    </cfRule>
    <cfRule type="containsText" dxfId="3441" priority="716" operator="containsText" text="check - see columns S-Z for info">
      <formula>NOT(ISERROR(SEARCH("check - see columns S-Z for info",E103)))</formula>
    </cfRule>
    <cfRule type="containsText" dxfId="3440" priority="717" operator="containsText" text="Check">
      <formula>NOT(ISERROR(SEARCH("Check",E103)))</formula>
    </cfRule>
    <cfRule type="cellIs" dxfId="3439" priority="718" operator="equal">
      <formula>"Check"</formula>
    </cfRule>
  </conditionalFormatting>
  <conditionalFormatting sqref="E103:E108">
    <cfRule type="containsText" dxfId="3438" priority="696" operator="containsText" text="check - see columns S-Z for info">
      <formula>NOT(ISERROR(SEARCH("check - see columns S-Z for info",E103)))</formula>
    </cfRule>
    <cfRule type="containsText" priority="698" operator="containsText" text="check - see columns S-Z for info">
      <formula>NOT(ISERROR(SEARCH("check - see columns S-Z for info",E103)))</formula>
    </cfRule>
  </conditionalFormatting>
  <conditionalFormatting sqref="E104">
    <cfRule type="containsBlanks" dxfId="3437" priority="732">
      <formula>LEN(TRIM(E104))=0</formula>
    </cfRule>
    <cfRule type="containsText" dxfId="3436" priority="733" operator="containsText" text="check - see columns S-Z for info">
      <formula>NOT(ISERROR(SEARCH("check - see columns S-Z for info",E104)))</formula>
    </cfRule>
    <cfRule type="containsText" dxfId="3435" priority="734" operator="containsText" text="check - see columns S-Z for info">
      <formula>NOT(ISERROR(SEARCH("check - see columns S-Z for info",E104)))</formula>
    </cfRule>
    <cfRule type="containsText" dxfId="3434" priority="735" operator="containsText" text="Check">
      <formula>NOT(ISERROR(SEARCH("Check",E104)))</formula>
    </cfRule>
    <cfRule type="cellIs" dxfId="3433" priority="736" operator="equal">
      <formula>"Check"</formula>
    </cfRule>
    <cfRule type="cellIs" dxfId="3432" priority="737" operator="equal">
      <formula>"Check Validation"</formula>
    </cfRule>
    <cfRule type="cellIs" dxfId="3431" priority="738" operator="equal">
      <formula>"Check Validations"</formula>
    </cfRule>
  </conditionalFormatting>
  <conditionalFormatting sqref="E104:E105">
    <cfRule type="containsText" dxfId="3430" priority="731" operator="containsText" text="check - see columns S-Z for info">
      <formula>NOT(ISERROR(SEARCH("check - see columns S-Z for info",E104)))</formula>
    </cfRule>
    <cfRule type="containsBlanks" dxfId="3429" priority="739">
      <formula>LEN(TRIM(E104))=0</formula>
    </cfRule>
    <cfRule type="containsText" dxfId="3428" priority="740" operator="containsText" text="check - see columns S-Z for info">
      <formula>NOT(ISERROR(SEARCH("check - see columns S-Z for info",E104)))</formula>
    </cfRule>
    <cfRule type="containsText" dxfId="3427" priority="741" operator="containsText" text="check - see columns S-Z for info">
      <formula>NOT(ISERROR(SEARCH("check - see columns S-Z for info",E104)))</formula>
    </cfRule>
    <cfRule type="containsText" dxfId="3426" priority="742" operator="containsText" text="Check">
      <formula>NOT(ISERROR(SEARCH("Check",E104)))</formula>
    </cfRule>
    <cfRule type="cellIs" dxfId="3425" priority="743" operator="equal">
      <formula>"Check"</formula>
    </cfRule>
    <cfRule type="cellIs" dxfId="3424" priority="744" operator="equal">
      <formula>"Check Validation"</formula>
    </cfRule>
    <cfRule type="cellIs" dxfId="3423" priority="745" operator="equal">
      <formula>"Check Validations"</formula>
    </cfRule>
  </conditionalFormatting>
  <conditionalFormatting sqref="E105">
    <cfRule type="containsBlanks" dxfId="3422" priority="757">
      <formula>LEN(TRIM(E105))=0</formula>
    </cfRule>
    <cfRule type="containsText" dxfId="3421" priority="758" operator="containsText" text="check - see columns S-Z for info">
      <formula>NOT(ISERROR(SEARCH("check - see columns S-Z for info",E105)))</formula>
    </cfRule>
    <cfRule type="containsText" dxfId="3420" priority="759" operator="containsText" text="check - see columns S-Z for info">
      <formula>NOT(ISERROR(SEARCH("check - see columns S-Z for info",E105)))</formula>
    </cfRule>
    <cfRule type="containsText" dxfId="3419" priority="760" operator="containsText" text="Check">
      <formula>NOT(ISERROR(SEARCH("Check",E105)))</formula>
    </cfRule>
    <cfRule type="cellIs" dxfId="3418" priority="761" operator="equal">
      <formula>"Check"</formula>
    </cfRule>
    <cfRule type="cellIs" dxfId="3417" priority="762" operator="equal">
      <formula>"Check Validation"</formula>
    </cfRule>
    <cfRule type="cellIs" dxfId="3416" priority="763" operator="equal">
      <formula>"Check Validations"</formula>
    </cfRule>
  </conditionalFormatting>
  <conditionalFormatting sqref="E105:E108">
    <cfRule type="containsText" dxfId="3415" priority="756" operator="containsText" text="check - see columns S-Z for info">
      <formula>NOT(ISERROR(SEARCH("check - see columns S-Z for info",E105)))</formula>
    </cfRule>
    <cfRule type="containsBlanks" dxfId="3414" priority="764">
      <formula>LEN(TRIM(E105))=0</formula>
    </cfRule>
    <cfRule type="containsText" dxfId="3413" priority="765" operator="containsText" text="check - see columns S-Z for info">
      <formula>NOT(ISERROR(SEARCH("check - see columns S-Z for info",E105)))</formula>
    </cfRule>
    <cfRule type="containsText" dxfId="3412" priority="766" operator="containsText" text="check - see columns S-Z for info">
      <formula>NOT(ISERROR(SEARCH("check - see columns S-Z for info",E105)))</formula>
    </cfRule>
    <cfRule type="containsText" dxfId="3411" priority="767" operator="containsText" text="Check">
      <formula>NOT(ISERROR(SEARCH("Check",E105)))</formula>
    </cfRule>
    <cfRule type="cellIs" dxfId="3410" priority="768" operator="equal">
      <formula>"Check"</formula>
    </cfRule>
    <cfRule type="cellIs" dxfId="3409" priority="769" operator="equal">
      <formula>"Check Validation"</formula>
    </cfRule>
    <cfRule type="cellIs" dxfId="3408" priority="770" operator="equal">
      <formula>"Check Validations"</formula>
    </cfRule>
  </conditionalFormatting>
  <conditionalFormatting sqref="E106:E108">
    <cfRule type="containsText" dxfId="3407" priority="5105" operator="containsText" text="check - see columns S-Z for info">
      <formula>NOT(ISERROR(SEARCH("check - see columns S-Z for info",E106)))</formula>
    </cfRule>
    <cfRule type="containsText" dxfId="3406" priority="5095" operator="containsText" text="check - see columns S-Z for info">
      <formula>NOT(ISERROR(SEARCH("check - see columns S-Z for info",E106)))</formula>
    </cfRule>
    <cfRule type="containsBlanks" dxfId="3405" priority="5097">
      <formula>LEN(TRIM(E106))=0</formula>
    </cfRule>
    <cfRule type="containsText" dxfId="3404" priority="5099" operator="containsText" text="check - see columns S-Z for info">
      <formula>NOT(ISERROR(SEARCH("check - see columns S-Z for info",E106)))</formula>
    </cfRule>
    <cfRule type="containsText" dxfId="3403" priority="5100" operator="containsText" text="Check">
      <formula>NOT(ISERROR(SEARCH("Check",E106)))</formula>
    </cfRule>
    <cfRule type="cellIs" dxfId="3402" priority="5101" operator="equal">
      <formula>"Check"</formula>
    </cfRule>
    <cfRule type="cellIs" dxfId="3401" priority="5102" operator="equal">
      <formula>"Check Validation"</formula>
    </cfRule>
    <cfRule type="cellIs" dxfId="3400" priority="5103" operator="equal">
      <formula>"Check Validations"</formula>
    </cfRule>
    <cfRule type="containsBlanks" dxfId="3399" priority="5104">
      <formula>LEN(TRIM(E106))=0</formula>
    </cfRule>
    <cfRule type="containsText" dxfId="3398" priority="5098" operator="containsText" text="check - see columns S-Z for info">
      <formula>NOT(ISERROR(SEARCH("check - see columns S-Z for info",E106)))</formula>
    </cfRule>
    <cfRule type="containsText" dxfId="3397" priority="5106" operator="containsText" text="check - see columns S-Z for info">
      <formula>NOT(ISERROR(SEARCH("check - see columns S-Z for info",E106)))</formula>
    </cfRule>
    <cfRule type="cellIs" dxfId="3396" priority="5109" operator="equal">
      <formula>"Check Validation"</formula>
    </cfRule>
    <cfRule type="cellIs" dxfId="3395" priority="5110" operator="equal">
      <formula>"Check Validations"</formula>
    </cfRule>
  </conditionalFormatting>
  <conditionalFormatting sqref="E111:E113">
    <cfRule type="cellIs" dxfId="3394" priority="5084" operator="equal">
      <formula>"Check Validations"</formula>
    </cfRule>
    <cfRule type="cellIs" dxfId="3393" priority="5066" operator="equal">
      <formula>"Check"</formula>
    </cfRule>
    <cfRule type="cellIs" dxfId="3392" priority="5067" operator="equal">
      <formula>"Check Validation"</formula>
    </cfRule>
    <cfRule type="cellIs" dxfId="3391" priority="5068" operator="equal">
      <formula>"Check Validations"</formula>
    </cfRule>
    <cfRule type="containsText" dxfId="3390" priority="5069" operator="containsText" text="check - see columns S-Z for info">
      <formula>NOT(ISERROR(SEARCH("check - see columns S-Z for info",E111)))</formula>
    </cfRule>
    <cfRule type="containsBlanks" dxfId="3389" priority="5071">
      <formula>LEN(TRIM(E111))=0</formula>
    </cfRule>
    <cfRule type="containsText" dxfId="3388" priority="5072" operator="containsText" text="check - see columns S-Z for info">
      <formula>NOT(ISERROR(SEARCH("check - see columns S-Z for info",E111)))</formula>
    </cfRule>
    <cfRule type="containsText" dxfId="3387" priority="5073" operator="containsText" text="check - see columns S-Z for info">
      <formula>NOT(ISERROR(SEARCH("check - see columns S-Z for info",E111)))</formula>
    </cfRule>
    <cfRule type="containsText" dxfId="3386" priority="5074" operator="containsText" text="Check">
      <formula>NOT(ISERROR(SEARCH("Check",E111)))</formula>
    </cfRule>
    <cfRule type="cellIs" dxfId="3385" priority="5075" operator="equal">
      <formula>"Check"</formula>
    </cfRule>
    <cfRule type="cellIs" dxfId="3384" priority="5076" operator="equal">
      <formula>"Check Validation"</formula>
    </cfRule>
    <cfRule type="cellIs" dxfId="3383" priority="5077" operator="equal">
      <formula>"Check Validations"</formula>
    </cfRule>
    <cfRule type="containsBlanks" dxfId="3382" priority="5078">
      <formula>LEN(TRIM(E111))=0</formula>
    </cfRule>
    <cfRule type="containsText" dxfId="3381" priority="5079" operator="containsText" text="check - see columns S-Z for info">
      <formula>NOT(ISERROR(SEARCH("check - see columns S-Z for info",E111)))</formula>
    </cfRule>
    <cfRule type="containsText" dxfId="3380" priority="5080" operator="containsText" text="check - see columns S-Z for info">
      <formula>NOT(ISERROR(SEARCH("check - see columns S-Z for info",E111)))</formula>
    </cfRule>
    <cfRule type="cellIs" dxfId="3379" priority="5083" operator="equal">
      <formula>"Check Validation"</formula>
    </cfRule>
    <cfRule type="containsText" dxfId="3378" priority="5059" operator="containsText" text="check - see columns S-Z for info">
      <formula>NOT(ISERROR(SEARCH("check - see columns S-Z for info",E111)))</formula>
    </cfRule>
    <cfRule type="containsText" dxfId="3377" priority="5060" operator="containsText" text="check - see columns S-Z for info">
      <formula>NOT(ISERROR(SEARCH("check - see columns S-Z for info",E111)))</formula>
    </cfRule>
    <cfRule type="containsText" priority="5061" operator="containsText" text="check - see columns S-Z for info">
      <formula>NOT(ISERROR(SEARCH("check - see columns S-Z for info",E111)))</formula>
    </cfRule>
    <cfRule type="containsBlanks" dxfId="3376" priority="5062">
      <formula>LEN(TRIM(E111))=0</formula>
    </cfRule>
    <cfRule type="containsText" dxfId="3375" priority="5063" operator="containsText" text="check - see columns S-Z for info">
      <formula>NOT(ISERROR(SEARCH("check - see columns S-Z for info",E111)))</formula>
    </cfRule>
    <cfRule type="containsText" dxfId="3374" priority="5064" operator="containsText" text="check - see columns S-Z for info">
      <formula>NOT(ISERROR(SEARCH("check - see columns S-Z for info",E111)))</formula>
    </cfRule>
    <cfRule type="containsText" dxfId="3373" priority="5065" operator="containsText" text="Check">
      <formula>NOT(ISERROR(SEARCH("Check",E111)))</formula>
    </cfRule>
  </conditionalFormatting>
  <conditionalFormatting sqref="E116">
    <cfRule type="containsBlanks" dxfId="3372" priority="774">
      <formula>LEN(TRIM(E116))=0</formula>
    </cfRule>
    <cfRule type="containsText" dxfId="3371" priority="776" operator="containsText" text="check - see columns S-Z for info">
      <formula>NOT(ISERROR(SEARCH("check - see columns S-Z for info",E116)))</formula>
    </cfRule>
    <cfRule type="containsText" dxfId="3370" priority="775" operator="containsText" text="check - see columns S-Z for info">
      <formula>NOT(ISERROR(SEARCH("check - see columns S-Z for info",E116)))</formula>
    </cfRule>
    <cfRule type="containsText" dxfId="3369" priority="772" operator="containsText" text="check - see columns S-Z for info">
      <formula>NOT(ISERROR(SEARCH("check - see columns S-Z for info",E116)))</formula>
    </cfRule>
    <cfRule type="cellIs" dxfId="3368" priority="788" operator="equal">
      <formula>"Check Validations"</formula>
    </cfRule>
    <cfRule type="cellIs" dxfId="3367" priority="787" operator="equal">
      <formula>"Check Validation"</formula>
    </cfRule>
    <cfRule type="cellIs" dxfId="3366" priority="786" operator="equal">
      <formula>"Check"</formula>
    </cfRule>
    <cfRule type="containsText" dxfId="3365" priority="785" operator="containsText" text="Check">
      <formula>NOT(ISERROR(SEARCH("Check",E116)))</formula>
    </cfRule>
    <cfRule type="containsText" dxfId="3364" priority="784" operator="containsText" text="check - see columns S-Z for info">
      <formula>NOT(ISERROR(SEARCH("check - see columns S-Z for info",E116)))</formula>
    </cfRule>
    <cfRule type="containsText" dxfId="3363" priority="783" operator="containsText" text="check - see columns S-Z for info">
      <formula>NOT(ISERROR(SEARCH("check - see columns S-Z for info",E116)))</formula>
    </cfRule>
    <cfRule type="containsBlanks" dxfId="3362" priority="782">
      <formula>LEN(TRIM(E116))=0</formula>
    </cfRule>
    <cfRule type="cellIs" dxfId="3361" priority="780" operator="equal">
      <formula>"Check Validations"</formula>
    </cfRule>
    <cfRule type="cellIs" dxfId="3360" priority="779" operator="equal">
      <formula>"Check Validation"</formula>
    </cfRule>
    <cfRule type="cellIs" dxfId="3359" priority="778" operator="equal">
      <formula>"Check"</formula>
    </cfRule>
    <cfRule type="containsText" dxfId="3358" priority="777" operator="containsText" text="Check">
      <formula>NOT(ISERROR(SEARCH("Check",E116)))</formula>
    </cfRule>
  </conditionalFormatting>
  <conditionalFormatting sqref="E116:E118">
    <cfRule type="containsText" dxfId="3357" priority="790" operator="containsText" text="check - see columns S-Z for info">
      <formula>NOT(ISERROR(SEARCH("check - see columns S-Z for info",E116)))</formula>
    </cfRule>
    <cfRule type="containsText" dxfId="3356" priority="791" operator="containsText" text="check - see columns S-Z for info">
      <formula>NOT(ISERROR(SEARCH("check - see columns S-Z for info",E116)))</formula>
    </cfRule>
    <cfRule type="cellIs" dxfId="3355" priority="794" operator="equal">
      <formula>"Check Validation"</formula>
    </cfRule>
    <cfRule type="containsText" dxfId="3354" priority="771" operator="containsText" text="check - see columns S-Z for info">
      <formula>NOT(ISERROR(SEARCH("check - see columns S-Z for info",E116)))</formula>
    </cfRule>
    <cfRule type="containsText" priority="773" operator="containsText" text="check - see columns S-Z for info">
      <formula>NOT(ISERROR(SEARCH("check - see columns S-Z for info",E116)))</formula>
    </cfRule>
    <cfRule type="cellIs" dxfId="3353" priority="795" operator="equal">
      <formula>"Check Validations"</formula>
    </cfRule>
    <cfRule type="containsText" dxfId="3352" priority="781" operator="containsText" text="check - see columns S-Z for info">
      <formula>NOT(ISERROR(SEARCH("check - see columns S-Z for info",E116)))</formula>
    </cfRule>
    <cfRule type="containsBlanks" dxfId="3351" priority="789">
      <formula>LEN(TRIM(E116))=0</formula>
    </cfRule>
  </conditionalFormatting>
  <conditionalFormatting sqref="E117:E118">
    <cfRule type="cellIs" dxfId="3350" priority="5040" operator="equal">
      <formula>"Check"</formula>
    </cfRule>
    <cfRule type="containsText" dxfId="3349" priority="5043" operator="containsText" text="check - see columns S-Z for info">
      <formula>NOT(ISERROR(SEARCH("check - see columns S-Z for info",E117)))</formula>
    </cfRule>
    <cfRule type="containsText" dxfId="3348" priority="5046" operator="containsText" text="check - see columns S-Z for info">
      <formula>NOT(ISERROR(SEARCH("check - see columns S-Z for info",E117)))</formula>
    </cfRule>
    <cfRule type="containsText" dxfId="3347" priority="5054" operator="containsText" text="check - see columns S-Z for info">
      <formula>NOT(ISERROR(SEARCH("check - see columns S-Z for info",E117)))</formula>
    </cfRule>
    <cfRule type="containsText" dxfId="3346" priority="5053" operator="containsText" text="check - see columns S-Z for info">
      <formula>NOT(ISERROR(SEARCH("check - see columns S-Z for info",E117)))</formula>
    </cfRule>
    <cfRule type="containsBlanks" dxfId="3345" priority="5052">
      <formula>LEN(TRIM(E117))=0</formula>
    </cfRule>
    <cfRule type="cellIs" dxfId="3344" priority="5051" operator="equal">
      <formula>"Check Validations"</formula>
    </cfRule>
    <cfRule type="cellIs" dxfId="3343" priority="5050" operator="equal">
      <formula>"Check Validation"</formula>
    </cfRule>
    <cfRule type="cellIs" dxfId="3342" priority="5049" operator="equal">
      <formula>"Check"</formula>
    </cfRule>
    <cfRule type="containsText" dxfId="3341" priority="5048" operator="containsText" text="Check">
      <formula>NOT(ISERROR(SEARCH("Check",E117)))</formula>
    </cfRule>
    <cfRule type="containsText" dxfId="3340" priority="5047" operator="containsText" text="check - see columns S-Z for info">
      <formula>NOT(ISERROR(SEARCH("check - see columns S-Z for info",E117)))</formula>
    </cfRule>
    <cfRule type="containsBlanks" dxfId="3339" priority="5045">
      <formula>LEN(TRIM(E117))=0</formula>
    </cfRule>
    <cfRule type="cellIs" dxfId="3338" priority="5056" operator="equal">
      <formula>"Check"</formula>
    </cfRule>
    <cfRule type="containsText" dxfId="3337" priority="5055" operator="containsText" text="Check">
      <formula>NOT(ISERROR(SEARCH("Check",E117)))</formula>
    </cfRule>
    <cfRule type="containsText" dxfId="3336" priority="5039" operator="containsText" text="Check">
      <formula>NOT(ISERROR(SEARCH("Check",E117)))</formula>
    </cfRule>
  </conditionalFormatting>
  <conditionalFormatting sqref="E117:E120">
    <cfRule type="cellIs" dxfId="3335" priority="5058" operator="equal">
      <formula>"Check Validations"</formula>
    </cfRule>
    <cfRule type="cellIs" dxfId="3334" priority="5057" operator="equal">
      <formula>"Check Validation"</formula>
    </cfRule>
  </conditionalFormatting>
  <conditionalFormatting sqref="E122:E135">
    <cfRule type="containsText" dxfId="3333" priority="5013" operator="containsText" text="Check">
      <formula>NOT(ISERROR(SEARCH("Check",E122)))</formula>
    </cfRule>
    <cfRule type="containsText" dxfId="3332" priority="5012" operator="containsText" text="check - see columns S-Z for info">
      <formula>NOT(ISERROR(SEARCH("check - see columns S-Z for info",E122)))</formula>
    </cfRule>
    <cfRule type="containsText" dxfId="3331" priority="5011" operator="containsText" text="check - see columns S-Z for info">
      <formula>NOT(ISERROR(SEARCH("check - see columns S-Z for info",E122)))</formula>
    </cfRule>
    <cfRule type="containsBlanks" dxfId="3330" priority="5010">
      <formula>LEN(TRIM(E122))=0</formula>
    </cfRule>
    <cfRule type="containsText" priority="5009" operator="containsText" text="check - see columns S-Z for info">
      <formula>NOT(ISERROR(SEARCH("check - see columns S-Z for info",E122)))</formula>
    </cfRule>
    <cfRule type="containsText" dxfId="3329" priority="5008" operator="containsText" text="check - see columns S-Z for info">
      <formula>NOT(ISERROR(SEARCH("check - see columns S-Z for info",E122)))</formula>
    </cfRule>
    <cfRule type="containsText" dxfId="3328" priority="5007" operator="containsText" text="check - see columns S-Z for info">
      <formula>NOT(ISERROR(SEARCH("check - see columns S-Z for info",E122)))</formula>
    </cfRule>
    <cfRule type="cellIs" dxfId="3327" priority="5024" operator="equal">
      <formula>"Check Validation"</formula>
    </cfRule>
    <cfRule type="containsBlanks" dxfId="3326" priority="5026">
      <formula>LEN(TRIM(E122))=0</formula>
    </cfRule>
    <cfRule type="cellIs" dxfId="3325" priority="5032" operator="equal">
      <formula>"Check Validations"</formula>
    </cfRule>
    <cfRule type="cellIs" dxfId="3324" priority="5031" operator="equal">
      <formula>"Check Validation"</formula>
    </cfRule>
    <cfRule type="containsText" dxfId="3323" priority="5028" operator="containsText" text="check - see columns S-Z for info">
      <formula>NOT(ISERROR(SEARCH("check - see columns S-Z for info",E122)))</formula>
    </cfRule>
    <cfRule type="containsText" dxfId="3322" priority="5027" operator="containsText" text="check - see columns S-Z for info">
      <formula>NOT(ISERROR(SEARCH("check - see columns S-Z for info",E122)))</formula>
    </cfRule>
    <cfRule type="cellIs" dxfId="3321" priority="5025" operator="equal">
      <formula>"Check Validations"</formula>
    </cfRule>
    <cfRule type="cellIs" dxfId="3320" priority="5023" operator="equal">
      <formula>"Check"</formula>
    </cfRule>
    <cfRule type="containsText" dxfId="3319" priority="5022" operator="containsText" text="Check">
      <formula>NOT(ISERROR(SEARCH("Check",E122)))</formula>
    </cfRule>
    <cfRule type="containsText" dxfId="3318" priority="5021" operator="containsText" text="check - see columns S-Z for info">
      <formula>NOT(ISERROR(SEARCH("check - see columns S-Z for info",E122)))</formula>
    </cfRule>
    <cfRule type="containsText" dxfId="3317" priority="5020" operator="containsText" text="check - see columns S-Z for info">
      <formula>NOT(ISERROR(SEARCH("check - see columns S-Z for info",E122)))</formula>
    </cfRule>
    <cfRule type="containsBlanks" dxfId="3316" priority="5019">
      <formula>LEN(TRIM(E122))=0</formula>
    </cfRule>
    <cfRule type="containsText" dxfId="3315" priority="5017" operator="containsText" text="check - see columns S-Z for info">
      <formula>NOT(ISERROR(SEARCH("check - see columns S-Z for info",E122)))</formula>
    </cfRule>
    <cfRule type="cellIs" dxfId="3314" priority="5016" operator="equal">
      <formula>"Check Validations"</formula>
    </cfRule>
    <cfRule type="cellIs" dxfId="3313" priority="5015" operator="equal">
      <formula>"Check Validation"</formula>
    </cfRule>
    <cfRule type="cellIs" dxfId="3312" priority="5014" operator="equal">
      <formula>"Check"</formula>
    </cfRule>
  </conditionalFormatting>
  <conditionalFormatting sqref="E139">
    <cfRule type="containsText" priority="798" operator="containsText" text="check - see columns S-Z for info">
      <formula>NOT(ISERROR(SEARCH("check - see columns S-Z for info",E139)))</formula>
    </cfRule>
    <cfRule type="cellIs" dxfId="3311" priority="804" operator="equal">
      <formula>"Check Validation"</formula>
    </cfRule>
    <cfRule type="cellIs" dxfId="3310" priority="805" operator="equal">
      <formula>"Check Validations"</formula>
    </cfRule>
    <cfRule type="containsText" dxfId="3309" priority="796" operator="containsText" text="check - see columns S-Z for info">
      <formula>NOT(ISERROR(SEARCH("check - see columns S-Z for info",E139)))</formula>
    </cfRule>
    <cfRule type="containsText" dxfId="3308" priority="797" operator="containsText" text="check - see columns S-Z for info">
      <formula>NOT(ISERROR(SEARCH("check - see columns S-Z for info",E139)))</formula>
    </cfRule>
    <cfRule type="containsBlanks" dxfId="3307" priority="814">
      <formula>LEN(TRIM(E139))=0</formula>
    </cfRule>
    <cfRule type="containsText" dxfId="3306" priority="806" operator="containsText" text="check - see columns S-Z for info">
      <formula>NOT(ISERROR(SEARCH("check - see columns S-Z for info",E139)))</formula>
    </cfRule>
    <cfRule type="containsBlanks" dxfId="3305" priority="799">
      <formula>LEN(TRIM(E139))=0</formula>
    </cfRule>
    <cfRule type="containsText" dxfId="3304" priority="800" operator="containsText" text="check - see columns S-Z for info">
      <formula>NOT(ISERROR(SEARCH("check - see columns S-Z for info",E139)))</formula>
    </cfRule>
    <cfRule type="containsText" dxfId="3303" priority="801" operator="containsText" text="check - see columns S-Z for info">
      <formula>NOT(ISERROR(SEARCH("check - see columns S-Z for info",E139)))</formula>
    </cfRule>
    <cfRule type="containsText" dxfId="3302" priority="802" operator="containsText" text="Check">
      <formula>NOT(ISERROR(SEARCH("Check",E139)))</formula>
    </cfRule>
    <cfRule type="cellIs" dxfId="3301" priority="803" operator="equal">
      <formula>"Check"</formula>
    </cfRule>
    <cfRule type="containsBlanks" dxfId="3300" priority="807">
      <formula>LEN(TRIM(E139))=0</formula>
    </cfRule>
    <cfRule type="containsText" dxfId="3299" priority="808" operator="containsText" text="check - see columns S-Z for info">
      <formula>NOT(ISERROR(SEARCH("check - see columns S-Z for info",E139)))</formula>
    </cfRule>
    <cfRule type="containsText" dxfId="3298" priority="809" operator="containsText" text="check - see columns S-Z for info">
      <formula>NOT(ISERROR(SEARCH("check - see columns S-Z for info",E139)))</formula>
    </cfRule>
    <cfRule type="containsText" dxfId="3297" priority="810" operator="containsText" text="Check">
      <formula>NOT(ISERROR(SEARCH("Check",E139)))</formula>
    </cfRule>
    <cfRule type="cellIs" dxfId="3296" priority="811" operator="equal">
      <formula>"Check"</formula>
    </cfRule>
    <cfRule type="cellIs" dxfId="3295" priority="812" operator="equal">
      <formula>"Check Validation"</formula>
    </cfRule>
    <cfRule type="cellIs" dxfId="3294" priority="813" operator="equal">
      <formula>"Check Validations"</formula>
    </cfRule>
    <cfRule type="containsText" dxfId="3293" priority="815" operator="containsText" text="check - see columns S-Z for info">
      <formula>NOT(ISERROR(SEARCH("check - see columns S-Z for info",E139)))</formula>
    </cfRule>
    <cfRule type="containsText" dxfId="3292" priority="816" operator="containsText" text="check - see columns S-Z for info">
      <formula>NOT(ISERROR(SEARCH("check - see columns S-Z for info",E139)))</formula>
    </cfRule>
    <cfRule type="cellIs" dxfId="3291" priority="819" operator="equal">
      <formula>"Check Validation"</formula>
    </cfRule>
    <cfRule type="cellIs" dxfId="3290" priority="820" operator="equal">
      <formula>"Check Validations"</formula>
    </cfRule>
  </conditionalFormatting>
  <conditionalFormatting sqref="E142">
    <cfRule type="containsText" dxfId="3289" priority="4970" operator="containsText" text="Check">
      <formula>NOT(ISERROR(SEARCH("Check",E142)))</formula>
    </cfRule>
    <cfRule type="containsText" dxfId="3288" priority="4977" operator="containsText" text="Check">
      <formula>NOT(ISERROR(SEARCH("Check",E142)))</formula>
    </cfRule>
    <cfRule type="cellIs" dxfId="3287" priority="4972" operator="equal">
      <formula>"Check Validation"</formula>
    </cfRule>
    <cfRule type="cellIs" dxfId="3286" priority="4973" operator="equal">
      <formula>"Check Validations"</formula>
    </cfRule>
    <cfRule type="containsBlanks" dxfId="3285" priority="4974">
      <formula>LEN(TRIM(E142))=0</formula>
    </cfRule>
    <cfRule type="containsText" dxfId="3284" priority="4975" operator="containsText" text="check - see columns S-Z for info">
      <formula>NOT(ISERROR(SEARCH("check - see columns S-Z for info",E142)))</formula>
    </cfRule>
    <cfRule type="containsText" dxfId="3283" priority="4976" operator="containsText" text="check - see columns S-Z for info">
      <formula>NOT(ISERROR(SEARCH("check - see columns S-Z for info",E142)))</formula>
    </cfRule>
    <cfRule type="cellIs" dxfId="3282" priority="4978" operator="equal">
      <formula>"Check"</formula>
    </cfRule>
    <cfRule type="cellIs" dxfId="3281" priority="4979" operator="equal">
      <formula>"Check Validation"</formula>
    </cfRule>
    <cfRule type="cellIs" dxfId="3280" priority="4971" operator="equal">
      <formula>"Check"</formula>
    </cfRule>
    <cfRule type="cellIs" dxfId="3279" priority="4980" operator="equal">
      <formula>"Check Validations"</formula>
    </cfRule>
    <cfRule type="containsText" dxfId="3278" priority="4969" operator="containsText" text="check - see columns S-Z for info">
      <formula>NOT(ISERROR(SEARCH("check - see columns S-Z for info",E142)))</formula>
    </cfRule>
    <cfRule type="containsBlanks" dxfId="3277" priority="4967">
      <formula>LEN(TRIM(E142))=0</formula>
    </cfRule>
    <cfRule type="containsText" dxfId="3276" priority="4965" operator="containsText" text="check - see columns S-Z for info">
      <formula>NOT(ISERROR(SEARCH("check - see columns S-Z for info",E142)))</formula>
    </cfRule>
    <cfRule type="containsText" dxfId="3275" priority="4968" operator="containsText" text="check - see columns S-Z for info">
      <formula>NOT(ISERROR(SEARCH("check - see columns S-Z for info",E142)))</formula>
    </cfRule>
    <cfRule type="containsText" dxfId="3274" priority="4956" operator="containsText" text="check - see columns S-Z for info">
      <formula>NOT(ISERROR(SEARCH("check - see columns S-Z for info",E142)))</formula>
    </cfRule>
    <cfRule type="containsText" priority="4957" operator="containsText" text="check - see columns S-Z for info">
      <formula>NOT(ISERROR(SEARCH("check - see columns S-Z for info",E142)))</formula>
    </cfRule>
    <cfRule type="containsText" dxfId="3273" priority="4959" operator="containsText" text="check - see columns S-Z for info">
      <formula>NOT(ISERROR(SEARCH("check - see columns S-Z for info",E142)))</formula>
    </cfRule>
    <cfRule type="cellIs" dxfId="3272" priority="4964" operator="equal">
      <formula>"Check Validations"</formula>
    </cfRule>
    <cfRule type="cellIs" dxfId="3271" priority="4963" operator="equal">
      <formula>"Check Validation"</formula>
    </cfRule>
    <cfRule type="containsBlanks" dxfId="3270" priority="4958">
      <formula>LEN(TRIM(E142))=0</formula>
    </cfRule>
    <cfRule type="containsText" dxfId="3269" priority="4960" operator="containsText" text="check - see columns S-Z for info">
      <formula>NOT(ISERROR(SEARCH("check - see columns S-Z for info",E142)))</formula>
    </cfRule>
    <cfRule type="containsText" dxfId="3268" priority="4961" operator="containsText" text="Check">
      <formula>NOT(ISERROR(SEARCH("Check",E142)))</formula>
    </cfRule>
    <cfRule type="cellIs" dxfId="3267" priority="4962" operator="equal">
      <formula>"Check"</formula>
    </cfRule>
    <cfRule type="containsText" dxfId="3266" priority="4955" operator="containsText" text="check - see columns S-Z for info">
      <formula>NOT(ISERROR(SEARCH("check - see columns S-Z for info",E142)))</formula>
    </cfRule>
  </conditionalFormatting>
  <conditionalFormatting sqref="E145">
    <cfRule type="cellIs" dxfId="3265" priority="4937" operator="equal">
      <formula>"Check Validation"</formula>
    </cfRule>
    <cfRule type="containsBlanks" dxfId="3264" priority="4948">
      <formula>LEN(TRIM(E145))=0</formula>
    </cfRule>
    <cfRule type="cellIs" dxfId="3263" priority="4947" operator="equal">
      <formula>"Check Validations"</formula>
    </cfRule>
    <cfRule type="cellIs" dxfId="3262" priority="4946" operator="equal">
      <formula>"Check Validation"</formula>
    </cfRule>
    <cfRule type="cellIs" dxfId="3261" priority="4945" operator="equal">
      <formula>"Check"</formula>
    </cfRule>
    <cfRule type="containsText" dxfId="3260" priority="4944" operator="containsText" text="Check">
      <formula>NOT(ISERROR(SEARCH("Check",E145)))</formula>
    </cfRule>
    <cfRule type="containsText" dxfId="3259" priority="4943" operator="containsText" text="check - see columns S-Z for info">
      <formula>NOT(ISERROR(SEARCH("check - see columns S-Z for info",E145)))</formula>
    </cfRule>
    <cfRule type="containsText" dxfId="3258" priority="4942" operator="containsText" text="check - see columns S-Z for info">
      <formula>NOT(ISERROR(SEARCH("check - see columns S-Z for info",E145)))</formula>
    </cfRule>
    <cfRule type="containsBlanks" dxfId="3257" priority="4941">
      <formula>LEN(TRIM(E145))=0</formula>
    </cfRule>
    <cfRule type="containsText" dxfId="3256" priority="4939" operator="containsText" text="check - see columns S-Z for info">
      <formula>NOT(ISERROR(SEARCH("check - see columns S-Z for info",E145)))</formula>
    </cfRule>
    <cfRule type="containsText" dxfId="3255" priority="4929" operator="containsText" text="check - see columns S-Z for info">
      <formula>NOT(ISERROR(SEARCH("check - see columns S-Z for info",E145)))</formula>
    </cfRule>
    <cfRule type="containsText" dxfId="3254" priority="4930" operator="containsText" text="check - see columns S-Z for info">
      <formula>NOT(ISERROR(SEARCH("check - see columns S-Z for info",E145)))</formula>
    </cfRule>
    <cfRule type="containsText" priority="4931" operator="containsText" text="check - see columns S-Z for info">
      <formula>NOT(ISERROR(SEARCH("check - see columns S-Z for info",E145)))</formula>
    </cfRule>
    <cfRule type="containsBlanks" dxfId="3253" priority="4932">
      <formula>LEN(TRIM(E145))=0</formula>
    </cfRule>
    <cfRule type="containsText" dxfId="3252" priority="4933" operator="containsText" text="check - see columns S-Z for info">
      <formula>NOT(ISERROR(SEARCH("check - see columns S-Z for info",E145)))</formula>
    </cfRule>
    <cfRule type="cellIs" dxfId="3251" priority="4938" operator="equal">
      <formula>"Check Validations"</formula>
    </cfRule>
    <cfRule type="containsText" dxfId="3250" priority="4934" operator="containsText" text="check - see columns S-Z for info">
      <formula>NOT(ISERROR(SEARCH("check - see columns S-Z for info",E145)))</formula>
    </cfRule>
    <cfRule type="containsText" dxfId="3249" priority="4935" operator="containsText" text="Check">
      <formula>NOT(ISERROR(SEARCH("Check",E145)))</formula>
    </cfRule>
    <cfRule type="cellIs" dxfId="3248" priority="4936" operator="equal">
      <formula>"Check"</formula>
    </cfRule>
    <cfRule type="cellIs" dxfId="3247" priority="4954" operator="equal">
      <formula>"Check Validations"</formula>
    </cfRule>
    <cfRule type="cellIs" dxfId="3246" priority="4953" operator="equal">
      <formula>"Check Validation"</formula>
    </cfRule>
    <cfRule type="cellIs" dxfId="3245" priority="4952" operator="equal">
      <formula>"Check"</formula>
    </cfRule>
    <cfRule type="containsText" dxfId="3244" priority="4951" operator="containsText" text="Check">
      <formula>NOT(ISERROR(SEARCH("Check",E145)))</formula>
    </cfRule>
    <cfRule type="containsText" dxfId="3243" priority="4950" operator="containsText" text="check - see columns S-Z for info">
      <formula>NOT(ISERROR(SEARCH("check - see columns S-Z for info",E145)))</formula>
    </cfRule>
    <cfRule type="containsText" dxfId="3242" priority="4949" operator="containsText" text="check - see columns S-Z for info">
      <formula>NOT(ISERROR(SEARCH("check - see columns S-Z for info",E145)))</formula>
    </cfRule>
  </conditionalFormatting>
  <conditionalFormatting sqref="E149:E151">
    <cfRule type="containsText" dxfId="3241" priority="4918" operator="containsText" text="Check">
      <formula>NOT(ISERROR(SEARCH("Check",E149)))</formula>
    </cfRule>
    <cfRule type="containsText" dxfId="3240" priority="4903" operator="containsText" text="check - see columns S-Z for info">
      <formula>NOT(ISERROR(SEARCH("check - see columns S-Z for info",E149)))</formula>
    </cfRule>
    <cfRule type="cellIs" dxfId="3239" priority="4919" operator="equal">
      <formula>"Check"</formula>
    </cfRule>
    <cfRule type="cellIs" dxfId="3238" priority="4920" operator="equal">
      <formula>"Check Validation"</formula>
    </cfRule>
    <cfRule type="cellIs" dxfId="3237" priority="4921" operator="equal">
      <formula>"Check Validations"</formula>
    </cfRule>
    <cfRule type="containsBlanks" dxfId="3236" priority="4922">
      <formula>LEN(TRIM(E149))=0</formula>
    </cfRule>
    <cfRule type="containsText" dxfId="3235" priority="4923" operator="containsText" text="check - see columns S-Z for info">
      <formula>NOT(ISERROR(SEARCH("check - see columns S-Z for info",E149)))</formula>
    </cfRule>
    <cfRule type="cellIs" dxfId="3234" priority="4910" operator="equal">
      <formula>"Check"</formula>
    </cfRule>
    <cfRule type="containsText" dxfId="3233" priority="4924" operator="containsText" text="check - see columns S-Z for info">
      <formula>NOT(ISERROR(SEARCH("check - see columns S-Z for info",E149)))</formula>
    </cfRule>
    <cfRule type="containsText" dxfId="3232" priority="4917" operator="containsText" text="check - see columns S-Z for info">
      <formula>NOT(ISERROR(SEARCH("check - see columns S-Z for info",E149)))</formula>
    </cfRule>
    <cfRule type="containsText" dxfId="3231" priority="4904" operator="containsText" text="check - see columns S-Z for info">
      <formula>NOT(ISERROR(SEARCH("check - see columns S-Z for info",E149)))</formula>
    </cfRule>
    <cfRule type="containsText" priority="4905" operator="containsText" text="check - see columns S-Z for info">
      <formula>NOT(ISERROR(SEARCH("check - see columns S-Z for info",E149)))</formula>
    </cfRule>
    <cfRule type="containsBlanks" dxfId="3230" priority="4906">
      <formula>LEN(TRIM(E149))=0</formula>
    </cfRule>
    <cfRule type="containsText" dxfId="3229" priority="4907" operator="containsText" text="check - see columns S-Z for info">
      <formula>NOT(ISERROR(SEARCH("check - see columns S-Z for info",E149)))</formula>
    </cfRule>
    <cfRule type="containsText" dxfId="3228" priority="4908" operator="containsText" text="check - see columns S-Z for info">
      <formula>NOT(ISERROR(SEARCH("check - see columns S-Z for info",E149)))</formula>
    </cfRule>
    <cfRule type="containsText" dxfId="3227" priority="4909" operator="containsText" text="Check">
      <formula>NOT(ISERROR(SEARCH("Check",E149)))</formula>
    </cfRule>
    <cfRule type="cellIs" dxfId="3226" priority="4911" operator="equal">
      <formula>"Check Validation"</formula>
    </cfRule>
    <cfRule type="cellIs" dxfId="3225" priority="4912" operator="equal">
      <formula>"Check Validations"</formula>
    </cfRule>
    <cfRule type="containsText" dxfId="3224" priority="4913" operator="containsText" text="check - see columns S-Z for info">
      <formula>NOT(ISERROR(SEARCH("check - see columns S-Z for info",E149)))</formula>
    </cfRule>
    <cfRule type="containsBlanks" dxfId="3223" priority="4915">
      <formula>LEN(TRIM(E149))=0</formula>
    </cfRule>
    <cfRule type="containsText" dxfId="3222" priority="4916" operator="containsText" text="check - see columns S-Z for info">
      <formula>NOT(ISERROR(SEARCH("check - see columns S-Z for info",E149)))</formula>
    </cfRule>
  </conditionalFormatting>
  <conditionalFormatting sqref="E156">
    <cfRule type="cellIs" dxfId="3221" priority="828" operator="equal">
      <formula>"Check"</formula>
    </cfRule>
    <cfRule type="containsText" dxfId="3220" priority="822" operator="containsText" text="check - see columns S-Z for info">
      <formula>NOT(ISERROR(SEARCH("check - see columns S-Z for info",E156)))</formula>
    </cfRule>
    <cfRule type="cellIs" dxfId="3219" priority="838" operator="equal">
      <formula>"Check Validations"</formula>
    </cfRule>
    <cfRule type="containsBlanks" dxfId="3218" priority="824">
      <formula>LEN(TRIM(E156))=0</formula>
    </cfRule>
    <cfRule type="containsText" dxfId="3217" priority="825" operator="containsText" text="check - see columns S-Z for info">
      <formula>NOT(ISERROR(SEARCH("check - see columns S-Z for info",E156)))</formula>
    </cfRule>
    <cfRule type="containsText" dxfId="3216" priority="826" operator="containsText" text="check - see columns S-Z for info">
      <formula>NOT(ISERROR(SEARCH("check - see columns S-Z for info",E156)))</formula>
    </cfRule>
    <cfRule type="containsText" dxfId="3215" priority="827" operator="containsText" text="Check">
      <formula>NOT(ISERROR(SEARCH("Check",E156)))</formula>
    </cfRule>
    <cfRule type="cellIs" dxfId="3214" priority="829" operator="equal">
      <formula>"Check Validation"</formula>
    </cfRule>
    <cfRule type="cellIs" dxfId="3213" priority="830" operator="equal">
      <formula>"Check Validations"</formula>
    </cfRule>
    <cfRule type="containsBlanks" dxfId="3212" priority="832">
      <formula>LEN(TRIM(E156))=0</formula>
    </cfRule>
    <cfRule type="containsText" dxfId="3211" priority="833" operator="containsText" text="check - see columns S-Z for info">
      <formula>NOT(ISERROR(SEARCH("check - see columns S-Z for info",E156)))</formula>
    </cfRule>
    <cfRule type="containsText" dxfId="3210" priority="834" operator="containsText" text="check - see columns S-Z for info">
      <formula>NOT(ISERROR(SEARCH("check - see columns S-Z for info",E156)))</formula>
    </cfRule>
    <cfRule type="containsText" dxfId="3209" priority="835" operator="containsText" text="Check">
      <formula>NOT(ISERROR(SEARCH("Check",E156)))</formula>
    </cfRule>
    <cfRule type="cellIs" dxfId="3208" priority="836" operator="equal">
      <formula>"Check"</formula>
    </cfRule>
    <cfRule type="cellIs" dxfId="3207" priority="837" operator="equal">
      <formula>"Check Validation"</formula>
    </cfRule>
  </conditionalFormatting>
  <conditionalFormatting sqref="E156:E157">
    <cfRule type="containsText" priority="823" operator="containsText" text="check - see columns S-Z for info">
      <formula>NOT(ISERROR(SEARCH("check - see columns S-Z for info",E156)))</formula>
    </cfRule>
    <cfRule type="containsText" dxfId="3206" priority="831" operator="containsText" text="check - see columns S-Z for info">
      <formula>NOT(ISERROR(SEARCH("check - see columns S-Z for info",E156)))</formula>
    </cfRule>
    <cfRule type="containsText" dxfId="3205" priority="821" operator="containsText" text="check - see columns S-Z for info">
      <formula>NOT(ISERROR(SEARCH("check - see columns S-Z for info",E156)))</formula>
    </cfRule>
    <cfRule type="containsBlanks" dxfId="3204" priority="839">
      <formula>LEN(TRIM(E156))=0</formula>
    </cfRule>
    <cfRule type="cellIs" dxfId="3203" priority="844" operator="equal">
      <formula>"Check Validation"</formula>
    </cfRule>
    <cfRule type="cellIs" dxfId="3202" priority="845" operator="equal">
      <formula>"Check Validations"</formula>
    </cfRule>
    <cfRule type="containsText" dxfId="3201" priority="841" operator="containsText" text="check - see columns S-Z for info">
      <formula>NOT(ISERROR(SEARCH("check - see columns S-Z for info",E156)))</formula>
    </cfRule>
    <cfRule type="containsText" dxfId="3200" priority="840" operator="containsText" text="check - see columns S-Z for info">
      <formula>NOT(ISERROR(SEARCH("check - see columns S-Z for info",E156)))</formula>
    </cfRule>
  </conditionalFormatting>
  <conditionalFormatting sqref="E157">
    <cfRule type="cellIs" dxfId="3199" priority="862" operator="equal">
      <formula>"Check Validation"</formula>
    </cfRule>
    <cfRule type="containsBlanks" dxfId="3198" priority="857">
      <formula>LEN(TRIM(E157))=0</formula>
    </cfRule>
    <cfRule type="containsText" dxfId="3197" priority="856" operator="containsText" text="check - see columns S-Z for info">
      <formula>NOT(ISERROR(SEARCH("check - see columns S-Z for info",E157)))</formula>
    </cfRule>
    <cfRule type="containsText" dxfId="3196" priority="866" operator="containsText" text="check - see columns S-Z for info">
      <formula>NOT(ISERROR(SEARCH("check - see columns S-Z for info",E157)))</formula>
    </cfRule>
    <cfRule type="containsBlanks" dxfId="3195" priority="864">
      <formula>LEN(TRIM(E157))=0</formula>
    </cfRule>
    <cfRule type="containsText" dxfId="3194" priority="867" operator="containsText" text="Check">
      <formula>NOT(ISERROR(SEARCH("Check",E157)))</formula>
    </cfRule>
    <cfRule type="containsText" dxfId="3193" priority="858" operator="containsText" text="check - see columns S-Z for info">
      <formula>NOT(ISERROR(SEARCH("check - see columns S-Z for info",E157)))</formula>
    </cfRule>
    <cfRule type="cellIs" dxfId="3192" priority="863" operator="equal">
      <formula>"Check Validations"</formula>
    </cfRule>
    <cfRule type="cellIs" dxfId="3191" priority="868" operator="equal">
      <formula>"Check"</formula>
    </cfRule>
    <cfRule type="cellIs" dxfId="3190" priority="869" operator="equal">
      <formula>"Check Validation"</formula>
    </cfRule>
    <cfRule type="cellIs" dxfId="3189" priority="870" operator="equal">
      <formula>"Check Validations"</formula>
    </cfRule>
    <cfRule type="containsText" dxfId="3188" priority="859" operator="containsText" text="check - see columns S-Z for info">
      <formula>NOT(ISERROR(SEARCH("check - see columns S-Z for info",E157)))</formula>
    </cfRule>
    <cfRule type="containsText" dxfId="3187" priority="860" operator="containsText" text="Check">
      <formula>NOT(ISERROR(SEARCH("Check",E157)))</formula>
    </cfRule>
    <cfRule type="cellIs" dxfId="3186" priority="861" operator="equal">
      <formula>"Check"</formula>
    </cfRule>
    <cfRule type="containsText" dxfId="3185" priority="865" operator="containsText" text="check - see columns S-Z for info">
      <formula>NOT(ISERROR(SEARCH("check - see columns S-Z for info",E157)))</formula>
    </cfRule>
  </conditionalFormatting>
  <conditionalFormatting sqref="E161">
    <cfRule type="containsBlanks" dxfId="3184" priority="4863">
      <formula>LEN(TRIM(E161))=0</formula>
    </cfRule>
    <cfRule type="containsText" dxfId="3183" priority="4861" operator="containsText" text="check - see columns S-Z for info">
      <formula>NOT(ISERROR(SEARCH("check - see columns S-Z for info",E161)))</formula>
    </cfRule>
    <cfRule type="cellIs" dxfId="3182" priority="4869" operator="equal">
      <formula>"Check Validations"</formula>
    </cfRule>
    <cfRule type="cellIs" dxfId="3181" priority="4876" operator="equal">
      <formula>"Check Validations"</formula>
    </cfRule>
    <cfRule type="cellIs" dxfId="3180" priority="4875" operator="equal">
      <formula>"Check Validation"</formula>
    </cfRule>
    <cfRule type="cellIs" dxfId="3179" priority="4874" operator="equal">
      <formula>"Check"</formula>
    </cfRule>
    <cfRule type="containsText" dxfId="3178" priority="4873" operator="containsText" text="Check">
      <formula>NOT(ISERROR(SEARCH("Check",E161)))</formula>
    </cfRule>
    <cfRule type="containsText" dxfId="3177" priority="4872" operator="containsText" text="check - see columns S-Z for info">
      <formula>NOT(ISERROR(SEARCH("check - see columns S-Z for info",E161)))</formula>
    </cfRule>
    <cfRule type="containsText" dxfId="3176" priority="4871" operator="containsText" text="check - see columns S-Z for info">
      <formula>NOT(ISERROR(SEARCH("check - see columns S-Z for info",E161)))</formula>
    </cfRule>
    <cfRule type="containsBlanks" dxfId="3175" priority="4870">
      <formula>LEN(TRIM(E161))=0</formula>
    </cfRule>
    <cfRule type="cellIs" dxfId="3174" priority="4868" operator="equal">
      <formula>"Check Validation"</formula>
    </cfRule>
    <cfRule type="cellIs" dxfId="3173" priority="4867" operator="equal">
      <formula>"Check"</formula>
    </cfRule>
    <cfRule type="containsText" dxfId="3172" priority="4866" operator="containsText" text="Check">
      <formula>NOT(ISERROR(SEARCH("Check",E161)))</formula>
    </cfRule>
    <cfRule type="containsText" dxfId="3171" priority="4865" operator="containsText" text="check - see columns S-Z for info">
      <formula>NOT(ISERROR(SEARCH("check - see columns S-Z for info",E161)))</formula>
    </cfRule>
    <cfRule type="containsText" dxfId="3170" priority="4864" operator="containsText" text="check - see columns S-Z for info">
      <formula>NOT(ISERROR(SEARCH("check - see columns S-Z for info",E161)))</formula>
    </cfRule>
  </conditionalFormatting>
  <conditionalFormatting sqref="E161:E162">
    <cfRule type="containsText" priority="873" operator="containsText" text="check - see columns S-Z for info">
      <formula>NOT(ISERROR(SEARCH("check - see columns S-Z for info",E161)))</formula>
    </cfRule>
    <cfRule type="containsText" dxfId="3169" priority="871" operator="containsText" text="check - see columns S-Z for info">
      <formula>NOT(ISERROR(SEARCH("check - see columns S-Z for info",E161)))</formula>
    </cfRule>
    <cfRule type="containsText" dxfId="3168" priority="881" operator="containsText" text="check - see columns S-Z for info">
      <formula>NOT(ISERROR(SEARCH("check - see columns S-Z for info",E161)))</formula>
    </cfRule>
    <cfRule type="cellIs" dxfId="3167" priority="893" operator="equal">
      <formula>"Check"</formula>
    </cfRule>
    <cfRule type="containsText" dxfId="3166" priority="892" operator="containsText" text="Check">
      <formula>NOT(ISERROR(SEARCH("Check",E161)))</formula>
    </cfRule>
    <cfRule type="containsText" dxfId="3165" priority="891" operator="containsText" text="check - see columns S-Z for info">
      <formula>NOT(ISERROR(SEARCH("check - see columns S-Z for info",E161)))</formula>
    </cfRule>
    <cfRule type="containsText" dxfId="3164" priority="890" operator="containsText" text="check - see columns S-Z for info">
      <formula>NOT(ISERROR(SEARCH("check - see columns S-Z for info",E161)))</formula>
    </cfRule>
    <cfRule type="containsBlanks" dxfId="3163" priority="889">
      <formula>LEN(TRIM(E161))=0</formula>
    </cfRule>
    <cfRule type="cellIs" dxfId="3162" priority="895" operator="equal">
      <formula>"Check Validations"</formula>
    </cfRule>
    <cfRule type="cellIs" dxfId="3161" priority="894" operator="equal">
      <formula>"Check Validation"</formula>
    </cfRule>
  </conditionalFormatting>
  <conditionalFormatting sqref="E162">
    <cfRule type="cellIs" dxfId="3160" priority="887" operator="equal">
      <formula>"Check Validation"</formula>
    </cfRule>
    <cfRule type="cellIs" dxfId="3159" priority="886" operator="equal">
      <formula>"Check"</formula>
    </cfRule>
    <cfRule type="containsText" dxfId="3158" priority="885" operator="containsText" text="Check">
      <formula>NOT(ISERROR(SEARCH("Check",E162)))</formula>
    </cfRule>
    <cfRule type="cellIs" dxfId="3157" priority="878" operator="equal">
      <formula>"Check"</formula>
    </cfRule>
    <cfRule type="containsText" dxfId="3156" priority="884" operator="containsText" text="check - see columns S-Z for info">
      <formula>NOT(ISERROR(SEARCH("check - see columns S-Z for info",E162)))</formula>
    </cfRule>
    <cfRule type="containsText" dxfId="3155" priority="883" operator="containsText" text="check - see columns S-Z for info">
      <formula>NOT(ISERROR(SEARCH("check - see columns S-Z for info",E162)))</formula>
    </cfRule>
    <cfRule type="containsText" dxfId="3154" priority="872" operator="containsText" text="check - see columns S-Z for info">
      <formula>NOT(ISERROR(SEARCH("check - see columns S-Z for info",E162)))</formula>
    </cfRule>
    <cfRule type="containsBlanks" dxfId="3153" priority="882">
      <formula>LEN(TRIM(E162))=0</formula>
    </cfRule>
    <cfRule type="cellIs" dxfId="3152" priority="880" operator="equal">
      <formula>"Check Validations"</formula>
    </cfRule>
    <cfRule type="cellIs" dxfId="3151" priority="879" operator="equal">
      <formula>"Check Validation"</formula>
    </cfRule>
    <cfRule type="containsText" dxfId="3150" priority="875" operator="containsText" text="check - see columns S-Z for info">
      <formula>NOT(ISERROR(SEARCH("check - see columns S-Z for info",E162)))</formula>
    </cfRule>
    <cfRule type="containsBlanks" dxfId="3149" priority="874">
      <formula>LEN(TRIM(E162))=0</formula>
    </cfRule>
    <cfRule type="cellIs" dxfId="3148" priority="888" operator="equal">
      <formula>"Check Validations"</formula>
    </cfRule>
    <cfRule type="containsText" dxfId="3147" priority="876" operator="containsText" text="check - see columns S-Z for info">
      <formula>NOT(ISERROR(SEARCH("check - see columns S-Z for info",E162)))</formula>
    </cfRule>
    <cfRule type="containsText" dxfId="3146" priority="877" operator="containsText" text="Check">
      <formula>NOT(ISERROR(SEARCH("Check",E162)))</formula>
    </cfRule>
  </conditionalFormatting>
  <conditionalFormatting sqref="E167">
    <cfRule type="containsText" dxfId="3145" priority="910" operator="containsText" text="Check">
      <formula>NOT(ISERROR(SEARCH("Check",E167)))</formula>
    </cfRule>
    <cfRule type="containsText" dxfId="3144" priority="909" operator="containsText" text="check - see columns S-Z for info">
      <formula>NOT(ISERROR(SEARCH("check - see columns S-Z for info",E167)))</formula>
    </cfRule>
    <cfRule type="containsText" dxfId="3143" priority="908" operator="containsText" text="check - see columns S-Z for info">
      <formula>NOT(ISERROR(SEARCH("check - see columns S-Z for info",E167)))</formula>
    </cfRule>
    <cfRule type="containsText" dxfId="3142" priority="906" operator="containsText" text="check - see columns S-Z for info">
      <formula>NOT(ISERROR(SEARCH("check - see columns S-Z for info",E167)))</formula>
    </cfRule>
    <cfRule type="cellIs" dxfId="3141" priority="905" operator="equal">
      <formula>"Check Validations"</formula>
    </cfRule>
    <cfRule type="cellIs" dxfId="3140" priority="904" operator="equal">
      <formula>"Check Validation"</formula>
    </cfRule>
    <cfRule type="cellIs" dxfId="3139" priority="903" operator="equal">
      <formula>"Check"</formula>
    </cfRule>
    <cfRule type="cellIs" dxfId="3138" priority="919" operator="equal">
      <formula>"Check Validation"</formula>
    </cfRule>
    <cfRule type="cellIs" dxfId="3137" priority="913" operator="equal">
      <formula>"Check Validations"</formula>
    </cfRule>
    <cfRule type="containsBlanks" dxfId="3136" priority="907">
      <formula>LEN(TRIM(E167))=0</formula>
    </cfRule>
    <cfRule type="cellIs" dxfId="3135" priority="912" operator="equal">
      <formula>"Check Validation"</formula>
    </cfRule>
    <cfRule type="containsText" dxfId="3134" priority="915" operator="containsText" text="check - see columns S-Z for info">
      <formula>NOT(ISERROR(SEARCH("check - see columns S-Z for info",E167)))</formula>
    </cfRule>
    <cfRule type="containsText" dxfId="3133" priority="902" operator="containsText" text="Check">
      <formula>NOT(ISERROR(SEARCH("Check",E167)))</formula>
    </cfRule>
    <cfRule type="containsText" dxfId="3132" priority="901" operator="containsText" text="check - see columns S-Z for info">
      <formula>NOT(ISERROR(SEARCH("check - see columns S-Z for info",E167)))</formula>
    </cfRule>
    <cfRule type="containsBlanks" dxfId="3131" priority="914">
      <formula>LEN(TRIM(E167))=0</formula>
    </cfRule>
    <cfRule type="containsText" dxfId="3130" priority="916" operator="containsText" text="check - see columns S-Z for info">
      <formula>NOT(ISERROR(SEARCH("check - see columns S-Z for info",E167)))</formula>
    </cfRule>
    <cfRule type="containsText" dxfId="3129" priority="900" operator="containsText" text="check - see columns S-Z for info">
      <formula>NOT(ISERROR(SEARCH("check - see columns S-Z for info",E167)))</formula>
    </cfRule>
    <cfRule type="containsBlanks" dxfId="3128" priority="899">
      <formula>LEN(TRIM(E167))=0</formula>
    </cfRule>
    <cfRule type="containsText" priority="898" operator="containsText" text="check - see columns S-Z for info">
      <formula>NOT(ISERROR(SEARCH("check - see columns S-Z for info",E167)))</formula>
    </cfRule>
    <cfRule type="containsText" dxfId="3127" priority="897" operator="containsText" text="check - see columns S-Z for info">
      <formula>NOT(ISERROR(SEARCH("check - see columns S-Z for info",E167)))</formula>
    </cfRule>
    <cfRule type="containsText" dxfId="3126" priority="896" operator="containsText" text="check - see columns S-Z for info">
      <formula>NOT(ISERROR(SEARCH("check - see columns S-Z for info",E167)))</formula>
    </cfRule>
    <cfRule type="cellIs" dxfId="3125" priority="911" operator="equal">
      <formula>"Check"</formula>
    </cfRule>
    <cfRule type="cellIs" dxfId="3124" priority="920" operator="equal">
      <formula>"Check Validations"</formula>
    </cfRule>
  </conditionalFormatting>
  <conditionalFormatting sqref="E169">
    <cfRule type="cellIs" dxfId="3123" priority="4815" operator="equal">
      <formula>"Check"</formula>
    </cfRule>
    <cfRule type="containsText" dxfId="3122" priority="4812" operator="containsText" text="check - see columns S-Z for info">
      <formula>NOT(ISERROR(SEARCH("check - see columns S-Z for info",E169)))</formula>
    </cfRule>
    <cfRule type="containsText" dxfId="3121" priority="4800" operator="containsText" text="check - see columns S-Z for info">
      <formula>NOT(ISERROR(SEARCH("check - see columns S-Z for info",E169)))</formula>
    </cfRule>
    <cfRule type="cellIs" dxfId="3120" priority="4817" operator="equal">
      <formula>"Check Validations"</formula>
    </cfRule>
    <cfRule type="cellIs" dxfId="3119" priority="4808" operator="equal">
      <formula>"Check Validations"</formula>
    </cfRule>
    <cfRule type="containsText" priority="4801" operator="containsText" text="check - see columns S-Z for info">
      <formula>NOT(ISERROR(SEARCH("check - see columns S-Z for info",E169)))</formula>
    </cfRule>
    <cfRule type="containsText" dxfId="3118" priority="4813" operator="containsText" text="check - see columns S-Z for info">
      <formula>NOT(ISERROR(SEARCH("check - see columns S-Z for info",E169)))</formula>
    </cfRule>
    <cfRule type="containsText" dxfId="3117" priority="4819" operator="containsText" text="check - see columns S-Z for info">
      <formula>NOT(ISERROR(SEARCH("check - see columns S-Z for info",E169)))</formula>
    </cfRule>
    <cfRule type="containsBlanks" dxfId="3116" priority="4818">
      <formula>LEN(TRIM(E169))=0</formula>
    </cfRule>
    <cfRule type="containsBlanks" dxfId="3115" priority="4802">
      <formula>LEN(TRIM(E169))=0</formula>
    </cfRule>
    <cfRule type="containsText" dxfId="3114" priority="4809" operator="containsText" text="check - see columns S-Z for info">
      <formula>NOT(ISERROR(SEARCH("check - see columns S-Z for info",E169)))</formula>
    </cfRule>
    <cfRule type="containsBlanks" dxfId="3113" priority="4811">
      <formula>LEN(TRIM(E169))=0</formula>
    </cfRule>
    <cfRule type="cellIs" dxfId="3112" priority="4816" operator="equal">
      <formula>"Check Validation"</formula>
    </cfRule>
    <cfRule type="containsText" dxfId="3111" priority="4820" operator="containsText" text="check - see columns S-Z for info">
      <formula>NOT(ISERROR(SEARCH("check - see columns S-Z for info",E169)))</formula>
    </cfRule>
    <cfRule type="containsText" dxfId="3110" priority="4799" operator="containsText" text="check - see columns S-Z for info">
      <formula>NOT(ISERROR(SEARCH("check - see columns S-Z for info",E169)))</formula>
    </cfRule>
    <cfRule type="cellIs" dxfId="3109" priority="4807" operator="equal">
      <formula>"Check Validation"</formula>
    </cfRule>
    <cfRule type="cellIs" dxfId="3108" priority="4806" operator="equal">
      <formula>"Check"</formula>
    </cfRule>
    <cfRule type="containsText" dxfId="3107" priority="4805" operator="containsText" text="Check">
      <formula>NOT(ISERROR(SEARCH("Check",E169)))</formula>
    </cfRule>
    <cfRule type="containsText" dxfId="3106" priority="4804" operator="containsText" text="check - see columns S-Z for info">
      <formula>NOT(ISERROR(SEARCH("check - see columns S-Z for info",E169)))</formula>
    </cfRule>
    <cfRule type="containsText" dxfId="3105" priority="4803" operator="containsText" text="check - see columns S-Z for info">
      <formula>NOT(ISERROR(SEARCH("check - see columns S-Z for info",E169)))</formula>
    </cfRule>
    <cfRule type="containsText" dxfId="3104" priority="4814" operator="containsText" text="Check">
      <formula>NOT(ISERROR(SEARCH("Check",E169)))</formula>
    </cfRule>
  </conditionalFormatting>
  <conditionalFormatting sqref="E174">
    <cfRule type="containsText" dxfId="3103" priority="4777" operator="containsText" text="check - see columns S-Z for info">
      <formula>NOT(ISERROR(SEARCH("check - see columns S-Z for info",E174)))</formula>
    </cfRule>
    <cfRule type="containsText" dxfId="3102" priority="4778" operator="containsText" text="check - see columns S-Z for info">
      <formula>NOT(ISERROR(SEARCH("check - see columns S-Z for info",E174)))</formula>
    </cfRule>
    <cfRule type="containsText" dxfId="3101" priority="4779" operator="containsText" text="Check">
      <formula>NOT(ISERROR(SEARCH("Check",E174)))</formula>
    </cfRule>
    <cfRule type="cellIs" dxfId="3100" priority="4780" operator="equal">
      <formula>"Check"</formula>
    </cfRule>
    <cfRule type="cellIs" dxfId="3099" priority="4781" operator="equal">
      <formula>"Check Validation"</formula>
    </cfRule>
    <cfRule type="cellIs" dxfId="3098" priority="4782" operator="equal">
      <formula>"Check Validations"</formula>
    </cfRule>
    <cfRule type="containsText" dxfId="3097" priority="4783" operator="containsText" text="check - see columns S-Z for info">
      <formula>NOT(ISERROR(SEARCH("check - see columns S-Z for info",E174)))</formula>
    </cfRule>
    <cfRule type="containsBlanks" dxfId="3096" priority="4785">
      <formula>LEN(TRIM(E174))=0</formula>
    </cfRule>
    <cfRule type="containsText" dxfId="3095" priority="4786" operator="containsText" text="check - see columns S-Z for info">
      <formula>NOT(ISERROR(SEARCH("check - see columns S-Z for info",E174)))</formula>
    </cfRule>
    <cfRule type="containsText" dxfId="3094" priority="4787" operator="containsText" text="check - see columns S-Z for info">
      <formula>NOT(ISERROR(SEARCH("check - see columns S-Z for info",E174)))</formula>
    </cfRule>
    <cfRule type="containsText" dxfId="3093" priority="4788" operator="containsText" text="Check">
      <formula>NOT(ISERROR(SEARCH("Check",E174)))</formula>
    </cfRule>
    <cfRule type="cellIs" dxfId="3092" priority="4789" operator="equal">
      <formula>"Check"</formula>
    </cfRule>
    <cfRule type="cellIs" dxfId="3091" priority="4790" operator="equal">
      <formula>"Check Validation"</formula>
    </cfRule>
    <cfRule type="cellIs" dxfId="3090" priority="4791" operator="equal">
      <formula>"Check Validations"</formula>
    </cfRule>
    <cfRule type="cellIs" dxfId="3089" priority="4798" operator="equal">
      <formula>"Check Validations"</formula>
    </cfRule>
    <cfRule type="containsBlanks" dxfId="3088" priority="4792">
      <formula>LEN(TRIM(E174))=0</formula>
    </cfRule>
    <cfRule type="containsText" dxfId="3087" priority="4793" operator="containsText" text="check - see columns S-Z for info">
      <formula>NOT(ISERROR(SEARCH("check - see columns S-Z for info",E174)))</formula>
    </cfRule>
    <cfRule type="containsText" dxfId="3086" priority="4794" operator="containsText" text="check - see columns S-Z for info">
      <formula>NOT(ISERROR(SEARCH("check - see columns S-Z for info",E174)))</formula>
    </cfRule>
    <cfRule type="containsBlanks" dxfId="3085" priority="4776">
      <formula>LEN(TRIM(E174))=0</formula>
    </cfRule>
    <cfRule type="cellIs" dxfId="3084" priority="4797" operator="equal">
      <formula>"Check Validation"</formula>
    </cfRule>
    <cfRule type="containsText" dxfId="3083" priority="4773" operator="containsText" text="check - see columns S-Z for info">
      <formula>NOT(ISERROR(SEARCH("check - see columns S-Z for info",E174)))</formula>
    </cfRule>
    <cfRule type="containsText" dxfId="3082" priority="4774" operator="containsText" text="check - see columns S-Z for info">
      <formula>NOT(ISERROR(SEARCH("check - see columns S-Z for info",E174)))</formula>
    </cfRule>
    <cfRule type="containsText" priority="4775" operator="containsText" text="check - see columns S-Z for info">
      <formula>NOT(ISERROR(SEARCH("check - see columns S-Z for info",E174)))</formula>
    </cfRule>
  </conditionalFormatting>
  <conditionalFormatting sqref="E176">
    <cfRule type="containsText" dxfId="3081" priority="922" operator="containsText" text="check - see columns S-Z for info">
      <formula>NOT(ISERROR(SEARCH("check - see columns S-Z for info",E176)))</formula>
    </cfRule>
    <cfRule type="containsText" dxfId="3080" priority="933" operator="containsText" text="check - see columns S-Z for info">
      <formula>NOT(ISERROR(SEARCH("check - see columns S-Z for info",E176)))</formula>
    </cfRule>
    <cfRule type="containsText" dxfId="3079" priority="921" operator="containsText" text="check - see columns S-Z for info">
      <formula>NOT(ISERROR(SEARCH("check - see columns S-Z for info",E176)))</formula>
    </cfRule>
    <cfRule type="containsText" priority="923" operator="containsText" text="check - see columns S-Z for info">
      <formula>NOT(ISERROR(SEARCH("check - see columns S-Z for info",E176)))</formula>
    </cfRule>
    <cfRule type="containsText" dxfId="3078" priority="941" operator="containsText" text="check - see columns S-Z for info">
      <formula>NOT(ISERROR(SEARCH("check - see columns S-Z for info",E176)))</formula>
    </cfRule>
    <cfRule type="containsBlanks" dxfId="3077" priority="939">
      <formula>LEN(TRIM(E176))=0</formula>
    </cfRule>
    <cfRule type="containsText" dxfId="3076" priority="940" operator="containsText" text="check - see columns S-Z for info">
      <formula>NOT(ISERROR(SEARCH("check - see columns S-Z for info",E176)))</formula>
    </cfRule>
    <cfRule type="cellIs" dxfId="3075" priority="928" operator="equal">
      <formula>"Check"</formula>
    </cfRule>
    <cfRule type="containsText" dxfId="3074" priority="927" operator="containsText" text="Check">
      <formula>NOT(ISERROR(SEARCH("Check",E176)))</formula>
    </cfRule>
    <cfRule type="containsText" dxfId="3073" priority="931" operator="containsText" text="check - see columns S-Z for info">
      <formula>NOT(ISERROR(SEARCH("check - see columns S-Z for info",E176)))</formula>
    </cfRule>
    <cfRule type="containsText" dxfId="3072" priority="926" operator="containsText" text="check - see columns S-Z for info">
      <formula>NOT(ISERROR(SEARCH("check - see columns S-Z for info",E176)))</formula>
    </cfRule>
    <cfRule type="containsText" dxfId="3071" priority="925" operator="containsText" text="check - see columns S-Z for info">
      <formula>NOT(ISERROR(SEARCH("check - see columns S-Z for info",E176)))</formula>
    </cfRule>
    <cfRule type="containsBlanks" dxfId="3070" priority="932">
      <formula>LEN(TRIM(E176))=0</formula>
    </cfRule>
    <cfRule type="containsText" dxfId="3069" priority="934" operator="containsText" text="check - see columns S-Z for info">
      <formula>NOT(ISERROR(SEARCH("check - see columns S-Z for info",E176)))</formula>
    </cfRule>
    <cfRule type="containsText" dxfId="3068" priority="935" operator="containsText" text="Check">
      <formula>NOT(ISERROR(SEARCH("Check",E176)))</formula>
    </cfRule>
    <cfRule type="cellIs" dxfId="3067" priority="936" operator="equal">
      <formula>"Check"</formula>
    </cfRule>
    <cfRule type="containsBlanks" dxfId="3066" priority="924">
      <formula>LEN(TRIM(E176))=0</formula>
    </cfRule>
    <cfRule type="cellIs" dxfId="3065" priority="937" operator="equal">
      <formula>"Check Validation"</formula>
    </cfRule>
    <cfRule type="cellIs" dxfId="3064" priority="929" operator="equal">
      <formula>"Check Validation"</formula>
    </cfRule>
    <cfRule type="cellIs" dxfId="3063" priority="938" operator="equal">
      <formula>"Check Validations"</formula>
    </cfRule>
    <cfRule type="cellIs" dxfId="3062" priority="930" operator="equal">
      <formula>"Check Validations"</formula>
    </cfRule>
  </conditionalFormatting>
  <conditionalFormatting sqref="E178">
    <cfRule type="containsText" dxfId="3061" priority="966" operator="containsText" text="check - see columns S-Z for info">
      <formula>NOT(ISERROR(SEARCH("check - see columns S-Z for info",E178)))</formula>
    </cfRule>
    <cfRule type="containsText" dxfId="3060" priority="965" operator="containsText" text="check - see columns S-Z for info">
      <formula>NOT(ISERROR(SEARCH("check - see columns S-Z for info",E178)))</formula>
    </cfRule>
    <cfRule type="containsBlanks" dxfId="3059" priority="964">
      <formula>LEN(TRIM(E178))=0</formula>
    </cfRule>
    <cfRule type="cellIs" dxfId="3058" priority="963" operator="equal">
      <formula>"Check Validations"</formula>
    </cfRule>
    <cfRule type="cellIs" dxfId="3057" priority="961" operator="equal">
      <formula>"Check"</formula>
    </cfRule>
    <cfRule type="containsText" dxfId="3056" priority="960" operator="containsText" text="Check">
      <formula>NOT(ISERROR(SEARCH("Check",E178)))</formula>
    </cfRule>
    <cfRule type="containsText" dxfId="3055" priority="959" operator="containsText" text="check - see columns S-Z for info">
      <formula>NOT(ISERROR(SEARCH("check - see columns S-Z for info",E178)))</formula>
    </cfRule>
    <cfRule type="containsText" dxfId="3054" priority="958" operator="containsText" text="check - see columns S-Z for info">
      <formula>NOT(ISERROR(SEARCH("check - see columns S-Z for info",E178)))</formula>
    </cfRule>
    <cfRule type="containsBlanks" dxfId="3053" priority="957">
      <formula>LEN(TRIM(E178))=0</formula>
    </cfRule>
    <cfRule type="containsText" dxfId="3052" priority="956" operator="containsText" text="check - see columns S-Z for info">
      <formula>NOT(ISERROR(SEARCH("check - see columns S-Z for info",E178)))</formula>
    </cfRule>
    <cfRule type="cellIs" dxfId="3051" priority="955" operator="equal">
      <formula>"Check Validations"</formula>
    </cfRule>
    <cfRule type="cellIs" dxfId="3050" priority="954" operator="equal">
      <formula>"Check Validation"</formula>
    </cfRule>
    <cfRule type="cellIs" dxfId="3049" priority="953" operator="equal">
      <formula>"Check"</formula>
    </cfRule>
    <cfRule type="containsText" dxfId="3048" priority="952" operator="containsText" text="Check">
      <formula>NOT(ISERROR(SEARCH("Check",E178)))</formula>
    </cfRule>
    <cfRule type="containsText" dxfId="3047" priority="950" operator="containsText" text="check - see columns S-Z for info">
      <formula>NOT(ISERROR(SEARCH("check - see columns S-Z for info",E178)))</formula>
    </cfRule>
    <cfRule type="containsBlanks" dxfId="3046" priority="949">
      <formula>LEN(TRIM(E178))=0</formula>
    </cfRule>
    <cfRule type="containsText" priority="948" operator="containsText" text="check - see columns S-Z for info">
      <formula>NOT(ISERROR(SEARCH("check - see columns S-Z for info",E178)))</formula>
    </cfRule>
    <cfRule type="containsText" dxfId="3045" priority="947" operator="containsText" text="check - see columns S-Z for info">
      <formula>NOT(ISERROR(SEARCH("check - see columns S-Z for info",E178)))</formula>
    </cfRule>
    <cfRule type="cellIs" dxfId="3044" priority="962" operator="equal">
      <formula>"Check Validation"</formula>
    </cfRule>
    <cfRule type="containsText" dxfId="3043" priority="951" operator="containsText" text="check - see columns S-Z for info">
      <formula>NOT(ISERROR(SEARCH("check - see columns S-Z for info",E178)))</formula>
    </cfRule>
    <cfRule type="containsText" dxfId="3042" priority="946" operator="containsText" text="check - see columns S-Z for info">
      <formula>NOT(ISERROR(SEARCH("check - see columns S-Z for info",E178)))</formula>
    </cfRule>
  </conditionalFormatting>
  <conditionalFormatting sqref="E182:E184">
    <cfRule type="containsText" dxfId="3041" priority="4716" operator="containsText" text="check - see columns S-Z for info">
      <formula>NOT(ISERROR(SEARCH("check - see columns S-Z for info",E182)))</formula>
    </cfRule>
    <cfRule type="cellIs" dxfId="3040" priority="4719" operator="equal">
      <formula>"Check Validation"</formula>
    </cfRule>
    <cfRule type="cellIs" dxfId="3039" priority="4720" operator="equal">
      <formula>"Check Validations"</formula>
    </cfRule>
    <cfRule type="containsText" dxfId="3038" priority="4699" operator="containsText" text="check - see columns S-Z for info">
      <formula>NOT(ISERROR(SEARCH("check - see columns S-Z for info",E182)))</formula>
    </cfRule>
    <cfRule type="containsBlanks" dxfId="3037" priority="4698">
      <formula>LEN(TRIM(E182))=0</formula>
    </cfRule>
    <cfRule type="containsText" priority="4697" operator="containsText" text="check - see columns S-Z for info">
      <formula>NOT(ISERROR(SEARCH("check - see columns S-Z for info",E182)))</formula>
    </cfRule>
    <cfRule type="containsText" dxfId="3036" priority="4696" operator="containsText" text="check - see columns S-Z for info">
      <formula>NOT(ISERROR(SEARCH("check - see columns S-Z for info",E182)))</formula>
    </cfRule>
    <cfRule type="containsText" dxfId="3035" priority="4705" operator="containsText" text="check - see columns S-Z for info">
      <formula>NOT(ISERROR(SEARCH("check - see columns S-Z for info",E182)))</formula>
    </cfRule>
    <cfRule type="cellIs" dxfId="3034" priority="4703" operator="equal">
      <formula>"Check Validation"</formula>
    </cfRule>
    <cfRule type="cellIs" dxfId="3033" priority="4702" operator="equal">
      <formula>"Check"</formula>
    </cfRule>
    <cfRule type="containsText" dxfId="3032" priority="4695" operator="containsText" text="check - see columns S-Z for info">
      <formula>NOT(ISERROR(SEARCH("check - see columns S-Z for info",E182)))</formula>
    </cfRule>
    <cfRule type="containsText" dxfId="3031" priority="4701" operator="containsText" text="Check">
      <formula>NOT(ISERROR(SEARCH("Check",E182)))</formula>
    </cfRule>
    <cfRule type="containsText" dxfId="3030" priority="4708" operator="containsText" text="check - see columns S-Z for info">
      <formula>NOT(ISERROR(SEARCH("check - see columns S-Z for info",E182)))</formula>
    </cfRule>
    <cfRule type="containsText" dxfId="3029" priority="4709" operator="containsText" text="check - see columns S-Z for info">
      <formula>NOT(ISERROR(SEARCH("check - see columns S-Z for info",E182)))</formula>
    </cfRule>
    <cfRule type="containsText" dxfId="3028" priority="4710" operator="containsText" text="Check">
      <formula>NOT(ISERROR(SEARCH("Check",E182)))</formula>
    </cfRule>
    <cfRule type="containsText" dxfId="3027" priority="4700" operator="containsText" text="check - see columns S-Z for info">
      <formula>NOT(ISERROR(SEARCH("check - see columns S-Z for info",E182)))</formula>
    </cfRule>
    <cfRule type="cellIs" dxfId="3026" priority="4712" operator="equal">
      <formula>"Check Validation"</formula>
    </cfRule>
    <cfRule type="cellIs" dxfId="3025" priority="4713" operator="equal">
      <formula>"Check Validations"</formula>
    </cfRule>
    <cfRule type="containsBlanks" dxfId="3024" priority="4714">
      <formula>LEN(TRIM(E182))=0</formula>
    </cfRule>
    <cfRule type="containsText" dxfId="3023" priority="4715" operator="containsText" text="check - see columns S-Z for info">
      <formula>NOT(ISERROR(SEARCH("check - see columns S-Z for info",E182)))</formula>
    </cfRule>
    <cfRule type="containsBlanks" dxfId="3022" priority="4707">
      <formula>LEN(TRIM(E182))=0</formula>
    </cfRule>
    <cfRule type="cellIs" dxfId="3021" priority="4711" operator="equal">
      <formula>"Check"</formula>
    </cfRule>
    <cfRule type="cellIs" dxfId="3020" priority="4704" operator="equal">
      <formula>"Check Validations"</formula>
    </cfRule>
    <cfRule type="cellIs" dxfId="3019" priority="4718" operator="equal">
      <formula>"Check"</formula>
    </cfRule>
  </conditionalFormatting>
  <conditionalFormatting sqref="E188:E191">
    <cfRule type="containsText" dxfId="3018" priority="4684" operator="containsText" text="Check">
      <formula>NOT(ISERROR(SEARCH("Check",E188)))</formula>
    </cfRule>
    <cfRule type="containsText" dxfId="3017" priority="4669" operator="containsText" text="check - see columns S-Z for info">
      <formula>NOT(ISERROR(SEARCH("check - see columns S-Z for info",E188)))</formula>
    </cfRule>
    <cfRule type="cellIs" dxfId="3016" priority="4685" operator="equal">
      <formula>"Check"</formula>
    </cfRule>
    <cfRule type="cellIs" dxfId="3015" priority="4694" operator="equal">
      <formula>"Check Validations"</formula>
    </cfRule>
    <cfRule type="cellIs" dxfId="3014" priority="4693" operator="equal">
      <formula>"Check Validation"</formula>
    </cfRule>
    <cfRule type="cellIs" dxfId="3013" priority="4686" operator="equal">
      <formula>"Check Validation"</formula>
    </cfRule>
    <cfRule type="containsText" dxfId="3012" priority="4683" operator="containsText" text="check - see columns S-Z for info">
      <formula>NOT(ISERROR(SEARCH("check - see columns S-Z for info",E188)))</formula>
    </cfRule>
    <cfRule type="containsText" dxfId="3011" priority="4682" operator="containsText" text="check - see columns S-Z for info">
      <formula>NOT(ISERROR(SEARCH("check - see columns S-Z for info",E188)))</formula>
    </cfRule>
    <cfRule type="containsBlanks" dxfId="3010" priority="4681">
      <formula>LEN(TRIM(E188))=0</formula>
    </cfRule>
    <cfRule type="cellIs" dxfId="3009" priority="4687" operator="equal">
      <formula>"Check Validations"</formula>
    </cfRule>
    <cfRule type="containsBlanks" dxfId="3008" priority="4688">
      <formula>LEN(TRIM(E188))=0</formula>
    </cfRule>
    <cfRule type="containsText" dxfId="3007" priority="4679" operator="containsText" text="check - see columns S-Z for info">
      <formula>NOT(ISERROR(SEARCH("check - see columns S-Z for info",E188)))</formula>
    </cfRule>
    <cfRule type="cellIs" dxfId="3006" priority="4678" operator="equal">
      <formula>"Check Validations"</formula>
    </cfRule>
    <cfRule type="cellIs" dxfId="3005" priority="4677" operator="equal">
      <formula>"Check Validation"</formula>
    </cfRule>
    <cfRule type="cellIs" dxfId="3004" priority="4676" operator="equal">
      <formula>"Check"</formula>
    </cfRule>
    <cfRule type="containsText" dxfId="3003" priority="4690" operator="containsText" text="check - see columns S-Z for info">
      <formula>NOT(ISERROR(SEARCH("check - see columns S-Z for info",E188)))</formula>
    </cfRule>
    <cfRule type="containsText" dxfId="3002" priority="4675" operator="containsText" text="Check">
      <formula>NOT(ISERROR(SEARCH("Check",E188)))</formula>
    </cfRule>
    <cfRule type="containsText" dxfId="3001" priority="4674" operator="containsText" text="check - see columns S-Z for info">
      <formula>NOT(ISERROR(SEARCH("check - see columns S-Z for info",E188)))</formula>
    </cfRule>
    <cfRule type="containsText" dxfId="3000" priority="4689" operator="containsText" text="check - see columns S-Z for info">
      <formula>NOT(ISERROR(SEARCH("check - see columns S-Z for info",E188)))</formula>
    </cfRule>
    <cfRule type="containsText" dxfId="2999" priority="4673" operator="containsText" text="check - see columns S-Z for info">
      <formula>NOT(ISERROR(SEARCH("check - see columns S-Z for info",E188)))</formula>
    </cfRule>
    <cfRule type="containsBlanks" dxfId="2998" priority="4672">
      <formula>LEN(TRIM(E188))=0</formula>
    </cfRule>
    <cfRule type="containsText" dxfId="2997" priority="4670" operator="containsText" text="check - see columns S-Z for info">
      <formula>NOT(ISERROR(SEARCH("check - see columns S-Z for info",E188)))</formula>
    </cfRule>
    <cfRule type="containsText" priority="4671" operator="containsText" text="check - see columns S-Z for info">
      <formula>NOT(ISERROR(SEARCH("check - see columns S-Z for info",E188)))</formula>
    </cfRule>
  </conditionalFormatting>
  <conditionalFormatting sqref="E196">
    <cfRule type="cellIs" dxfId="2996" priority="980" operator="equal">
      <formula>"Check Validations"</formula>
    </cfRule>
    <cfRule type="cellIs" dxfId="2995" priority="979" operator="equal">
      <formula>"Check Validation"</formula>
    </cfRule>
    <cfRule type="cellIs" dxfId="2994" priority="978" operator="equal">
      <formula>"Check"</formula>
    </cfRule>
    <cfRule type="containsText" dxfId="2993" priority="976" operator="containsText" text="check - see columns S-Z for info">
      <formula>NOT(ISERROR(SEARCH("check - see columns S-Z for info",E196)))</formula>
    </cfRule>
    <cfRule type="containsText" dxfId="2992" priority="975" operator="containsText" text="check - see columns S-Z for info">
      <formula>NOT(ISERROR(SEARCH("check - see columns S-Z for info",E196)))</formula>
    </cfRule>
    <cfRule type="containsBlanks" dxfId="2991" priority="974">
      <formula>LEN(TRIM(E196))=0</formula>
    </cfRule>
    <cfRule type="containsText" dxfId="2990" priority="972" operator="containsText" text="check - see columns S-Z for info">
      <formula>NOT(ISERROR(SEARCH("check - see columns S-Z for info",E196)))</formula>
    </cfRule>
    <cfRule type="cellIs" dxfId="2989" priority="986" operator="equal">
      <formula>"Check"</formula>
    </cfRule>
    <cfRule type="containsText" dxfId="2988" priority="977" operator="containsText" text="Check">
      <formula>NOT(ISERROR(SEARCH("Check",E196)))</formula>
    </cfRule>
    <cfRule type="cellIs" dxfId="2987" priority="988" operator="equal">
      <formula>"Check Validations"</formula>
    </cfRule>
    <cfRule type="cellIs" dxfId="2986" priority="987" operator="equal">
      <formula>"Check Validation"</formula>
    </cfRule>
    <cfRule type="containsText" dxfId="2985" priority="985" operator="containsText" text="Check">
      <formula>NOT(ISERROR(SEARCH("Check",E196)))</formula>
    </cfRule>
    <cfRule type="containsText" dxfId="2984" priority="984" operator="containsText" text="check - see columns S-Z for info">
      <formula>NOT(ISERROR(SEARCH("check - see columns S-Z for info",E196)))</formula>
    </cfRule>
    <cfRule type="containsText" dxfId="2983" priority="983" operator="containsText" text="check - see columns S-Z for info">
      <formula>NOT(ISERROR(SEARCH("check - see columns S-Z for info",E196)))</formula>
    </cfRule>
    <cfRule type="containsBlanks" dxfId="2982" priority="982">
      <formula>LEN(TRIM(E196))=0</formula>
    </cfRule>
  </conditionalFormatting>
  <conditionalFormatting sqref="E196:E197">
    <cfRule type="containsText" dxfId="2981" priority="992" operator="containsText" text="Check">
      <formula>NOT(ISERROR(SEARCH("Check",E196)))</formula>
    </cfRule>
    <cfRule type="cellIs" dxfId="2980" priority="995" operator="equal">
      <formula>"Check Validations"</formula>
    </cfRule>
    <cfRule type="cellIs" dxfId="2979" priority="994" operator="equal">
      <formula>"Check Validation"</formula>
    </cfRule>
    <cfRule type="cellIs" dxfId="2978" priority="993" operator="equal">
      <formula>"Check"</formula>
    </cfRule>
    <cfRule type="containsText" dxfId="2977" priority="981" operator="containsText" text="check - see columns S-Z for info">
      <formula>NOT(ISERROR(SEARCH("check - see columns S-Z for info",E196)))</formula>
    </cfRule>
    <cfRule type="containsText" dxfId="2976" priority="991" operator="containsText" text="check - see columns S-Z for info">
      <formula>NOT(ISERROR(SEARCH("check - see columns S-Z for info",E196)))</formula>
    </cfRule>
    <cfRule type="containsText" dxfId="2975" priority="990" operator="containsText" text="check - see columns S-Z for info">
      <formula>NOT(ISERROR(SEARCH("check - see columns S-Z for info",E196)))</formula>
    </cfRule>
    <cfRule type="containsBlanks" dxfId="2974" priority="989">
      <formula>LEN(TRIM(E196))=0</formula>
    </cfRule>
  </conditionalFormatting>
  <conditionalFormatting sqref="E196:E198">
    <cfRule type="containsText" priority="973" operator="containsText" text="check - see columns S-Z for info">
      <formula>NOT(ISERROR(SEARCH("check - see columns S-Z for info",E196)))</formula>
    </cfRule>
    <cfRule type="containsText" dxfId="2973" priority="971" operator="containsText" text="check - see columns S-Z for info">
      <formula>NOT(ISERROR(SEARCH("check - see columns S-Z for info",E196)))</formula>
    </cfRule>
  </conditionalFormatting>
  <conditionalFormatting sqref="E197">
    <cfRule type="cellIs" dxfId="2972" priority="1013" operator="equal">
      <formula>"Check Validations"</formula>
    </cfRule>
    <cfRule type="cellIs" dxfId="2971" priority="1011" operator="equal">
      <formula>"Check"</formula>
    </cfRule>
    <cfRule type="containsText" dxfId="2970" priority="1009" operator="containsText" text="check - see columns S-Z for info">
      <formula>NOT(ISERROR(SEARCH("check - see columns S-Z for info",E197)))</formula>
    </cfRule>
    <cfRule type="containsText" dxfId="2969" priority="1008" operator="containsText" text="check - see columns S-Z for info">
      <formula>NOT(ISERROR(SEARCH("check - see columns S-Z for info",E197)))</formula>
    </cfRule>
    <cfRule type="containsBlanks" dxfId="2968" priority="1007">
      <formula>LEN(TRIM(E197))=0</formula>
    </cfRule>
    <cfRule type="cellIs" dxfId="2967" priority="1012" operator="equal">
      <formula>"Check Validation"</formula>
    </cfRule>
    <cfRule type="containsText" dxfId="2966" priority="1010" operator="containsText" text="Check">
      <formula>NOT(ISERROR(SEARCH("Check",E197)))</formula>
    </cfRule>
  </conditionalFormatting>
  <conditionalFormatting sqref="E197:E198">
    <cfRule type="cellIs" dxfId="2965" priority="1018" operator="equal">
      <formula>"Check"</formula>
    </cfRule>
    <cfRule type="cellIs" dxfId="2964" priority="1020" operator="equal">
      <formula>"Check Validations"</formula>
    </cfRule>
    <cfRule type="cellIs" dxfId="2963" priority="1019" operator="equal">
      <formula>"Check Validation"</formula>
    </cfRule>
    <cfRule type="containsText" dxfId="2962" priority="1017" operator="containsText" text="Check">
      <formula>NOT(ISERROR(SEARCH("Check",E197)))</formula>
    </cfRule>
    <cfRule type="containsText" dxfId="2961" priority="1015" operator="containsText" text="check - see columns S-Z for info">
      <formula>NOT(ISERROR(SEARCH("check - see columns S-Z for info",E197)))</formula>
    </cfRule>
    <cfRule type="containsBlanks" dxfId="2960" priority="1014">
      <formula>LEN(TRIM(E197))=0</formula>
    </cfRule>
    <cfRule type="containsText" dxfId="2959" priority="1006" operator="containsText" text="check - see columns S-Z for info">
      <formula>NOT(ISERROR(SEARCH("check - see columns S-Z for info",E197)))</formula>
    </cfRule>
    <cfRule type="containsText" dxfId="2958" priority="1016" operator="containsText" text="check - see columns S-Z for info">
      <formula>NOT(ISERROR(SEARCH("check - see columns S-Z for info",E197)))</formula>
    </cfRule>
  </conditionalFormatting>
  <conditionalFormatting sqref="E198">
    <cfRule type="containsText" dxfId="2957" priority="1033" operator="containsText" text="check - see columns S-Z for info">
      <formula>NOT(ISERROR(SEARCH("check - see columns S-Z for info",E198)))</formula>
    </cfRule>
    <cfRule type="containsBlanks" dxfId="2956" priority="1032">
      <formula>LEN(TRIM(E198))=0</formula>
    </cfRule>
    <cfRule type="containsText" dxfId="2955" priority="1031" operator="containsText" text="check - see columns S-Z for info">
      <formula>NOT(ISERROR(SEARCH("check - see columns S-Z for info",E198)))</formula>
    </cfRule>
    <cfRule type="cellIs" dxfId="2954" priority="1038" operator="equal">
      <formula>"Check Validations"</formula>
    </cfRule>
    <cfRule type="cellIs" dxfId="2953" priority="1045" operator="equal">
      <formula>"Check Validations"</formula>
    </cfRule>
    <cfRule type="cellIs" dxfId="2952" priority="1044" operator="equal">
      <formula>"Check Validation"</formula>
    </cfRule>
    <cfRule type="cellIs" dxfId="2951" priority="1043" operator="equal">
      <formula>"Check"</formula>
    </cfRule>
    <cfRule type="containsText" dxfId="2950" priority="1042" operator="containsText" text="Check">
      <formula>NOT(ISERROR(SEARCH("Check",E198)))</formula>
    </cfRule>
    <cfRule type="containsText" dxfId="2949" priority="1041" operator="containsText" text="check - see columns S-Z for info">
      <formula>NOT(ISERROR(SEARCH("check - see columns S-Z for info",E198)))</formula>
    </cfRule>
    <cfRule type="containsText" dxfId="2948" priority="1040" operator="containsText" text="check - see columns S-Z for info">
      <formula>NOT(ISERROR(SEARCH("check - see columns S-Z for info",E198)))</formula>
    </cfRule>
    <cfRule type="containsBlanks" dxfId="2947" priority="1039">
      <formula>LEN(TRIM(E198))=0</formula>
    </cfRule>
    <cfRule type="cellIs" dxfId="2946" priority="1037" operator="equal">
      <formula>"Check Validation"</formula>
    </cfRule>
    <cfRule type="cellIs" dxfId="2945" priority="1036" operator="equal">
      <formula>"Check"</formula>
    </cfRule>
    <cfRule type="containsText" dxfId="2944" priority="1035" operator="containsText" text="Check">
      <formula>NOT(ISERROR(SEARCH("Check",E198)))</formula>
    </cfRule>
    <cfRule type="containsText" dxfId="2943" priority="1034" operator="containsText" text="check - see columns S-Z for info">
      <formula>NOT(ISERROR(SEARCH("check - see columns S-Z for info",E198)))</formula>
    </cfRule>
  </conditionalFormatting>
  <conditionalFormatting sqref="E200">
    <cfRule type="containsText" dxfId="2942" priority="1302" operator="containsText" text="You must tick 'Yes' or 'No' answe">
      <formula>NOT(ISERROR(SEARCH("You must tick 'Yes' or 'No' answe",E200)))</formula>
    </cfRule>
  </conditionalFormatting>
  <conditionalFormatting sqref="E201:E203">
    <cfRule type="cellIs" dxfId="2941" priority="1300" operator="equal">
      <formula>"Check Validation"</formula>
    </cfRule>
    <cfRule type="cellIs" dxfId="2940" priority="1301" operator="equal">
      <formula>"Check Validations"</formula>
    </cfRule>
  </conditionalFormatting>
  <conditionalFormatting sqref="E205:E294">
    <cfRule type="cellIs" dxfId="2939" priority="1062" operator="equal">
      <formula>"Check Validation"</formula>
    </cfRule>
    <cfRule type="cellIs" dxfId="2938" priority="1054" operator="equal">
      <formula>"Check Validation"</formula>
    </cfRule>
    <cfRule type="cellIs" dxfId="2937" priority="1061" operator="equal">
      <formula>"Check"</formula>
    </cfRule>
    <cfRule type="containsText" dxfId="2936" priority="1060" operator="containsText" text="Check">
      <formula>NOT(ISERROR(SEARCH("Check",E205)))</formula>
    </cfRule>
    <cfRule type="containsText" dxfId="2935" priority="1065" operator="containsText" text="check - see columns S-Z for info">
      <formula>NOT(ISERROR(SEARCH("check - see columns S-Z for info",E205)))</formula>
    </cfRule>
    <cfRule type="containsBlanks" dxfId="2934" priority="1064">
      <formula>LEN(TRIM(E205))=0</formula>
    </cfRule>
    <cfRule type="cellIs" dxfId="2933" priority="1063" operator="equal">
      <formula>"Check Validations"</formula>
    </cfRule>
    <cfRule type="containsText" dxfId="2932" priority="1059" operator="containsText" text="check - see columns S-Z for info">
      <formula>NOT(ISERROR(SEARCH("check - see columns S-Z for info",E205)))</formula>
    </cfRule>
    <cfRule type="containsText" dxfId="2931" priority="1058" operator="containsText" text="check - see columns S-Z for info">
      <formula>NOT(ISERROR(SEARCH("check - see columns S-Z for info",E205)))</formula>
    </cfRule>
    <cfRule type="containsBlanks" dxfId="2930" priority="1057">
      <formula>LEN(TRIM(E205))=0</formula>
    </cfRule>
    <cfRule type="containsText" dxfId="2929" priority="1056" operator="containsText" text="check - see columns S-Z for info">
      <formula>NOT(ISERROR(SEARCH("check - see columns S-Z for info",E205)))</formula>
    </cfRule>
    <cfRule type="cellIs" dxfId="2928" priority="1055" operator="equal">
      <formula>"Check Validations"</formula>
    </cfRule>
    <cfRule type="cellIs" dxfId="2927" priority="1053" operator="equal">
      <formula>"Check"</formula>
    </cfRule>
    <cfRule type="containsText" dxfId="2926" priority="1052" operator="containsText" text="Check">
      <formula>NOT(ISERROR(SEARCH("Check",E205)))</formula>
    </cfRule>
    <cfRule type="containsText" dxfId="2925" priority="1051" operator="containsText" text="check - see columns S-Z for info">
      <formula>NOT(ISERROR(SEARCH("check - see columns S-Z for info",E205)))</formula>
    </cfRule>
    <cfRule type="containsText" dxfId="2924" priority="1050" operator="containsText" text="check - see columns S-Z for info">
      <formula>NOT(ISERROR(SEARCH("check - see columns S-Z for info",E205)))</formula>
    </cfRule>
    <cfRule type="containsBlanks" dxfId="2923" priority="1049">
      <formula>LEN(TRIM(E205))=0</formula>
    </cfRule>
    <cfRule type="containsText" priority="1048" operator="containsText" text="check - see columns S-Z for info">
      <formula>NOT(ISERROR(SEARCH("check - see columns S-Z for info",E205)))</formula>
    </cfRule>
    <cfRule type="containsText" dxfId="2922" priority="1047" operator="containsText" text="check - see columns S-Z for info">
      <formula>NOT(ISERROR(SEARCH("check - see columns S-Z for info",E205)))</formula>
    </cfRule>
    <cfRule type="containsText" dxfId="2921" priority="1046" operator="containsText" text="check - see columns S-Z for info">
      <formula>NOT(ISERROR(SEARCH("check - see columns S-Z for info",E205)))</formula>
    </cfRule>
    <cfRule type="containsText" dxfId="2920" priority="1066" operator="containsText" text="check - see columns S-Z for info">
      <formula>NOT(ISERROR(SEARCH("check - see columns S-Z for info",E205)))</formula>
    </cfRule>
  </conditionalFormatting>
  <conditionalFormatting sqref="E299:E304">
    <cfRule type="containsText" dxfId="2919" priority="4580" operator="containsText" text="Check">
      <formula>NOT(ISERROR(SEARCH("Check",E299)))</formula>
    </cfRule>
    <cfRule type="containsText" dxfId="2918" priority="4570" operator="containsText" text="check - see columns S-Z for info">
      <formula>NOT(ISERROR(SEARCH("check - see columns S-Z for info",E299)))</formula>
    </cfRule>
    <cfRule type="containsText" dxfId="2917" priority="4569" operator="containsText" text="check - see columns S-Z for info">
      <formula>NOT(ISERROR(SEARCH("check - see columns S-Z for info",E299)))</formula>
    </cfRule>
    <cfRule type="containsBlanks" dxfId="2916" priority="4568">
      <formula>LEN(TRIM(E299))=0</formula>
    </cfRule>
    <cfRule type="containsText" priority="4567" operator="containsText" text="check - see columns S-Z for info">
      <formula>NOT(ISERROR(SEARCH("check - see columns S-Z for info",E299)))</formula>
    </cfRule>
    <cfRule type="containsText" dxfId="2915" priority="4566" operator="containsText" text="check - see columns S-Z for info">
      <formula>NOT(ISERROR(SEARCH("check - see columns S-Z for info",E299)))</formula>
    </cfRule>
    <cfRule type="cellIs" dxfId="2914" priority="4582" operator="equal">
      <formula>"Check Validation"</formula>
    </cfRule>
    <cfRule type="containsText" dxfId="2913" priority="4565" operator="containsText" text="check - see columns S-Z for info">
      <formula>NOT(ISERROR(SEARCH("check - see columns S-Z for info",E299)))</formula>
    </cfRule>
    <cfRule type="containsText" dxfId="2912" priority="4571" operator="containsText" text="Check">
      <formula>NOT(ISERROR(SEARCH("Check",E299)))</formula>
    </cfRule>
    <cfRule type="cellIs" dxfId="2911" priority="4572" operator="equal">
      <formula>"Check"</formula>
    </cfRule>
    <cfRule type="cellIs" dxfId="2910" priority="4574" operator="equal">
      <formula>"Check Validations"</formula>
    </cfRule>
    <cfRule type="containsText" dxfId="2909" priority="4575" operator="containsText" text="check - see columns S-Z for info">
      <formula>NOT(ISERROR(SEARCH("check - see columns S-Z for info",E299)))</formula>
    </cfRule>
    <cfRule type="containsBlanks" dxfId="2908" priority="4577">
      <formula>LEN(TRIM(E299))=0</formula>
    </cfRule>
    <cfRule type="cellIs" dxfId="2907" priority="4581" operator="equal">
      <formula>"Check"</formula>
    </cfRule>
    <cfRule type="cellIs" dxfId="2906" priority="4583" operator="equal">
      <formula>"Check Validations"</formula>
    </cfRule>
    <cfRule type="containsBlanks" dxfId="2905" priority="4584">
      <formula>LEN(TRIM(E299))=0</formula>
    </cfRule>
    <cfRule type="containsText" dxfId="2904" priority="4578" operator="containsText" text="check - see columns S-Z for info">
      <formula>NOT(ISERROR(SEARCH("check - see columns S-Z for info",E299)))</formula>
    </cfRule>
    <cfRule type="cellIs" dxfId="2903" priority="4590" operator="equal">
      <formula>"Check Validations"</formula>
    </cfRule>
    <cfRule type="cellIs" dxfId="2902" priority="4589" operator="equal">
      <formula>"Check Validation"</formula>
    </cfRule>
    <cfRule type="cellIs" dxfId="2901" priority="4588" operator="equal">
      <formula>"Check"</formula>
    </cfRule>
    <cfRule type="containsText" dxfId="2900" priority="4587" operator="containsText" text="Check">
      <formula>NOT(ISERROR(SEARCH("Check",E299)))</formula>
    </cfRule>
    <cfRule type="containsText" dxfId="2899" priority="4586" operator="containsText" text="check - see columns S-Z for info">
      <formula>NOT(ISERROR(SEARCH("check - see columns S-Z for info",E299)))</formula>
    </cfRule>
    <cfRule type="containsText" dxfId="2898" priority="4579" operator="containsText" text="check - see columns S-Z for info">
      <formula>NOT(ISERROR(SEARCH("check - see columns S-Z for info",E299)))</formula>
    </cfRule>
    <cfRule type="containsText" dxfId="2897" priority="4585" operator="containsText" text="check - see columns S-Z for info">
      <formula>NOT(ISERROR(SEARCH("check - see columns S-Z for info",E299)))</formula>
    </cfRule>
    <cfRule type="cellIs" dxfId="2896" priority="4573" operator="equal">
      <formula>"Check Validation"</formula>
    </cfRule>
  </conditionalFormatting>
  <conditionalFormatting sqref="E308:E312">
    <cfRule type="cellIs" dxfId="2895" priority="5396" operator="equal">
      <formula>"Check Validations"</formula>
    </cfRule>
    <cfRule type="cellIs" dxfId="2894" priority="5395" operator="equal">
      <formula>"Check Validation"</formula>
    </cfRule>
    <cfRule type="cellIs" dxfId="2893" priority="5394" operator="equal">
      <formula>"Check"</formula>
    </cfRule>
    <cfRule type="containsText" dxfId="2892" priority="5393" operator="containsText" text="Check">
      <formula>NOT(ISERROR(SEARCH("Check",E308)))</formula>
    </cfRule>
    <cfRule type="containsText" dxfId="2891" priority="5392" operator="containsText" text="check - see columns S-Z for info">
      <formula>NOT(ISERROR(SEARCH("check - see columns S-Z for info",E308)))</formula>
    </cfRule>
    <cfRule type="containsText" dxfId="2890" priority="5391" operator="containsText" text="check - see columns S-Z for info">
      <formula>NOT(ISERROR(SEARCH("check - see columns S-Z for info",E308)))</formula>
    </cfRule>
    <cfRule type="containsBlanks" dxfId="2889" priority="5390">
      <formula>LEN(TRIM(E308))=0</formula>
    </cfRule>
    <cfRule type="cellIs" dxfId="2888" priority="5389" operator="equal">
      <formula>"Check Validations"</formula>
    </cfRule>
    <cfRule type="cellIs" dxfId="2887" priority="5388" operator="equal">
      <formula>"Check Validation"</formula>
    </cfRule>
    <cfRule type="cellIs" dxfId="2886" priority="5387" operator="equal">
      <formula>"Check"</formula>
    </cfRule>
    <cfRule type="containsText" dxfId="2885" priority="5386" operator="containsText" text="Check">
      <formula>NOT(ISERROR(SEARCH("Check",E308)))</formula>
    </cfRule>
    <cfRule type="containsText" dxfId="2884" priority="5385" operator="containsText" text="check - see columns S-Z for info">
      <formula>NOT(ISERROR(SEARCH("check - see columns S-Z for info",E308)))</formula>
    </cfRule>
    <cfRule type="containsText" dxfId="2883" priority="5384" operator="containsText" text="check - see columns S-Z for info">
      <formula>NOT(ISERROR(SEARCH("check - see columns S-Z for info",E308)))</formula>
    </cfRule>
    <cfRule type="containsBlanks" dxfId="2882" priority="5383">
      <formula>LEN(TRIM(E308))=0</formula>
    </cfRule>
    <cfRule type="containsText" dxfId="2881" priority="5381" operator="containsText" text="check - see columns S-Z for info">
      <formula>NOT(ISERROR(SEARCH("check - see columns S-Z for info",E308)))</formula>
    </cfRule>
    <cfRule type="cellIs" dxfId="2880" priority="5380" operator="equal">
      <formula>"Check Validations"</formula>
    </cfRule>
    <cfRule type="cellIs" dxfId="2879" priority="5379" operator="equal">
      <formula>"Check Validation"</formula>
    </cfRule>
    <cfRule type="cellIs" dxfId="2878" priority="5378" operator="equal">
      <formula>"Check"</formula>
    </cfRule>
    <cfRule type="containsText" dxfId="2877" priority="5376" operator="containsText" text="check - see columns S-Z for info">
      <formula>NOT(ISERROR(SEARCH("check - see columns S-Z for info",E308)))</formula>
    </cfRule>
    <cfRule type="containsText" dxfId="2876" priority="5375" operator="containsText" text="check - see columns S-Z for info">
      <formula>NOT(ISERROR(SEARCH("check - see columns S-Z for info",E308)))</formula>
    </cfRule>
    <cfRule type="containsBlanks" dxfId="2875" priority="5374">
      <formula>LEN(TRIM(E308))=0</formula>
    </cfRule>
    <cfRule type="containsText" priority="5373" operator="containsText" text="check - see columns S-Z for info">
      <formula>NOT(ISERROR(SEARCH("check - see columns S-Z for info",E308)))</formula>
    </cfRule>
    <cfRule type="containsText" dxfId="2874" priority="5372" operator="containsText" text="check - see columns S-Z for info">
      <formula>NOT(ISERROR(SEARCH("check - see columns S-Z for info",E308)))</formula>
    </cfRule>
    <cfRule type="containsText" dxfId="2873" priority="5371" operator="containsText" text="check - see columns S-Z for info">
      <formula>NOT(ISERROR(SEARCH("check - see columns S-Z for info",E308)))</formula>
    </cfRule>
    <cfRule type="containsText" dxfId="2872" priority="5377" operator="containsText" text="Check">
      <formula>NOT(ISERROR(SEARCH("Check",E308)))</formula>
    </cfRule>
  </conditionalFormatting>
  <conditionalFormatting sqref="E315:E316">
    <cfRule type="containsText" dxfId="2871" priority="4523" operator="containsText" text="check - see columns S-Z for info">
      <formula>NOT(ISERROR(SEARCH("check - see columns S-Z for info",E315)))</formula>
    </cfRule>
    <cfRule type="cellIs" dxfId="2870" priority="4531" operator="equal">
      <formula>"Check Validations"</formula>
    </cfRule>
    <cfRule type="containsText" dxfId="2869" priority="4526" operator="containsText" text="check - see columns S-Z for info">
      <formula>NOT(ISERROR(SEARCH("check - see columns S-Z for info",E315)))</formula>
    </cfRule>
    <cfRule type="containsBlanks" dxfId="2868" priority="4525">
      <formula>LEN(TRIM(E315))=0</formula>
    </cfRule>
    <cfRule type="containsText" dxfId="2867" priority="4527" operator="containsText" text="check - see columns S-Z for info">
      <formula>NOT(ISERROR(SEARCH("check - see columns S-Z for info",E315)))</formula>
    </cfRule>
    <cfRule type="containsText" dxfId="2866" priority="4528" operator="containsText" text="Check">
      <formula>NOT(ISERROR(SEARCH("Check",E315)))</formula>
    </cfRule>
    <cfRule type="cellIs" dxfId="2865" priority="4529" operator="equal">
      <formula>"Check"</formula>
    </cfRule>
    <cfRule type="cellIs" dxfId="2864" priority="4521" operator="equal">
      <formula>"Check Validation"</formula>
    </cfRule>
    <cfRule type="cellIs" dxfId="2863" priority="4537" operator="equal">
      <formula>"Check Validation"</formula>
    </cfRule>
    <cfRule type="containsBlanks" dxfId="2862" priority="4532">
      <formula>LEN(TRIM(E315))=0</formula>
    </cfRule>
    <cfRule type="containsText" dxfId="2861" priority="4533" operator="containsText" text="check - see columns S-Z for info">
      <formula>NOT(ISERROR(SEARCH("check - see columns S-Z for info",E315)))</formula>
    </cfRule>
    <cfRule type="containsText" dxfId="2860" priority="4513" operator="containsText" text="check - see columns S-Z for info">
      <formula>NOT(ISERROR(SEARCH("check - see columns S-Z for info",E315)))</formula>
    </cfRule>
    <cfRule type="containsText" dxfId="2859" priority="4517" operator="containsText" text="check - see columns S-Z for info">
      <formula>NOT(ISERROR(SEARCH("check - see columns S-Z for info",E315)))</formula>
    </cfRule>
    <cfRule type="containsText" dxfId="2858" priority="4514" operator="containsText" text="check - see columns S-Z for info">
      <formula>NOT(ISERROR(SEARCH("check - see columns S-Z for info",E315)))</formula>
    </cfRule>
    <cfRule type="containsText" priority="4515" operator="containsText" text="check - see columns S-Z for info">
      <formula>NOT(ISERROR(SEARCH("check - see columns S-Z for info",E315)))</formula>
    </cfRule>
    <cfRule type="cellIs" dxfId="2857" priority="4520" operator="equal">
      <formula>"Check"</formula>
    </cfRule>
    <cfRule type="containsText" dxfId="2856" priority="4519" operator="containsText" text="Check">
      <formula>NOT(ISERROR(SEARCH("Check",E315)))</formula>
    </cfRule>
    <cfRule type="containsText" dxfId="2855" priority="4518" operator="containsText" text="check - see columns S-Z for info">
      <formula>NOT(ISERROR(SEARCH("check - see columns S-Z for info",E315)))</formula>
    </cfRule>
    <cfRule type="containsBlanks" dxfId="2854" priority="4516">
      <formula>LEN(TRIM(E315))=0</formula>
    </cfRule>
    <cfRule type="containsText" dxfId="2853" priority="4534" operator="containsText" text="check - see columns S-Z for info">
      <formula>NOT(ISERROR(SEARCH("check - see columns S-Z for info",E315)))</formula>
    </cfRule>
    <cfRule type="containsText" dxfId="2852" priority="4535" operator="containsText" text="Check">
      <formula>NOT(ISERROR(SEARCH("Check",E315)))</formula>
    </cfRule>
    <cfRule type="cellIs" dxfId="2851" priority="4522" operator="equal">
      <formula>"Check Validations"</formula>
    </cfRule>
    <cfRule type="cellIs" dxfId="2850" priority="4536" operator="equal">
      <formula>"Check"</formula>
    </cfRule>
    <cfRule type="cellIs" dxfId="2849" priority="4538" operator="equal">
      <formula>"Check Validations"</formula>
    </cfRule>
    <cfRule type="cellIs" dxfId="2848" priority="4530" operator="equal">
      <formula>"Check Validation"</formula>
    </cfRule>
  </conditionalFormatting>
  <conditionalFormatting sqref="E320:E324">
    <cfRule type="containsText" dxfId="2847" priority="4507" operator="containsText" text="check - see columns S-Z for info">
      <formula>NOT(ISERROR(SEARCH("check - see columns S-Z for info",E320)))</formula>
    </cfRule>
    <cfRule type="containsText" dxfId="2846" priority="4508" operator="containsText" text="check - see columns S-Z for info">
      <formula>NOT(ISERROR(SEARCH("check - see columns S-Z for info",E320)))</formula>
    </cfRule>
    <cfRule type="containsText" dxfId="2845" priority="4509" operator="containsText" text="Check">
      <formula>NOT(ISERROR(SEARCH("Check",E320)))</formula>
    </cfRule>
    <cfRule type="containsBlanks" dxfId="2844" priority="4499">
      <formula>LEN(TRIM(E320))=0</formula>
    </cfRule>
    <cfRule type="containsText" dxfId="2843" priority="4487" operator="containsText" text="check - see columns S-Z for info">
      <formula>NOT(ISERROR(SEARCH("check - see columns S-Z for info",E320)))</formula>
    </cfRule>
    <cfRule type="containsText" dxfId="2842" priority="4488" operator="containsText" text="check - see columns S-Z for info">
      <formula>NOT(ISERROR(SEARCH("check - see columns S-Z for info",E320)))</formula>
    </cfRule>
    <cfRule type="containsText" priority="4489" operator="containsText" text="check - see columns S-Z for info">
      <formula>NOT(ISERROR(SEARCH("check - see columns S-Z for info",E320)))</formula>
    </cfRule>
    <cfRule type="containsBlanks" dxfId="2841" priority="4490">
      <formula>LEN(TRIM(E320))=0</formula>
    </cfRule>
    <cfRule type="containsText" dxfId="2840" priority="4491" operator="containsText" text="check - see columns S-Z for info">
      <formula>NOT(ISERROR(SEARCH("check - see columns S-Z for info",E320)))</formula>
    </cfRule>
    <cfRule type="containsText" dxfId="2839" priority="4492" operator="containsText" text="check - see columns S-Z for info">
      <formula>NOT(ISERROR(SEARCH("check - see columns S-Z for info",E320)))</formula>
    </cfRule>
    <cfRule type="containsText" dxfId="2838" priority="4493" operator="containsText" text="Check">
      <formula>NOT(ISERROR(SEARCH("Check",E320)))</formula>
    </cfRule>
    <cfRule type="cellIs" dxfId="2837" priority="4494" operator="equal">
      <formula>"Check"</formula>
    </cfRule>
    <cfRule type="cellIs" dxfId="2836" priority="4495" operator="equal">
      <formula>"Check Validation"</formula>
    </cfRule>
    <cfRule type="cellIs" dxfId="2835" priority="4496" operator="equal">
      <formula>"Check Validations"</formula>
    </cfRule>
    <cfRule type="containsText" dxfId="2834" priority="4497" operator="containsText" text="check - see columns S-Z for info">
      <formula>NOT(ISERROR(SEARCH("check - see columns S-Z for info",E320)))</formula>
    </cfRule>
    <cfRule type="containsText" dxfId="2833" priority="4500" operator="containsText" text="check - see columns S-Z for info">
      <formula>NOT(ISERROR(SEARCH("check - see columns S-Z for info",E320)))</formula>
    </cfRule>
    <cfRule type="containsText" dxfId="2832" priority="4501" operator="containsText" text="check - see columns S-Z for info">
      <formula>NOT(ISERROR(SEARCH("check - see columns S-Z for info",E320)))</formula>
    </cfRule>
    <cfRule type="containsText" dxfId="2831" priority="4502" operator="containsText" text="Check">
      <formula>NOT(ISERROR(SEARCH("Check",E320)))</formula>
    </cfRule>
    <cfRule type="cellIs" dxfId="2830" priority="4503" operator="equal">
      <formula>"Check"</formula>
    </cfRule>
    <cfRule type="cellIs" dxfId="2829" priority="4504" operator="equal">
      <formula>"Check Validation"</formula>
    </cfRule>
    <cfRule type="cellIs" dxfId="2828" priority="4505" operator="equal">
      <formula>"Check Validations"</formula>
    </cfRule>
    <cfRule type="containsBlanks" dxfId="2827" priority="4506">
      <formula>LEN(TRIM(E320))=0</formula>
    </cfRule>
  </conditionalFormatting>
  <conditionalFormatting sqref="E328">
    <cfRule type="containsText" dxfId="2826" priority="1158" operator="containsText" text="check - see columns S-Z for info">
      <formula>NOT(ISERROR(SEARCH("check - see columns S-Z for info",E328)))</formula>
    </cfRule>
    <cfRule type="containsText" dxfId="2825" priority="1166" operator="containsText" text="check - see columns S-Z for info">
      <formula>NOT(ISERROR(SEARCH("check - see columns S-Z for info",E328)))</formula>
    </cfRule>
    <cfRule type="containsText" dxfId="2824" priority="1159" operator="containsText" text="check - see columns S-Z for info">
      <formula>NOT(ISERROR(SEARCH("check - see columns S-Z for info",E328)))</formula>
    </cfRule>
    <cfRule type="containsText" dxfId="2823" priority="1160" operator="containsText" text="Check">
      <formula>NOT(ISERROR(SEARCH("Check",E328)))</formula>
    </cfRule>
    <cfRule type="cellIs" dxfId="2822" priority="1162" operator="equal">
      <formula>"Check Validation"</formula>
    </cfRule>
    <cfRule type="cellIs" dxfId="2821" priority="1163" operator="equal">
      <formula>"Check Validations"</formula>
    </cfRule>
    <cfRule type="containsText" dxfId="2820" priority="1156" operator="containsText" text="check - see columns S-Z for info">
      <formula>NOT(ISERROR(SEARCH("check - see columns S-Z for info",E328)))</formula>
    </cfRule>
    <cfRule type="containsBlanks" dxfId="2819" priority="1157">
      <formula>LEN(TRIM(E328))=0</formula>
    </cfRule>
    <cfRule type="cellIs" dxfId="2818" priority="1169" operator="equal">
      <formula>"Check Validation"</formula>
    </cfRule>
    <cfRule type="containsBlanks" dxfId="2817" priority="1164">
      <formula>LEN(TRIM(E328))=0</formula>
    </cfRule>
    <cfRule type="cellIs" dxfId="2816" priority="1161" operator="equal">
      <formula>"Check"</formula>
    </cfRule>
    <cfRule type="cellIs" dxfId="2815" priority="1170" operator="equal">
      <formula>"Check Validations"</formula>
    </cfRule>
    <cfRule type="containsText" dxfId="2814" priority="1167" operator="containsText" text="Check">
      <formula>NOT(ISERROR(SEARCH("Check",E328)))</formula>
    </cfRule>
    <cfRule type="cellIs" dxfId="2813" priority="1168" operator="equal">
      <formula>"Check"</formula>
    </cfRule>
    <cfRule type="containsText" dxfId="2812" priority="1165" operator="containsText" text="check - see columns S-Z for info">
      <formula>NOT(ISERROR(SEARCH("check - see columns S-Z for info",E328)))</formula>
    </cfRule>
  </conditionalFormatting>
  <conditionalFormatting sqref="E328:E329">
    <cfRule type="containsText" dxfId="2811" priority="1142" operator="containsText" text="Check">
      <formula>NOT(ISERROR(SEARCH("Check",E328)))</formula>
    </cfRule>
    <cfRule type="cellIs" dxfId="2810" priority="1145" operator="equal">
      <formula>"Check Validations"</formula>
    </cfRule>
    <cfRule type="cellIs" dxfId="2809" priority="1144" operator="equal">
      <formula>"Check Validation"</formula>
    </cfRule>
    <cfRule type="cellIs" dxfId="2808" priority="1143" operator="equal">
      <formula>"Check"</formula>
    </cfRule>
    <cfRule type="containsText" dxfId="2807" priority="1141" operator="containsText" text="check - see columns S-Z for info">
      <formula>NOT(ISERROR(SEARCH("check - see columns S-Z for info",E328)))</formula>
    </cfRule>
    <cfRule type="containsText" dxfId="2806" priority="1140" operator="containsText" text="check - see columns S-Z for info">
      <formula>NOT(ISERROR(SEARCH("check - see columns S-Z for info",E328)))</formula>
    </cfRule>
    <cfRule type="containsBlanks" dxfId="2805" priority="1139">
      <formula>LEN(TRIM(E328))=0</formula>
    </cfRule>
    <cfRule type="containsText" dxfId="2804" priority="1131" operator="containsText" text="check - see columns S-Z for info">
      <formula>NOT(ISERROR(SEARCH("check - see columns S-Z for info",E328)))</formula>
    </cfRule>
  </conditionalFormatting>
  <conditionalFormatting sqref="E328:E331">
    <cfRule type="containsText" dxfId="2803" priority="1071" operator="containsText" text="check - see columns S-Z for info">
      <formula>NOT(ISERROR(SEARCH("check - see columns S-Z for info",E328)))</formula>
    </cfRule>
    <cfRule type="containsText" priority="1073" operator="containsText" text="check - see columns S-Z for info">
      <formula>NOT(ISERROR(SEARCH("check - see columns S-Z for info",E328)))</formula>
    </cfRule>
  </conditionalFormatting>
  <conditionalFormatting sqref="E329">
    <cfRule type="cellIs" dxfId="2802" priority="1138" operator="equal">
      <formula>"Check Validations"</formula>
    </cfRule>
    <cfRule type="containsBlanks" dxfId="2801" priority="1132">
      <formula>LEN(TRIM(E329))=0</formula>
    </cfRule>
    <cfRule type="containsText" dxfId="2800" priority="1133" operator="containsText" text="check - see columns S-Z for info">
      <formula>NOT(ISERROR(SEARCH("check - see columns S-Z for info",E329)))</formula>
    </cfRule>
    <cfRule type="containsText" dxfId="2799" priority="1134" operator="containsText" text="check - see columns S-Z for info">
      <formula>NOT(ISERROR(SEARCH("check - see columns S-Z for info",E329)))</formula>
    </cfRule>
    <cfRule type="containsText" dxfId="2798" priority="1135" operator="containsText" text="Check">
      <formula>NOT(ISERROR(SEARCH("Check",E329)))</formula>
    </cfRule>
    <cfRule type="cellIs" dxfId="2797" priority="1136" operator="equal">
      <formula>"Check"</formula>
    </cfRule>
    <cfRule type="cellIs" dxfId="2796" priority="1137" operator="equal">
      <formula>"Check Validation"</formula>
    </cfRule>
  </conditionalFormatting>
  <conditionalFormatting sqref="E329:E330">
    <cfRule type="cellIs" dxfId="2795" priority="1120" operator="equal">
      <formula>"Check Validations"</formula>
    </cfRule>
    <cfRule type="cellIs" dxfId="2794" priority="1119" operator="equal">
      <formula>"Check Validation"</formula>
    </cfRule>
    <cfRule type="cellIs" dxfId="2793" priority="1118" operator="equal">
      <formula>"Check"</formula>
    </cfRule>
    <cfRule type="containsText" dxfId="2792" priority="1117" operator="containsText" text="Check">
      <formula>NOT(ISERROR(SEARCH("Check",E329)))</formula>
    </cfRule>
    <cfRule type="containsText" dxfId="2791" priority="1116" operator="containsText" text="check - see columns S-Z for info">
      <formula>NOT(ISERROR(SEARCH("check - see columns S-Z for info",E329)))</formula>
    </cfRule>
    <cfRule type="containsText" dxfId="2790" priority="1115" operator="containsText" text="check - see columns S-Z for info">
      <formula>NOT(ISERROR(SEARCH("check - see columns S-Z for info",E329)))</formula>
    </cfRule>
    <cfRule type="containsBlanks" dxfId="2789" priority="1114">
      <formula>LEN(TRIM(E329))=0</formula>
    </cfRule>
    <cfRule type="containsText" dxfId="2788" priority="1106" operator="containsText" text="check - see columns S-Z for info">
      <formula>NOT(ISERROR(SEARCH("check - see columns S-Z for info",E329)))</formula>
    </cfRule>
  </conditionalFormatting>
  <conditionalFormatting sqref="E330">
    <cfRule type="cellIs" dxfId="2787" priority="1113" operator="equal">
      <formula>"Check Validations"</formula>
    </cfRule>
    <cfRule type="cellIs" dxfId="2786" priority="1112" operator="equal">
      <formula>"Check Validation"</formula>
    </cfRule>
    <cfRule type="cellIs" dxfId="2785" priority="1111" operator="equal">
      <formula>"Check"</formula>
    </cfRule>
    <cfRule type="containsText" dxfId="2784" priority="1109" operator="containsText" text="check - see columns S-Z for info">
      <formula>NOT(ISERROR(SEARCH("check - see columns S-Z for info",E330)))</formula>
    </cfRule>
    <cfRule type="containsText" dxfId="2783" priority="1108" operator="containsText" text="check - see columns S-Z for info">
      <formula>NOT(ISERROR(SEARCH("check - see columns S-Z for info",E330)))</formula>
    </cfRule>
    <cfRule type="containsBlanks" dxfId="2782" priority="1107">
      <formula>LEN(TRIM(E330))=0</formula>
    </cfRule>
    <cfRule type="containsText" dxfId="2781" priority="1110" operator="containsText" text="Check">
      <formula>NOT(ISERROR(SEARCH("Check",E330)))</formula>
    </cfRule>
  </conditionalFormatting>
  <conditionalFormatting sqref="E330:E331">
    <cfRule type="containsText" dxfId="2780" priority="1081" operator="containsText" text="check - see columns S-Z for info">
      <formula>NOT(ISERROR(SEARCH("check - see columns S-Z for info",E330)))</formula>
    </cfRule>
    <cfRule type="containsBlanks" dxfId="2779" priority="1089">
      <formula>LEN(TRIM(E330))=0</formula>
    </cfRule>
    <cfRule type="cellIs" dxfId="2778" priority="1095" operator="equal">
      <formula>"Check Validations"</formula>
    </cfRule>
    <cfRule type="cellIs" dxfId="2777" priority="1094" operator="equal">
      <formula>"Check Validation"</formula>
    </cfRule>
    <cfRule type="cellIs" dxfId="2776" priority="1093" operator="equal">
      <formula>"Check"</formula>
    </cfRule>
    <cfRule type="containsText" dxfId="2775" priority="1092" operator="containsText" text="Check">
      <formula>NOT(ISERROR(SEARCH("Check",E330)))</formula>
    </cfRule>
    <cfRule type="containsText" dxfId="2774" priority="1091" operator="containsText" text="check - see columns S-Z for info">
      <formula>NOT(ISERROR(SEARCH("check - see columns S-Z for info",E330)))</formula>
    </cfRule>
    <cfRule type="containsText" dxfId="2773" priority="1090" operator="containsText" text="check - see columns S-Z for info">
      <formula>NOT(ISERROR(SEARCH("check - see columns S-Z for info",E330)))</formula>
    </cfRule>
  </conditionalFormatting>
  <conditionalFormatting sqref="E331">
    <cfRule type="cellIs" dxfId="2772" priority="1088" operator="equal">
      <formula>"Check Validations"</formula>
    </cfRule>
    <cfRule type="cellIs" dxfId="2771" priority="1087" operator="equal">
      <formula>"Check Validation"</formula>
    </cfRule>
    <cfRule type="cellIs" dxfId="2770" priority="1086" operator="equal">
      <formula>"Check"</formula>
    </cfRule>
    <cfRule type="containsText" dxfId="2769" priority="1085" operator="containsText" text="Check">
      <formula>NOT(ISERROR(SEARCH("Check",E331)))</formula>
    </cfRule>
    <cfRule type="containsText" dxfId="2768" priority="1084" operator="containsText" text="check - see columns S-Z for info">
      <formula>NOT(ISERROR(SEARCH("check - see columns S-Z for info",E331)))</formula>
    </cfRule>
    <cfRule type="containsText" dxfId="2767" priority="1083" operator="containsText" text="check - see columns S-Z for info">
      <formula>NOT(ISERROR(SEARCH("check - see columns S-Z for info",E331)))</formula>
    </cfRule>
    <cfRule type="containsBlanks" dxfId="2766" priority="1082">
      <formula>LEN(TRIM(E331))=0</formula>
    </cfRule>
    <cfRule type="cellIs" dxfId="2765" priority="1080" operator="equal">
      <formula>"Check Validations"</formula>
    </cfRule>
    <cfRule type="cellIs" dxfId="2764" priority="1079" operator="equal">
      <formula>"Check Validation"</formula>
    </cfRule>
    <cfRule type="cellIs" dxfId="2763" priority="1078" operator="equal">
      <formula>"Check"</formula>
    </cfRule>
    <cfRule type="containsText" dxfId="2762" priority="1077" operator="containsText" text="Check">
      <formula>NOT(ISERROR(SEARCH("Check",E331)))</formula>
    </cfRule>
    <cfRule type="containsText" dxfId="2761" priority="1076" operator="containsText" text="check - see columns S-Z for info">
      <formula>NOT(ISERROR(SEARCH("check - see columns S-Z for info",E331)))</formula>
    </cfRule>
    <cfRule type="containsText" dxfId="2760" priority="1075" operator="containsText" text="check - see columns S-Z for info">
      <formula>NOT(ISERROR(SEARCH("check - see columns S-Z for info",E331)))</formula>
    </cfRule>
    <cfRule type="containsText" dxfId="2759" priority="1072" operator="containsText" text="check - see columns S-Z for info">
      <formula>NOT(ISERROR(SEARCH("check - see columns S-Z for info",E331)))</formula>
    </cfRule>
    <cfRule type="containsBlanks" dxfId="2758" priority="1074">
      <formula>LEN(TRIM(E331))=0</formula>
    </cfRule>
  </conditionalFormatting>
  <conditionalFormatting sqref="E335:E338">
    <cfRule type="containsBlanks" dxfId="2757" priority="4447">
      <formula>LEN(TRIM(E335))=0</formula>
    </cfRule>
    <cfRule type="cellIs" dxfId="2756" priority="4443" operator="equal">
      <formula>"Check Validation"</formula>
    </cfRule>
    <cfRule type="containsText" dxfId="2755" priority="4449" operator="containsText" text="check - see columns S-Z for info">
      <formula>NOT(ISERROR(SEARCH("check - see columns S-Z for info",E335)))</formula>
    </cfRule>
    <cfRule type="containsText" dxfId="2754" priority="4436" operator="containsText" text="check - see columns S-Z for info">
      <formula>NOT(ISERROR(SEARCH("check - see columns S-Z for info",E335)))</formula>
    </cfRule>
    <cfRule type="containsText" dxfId="2753" priority="4448" operator="containsText" text="check - see columns S-Z for info">
      <formula>NOT(ISERROR(SEARCH("check - see columns S-Z for info",E335)))</formula>
    </cfRule>
    <cfRule type="containsText" dxfId="2752" priority="4445" operator="containsText" text="check - see columns S-Z for info">
      <formula>NOT(ISERROR(SEARCH("check - see columns S-Z for info",E335)))</formula>
    </cfRule>
    <cfRule type="containsText" dxfId="2751" priority="4435" operator="containsText" text="check - see columns S-Z for info">
      <formula>NOT(ISERROR(SEARCH("check - see columns S-Z for info",E335)))</formula>
    </cfRule>
    <cfRule type="cellIs" dxfId="2750" priority="4442" operator="equal">
      <formula>"Check"</formula>
    </cfRule>
    <cfRule type="containsText" dxfId="2749" priority="4440" operator="containsText" text="check - see columns S-Z for info">
      <formula>NOT(ISERROR(SEARCH("check - see columns S-Z for info",E335)))</formula>
    </cfRule>
    <cfRule type="containsText" dxfId="2748" priority="4455" operator="containsText" text="check - see columns S-Z for info">
      <formula>NOT(ISERROR(SEARCH("check - see columns S-Z for info",E335)))</formula>
    </cfRule>
    <cfRule type="containsBlanks" dxfId="2747" priority="4454">
      <formula>LEN(TRIM(E335))=0</formula>
    </cfRule>
    <cfRule type="containsText" dxfId="2746" priority="4439" operator="containsText" text="check - see columns S-Z for info">
      <formula>NOT(ISERROR(SEARCH("check - see columns S-Z for info",E335)))</formula>
    </cfRule>
    <cfRule type="containsBlanks" dxfId="2745" priority="4438">
      <formula>LEN(TRIM(E335))=0</formula>
    </cfRule>
    <cfRule type="cellIs" dxfId="2744" priority="4452" operator="equal">
      <formula>"Check Validation"</formula>
    </cfRule>
    <cfRule type="cellIs" dxfId="2743" priority="4451" operator="equal">
      <formula>"Check"</formula>
    </cfRule>
    <cfRule type="containsText" dxfId="2742" priority="4450" operator="containsText" text="Check">
      <formula>NOT(ISERROR(SEARCH("Check",E335)))</formula>
    </cfRule>
    <cfRule type="cellIs" dxfId="2741" priority="4453" operator="equal">
      <formula>"Check Validations"</formula>
    </cfRule>
    <cfRule type="containsText" dxfId="2740" priority="4457" operator="containsText" text="Check">
      <formula>NOT(ISERROR(SEARCH("Check",E335)))</formula>
    </cfRule>
    <cfRule type="containsText" dxfId="2739" priority="4441" operator="containsText" text="Check">
      <formula>NOT(ISERROR(SEARCH("Check",E335)))</formula>
    </cfRule>
    <cfRule type="containsText" dxfId="2738" priority="4456" operator="containsText" text="check - see columns S-Z for info">
      <formula>NOT(ISERROR(SEARCH("check - see columns S-Z for info",E335)))</formula>
    </cfRule>
    <cfRule type="cellIs" dxfId="2737" priority="4444" operator="equal">
      <formula>"Check Validations"</formula>
    </cfRule>
    <cfRule type="containsText" priority="4437" operator="containsText" text="check - see columns S-Z for info">
      <formula>NOT(ISERROR(SEARCH("check - see columns S-Z for info",E335)))</formula>
    </cfRule>
  </conditionalFormatting>
  <conditionalFormatting sqref="E29:F29">
    <cfRule type="cellIs" dxfId="2736" priority="19990" operator="equal">
      <formula>"Check Validations"</formula>
    </cfRule>
    <cfRule type="cellIs" dxfId="2735" priority="19985" operator="equal">
      <formula>"Check Validation"</formula>
    </cfRule>
    <cfRule type="cellIs" dxfId="2734" priority="19984" operator="equal">
      <formula>"Check"</formula>
    </cfRule>
    <cfRule type="containsText" dxfId="2733" priority="19983" operator="containsText" text="Check">
      <formula>NOT(ISERROR(SEARCH("Check",E29)))</formula>
    </cfRule>
  </conditionalFormatting>
  <conditionalFormatting sqref="E32:F37">
    <cfRule type="cellIs" dxfId="2732" priority="5420" operator="equal">
      <formula>"Check"</formula>
    </cfRule>
    <cfRule type="containsText" dxfId="2731" priority="5419" operator="containsText" text="Check">
      <formula>NOT(ISERROR(SEARCH("Check",E32)))</formula>
    </cfRule>
  </conditionalFormatting>
  <conditionalFormatting sqref="E49:F53">
    <cfRule type="cellIs" dxfId="2730" priority="1243" operator="equal">
      <formula>"Check"</formula>
    </cfRule>
    <cfRule type="containsText" dxfId="2729" priority="1242" operator="containsText" text="Check">
      <formula>NOT(ISERROR(SEARCH("Check",E49)))</formula>
    </cfRule>
  </conditionalFormatting>
  <conditionalFormatting sqref="E66:F66">
    <cfRule type="cellIs" dxfId="2728" priority="20394" operator="equal">
      <formula>"Check Validation"</formula>
    </cfRule>
    <cfRule type="cellIs" dxfId="2727" priority="20395" operator="equal">
      <formula>"Check Validations"</formula>
    </cfRule>
    <cfRule type="cellIs" dxfId="2726" priority="20393" operator="equal">
      <formula>"Check"</formula>
    </cfRule>
    <cfRule type="containsText" dxfId="2725" priority="20391" operator="containsText" text="Check">
      <formula>NOT(ISERROR(SEARCH("Check",E66)))</formula>
    </cfRule>
  </conditionalFormatting>
  <conditionalFormatting sqref="E69:F69">
    <cfRule type="cellIs" dxfId="2724" priority="20401" operator="equal">
      <formula>"Check Validations"</formula>
    </cfRule>
    <cfRule type="containsText" dxfId="2723" priority="20398" operator="containsText" text="Check">
      <formula>NOT(ISERROR(SEARCH("Check",E69)))</formula>
    </cfRule>
    <cfRule type="cellIs" dxfId="2722" priority="20403" operator="equal">
      <formula>"Check"</formula>
    </cfRule>
    <cfRule type="cellIs" dxfId="2721" priority="20400" operator="equal">
      <formula>"Check Validation"</formula>
    </cfRule>
  </conditionalFormatting>
  <conditionalFormatting sqref="E81:F81">
    <cfRule type="containsText" dxfId="2720" priority="5211" operator="containsText" text="Check">
      <formula>NOT(ISERROR(SEARCH("Check",E81)))</formula>
    </cfRule>
    <cfRule type="cellIs" dxfId="2719" priority="5212" operator="equal">
      <formula>"Check"</formula>
    </cfRule>
  </conditionalFormatting>
  <conditionalFormatting sqref="E88:F88">
    <cfRule type="cellIs" dxfId="2718" priority="5160" operator="equal">
      <formula>"Check"</formula>
    </cfRule>
    <cfRule type="containsText" dxfId="2717" priority="5159" operator="containsText" text="Check">
      <formula>NOT(ISERROR(SEARCH("Check",E88)))</formula>
    </cfRule>
  </conditionalFormatting>
  <conditionalFormatting sqref="E96:F100">
    <cfRule type="containsText" dxfId="2716" priority="5133" operator="containsText" text="Check">
      <formula>NOT(ISERROR(SEARCH("Check",E96)))</formula>
    </cfRule>
    <cfRule type="cellIs" dxfId="2715" priority="5134" operator="equal">
      <formula>"Check"</formula>
    </cfRule>
  </conditionalFormatting>
  <conditionalFormatting sqref="E106:F108 F103:F106">
    <cfRule type="containsText" dxfId="2714" priority="5107" operator="containsText" text="Check">
      <formula>NOT(ISERROR(SEARCH("Check",E103)))</formula>
    </cfRule>
    <cfRule type="cellIs" dxfId="2713" priority="5108" operator="equal">
      <formula>"Check"</formula>
    </cfRule>
  </conditionalFormatting>
  <conditionalFormatting sqref="E111:F113">
    <cfRule type="containsText" dxfId="2712" priority="5081" operator="containsText" text="Check">
      <formula>NOT(ISERROR(SEARCH("Check",E111)))</formula>
    </cfRule>
    <cfRule type="cellIs" dxfId="2711" priority="5082" operator="equal">
      <formula>"Check"</formula>
    </cfRule>
  </conditionalFormatting>
  <conditionalFormatting sqref="E116:F116">
    <cfRule type="cellIs" dxfId="2710" priority="793" operator="equal">
      <formula>"Check"</formula>
    </cfRule>
    <cfRule type="containsText" dxfId="2709" priority="792" operator="containsText" text="Check">
      <formula>NOT(ISERROR(SEARCH("Check",E116)))</formula>
    </cfRule>
  </conditionalFormatting>
  <conditionalFormatting sqref="E122:F135">
    <cfRule type="containsText" dxfId="2708" priority="5029" operator="containsText" text="Check">
      <formula>NOT(ISERROR(SEARCH("Check",E122)))</formula>
    </cfRule>
    <cfRule type="cellIs" dxfId="2707" priority="5030" operator="equal">
      <formula>"Check"</formula>
    </cfRule>
  </conditionalFormatting>
  <conditionalFormatting sqref="E139:F139">
    <cfRule type="containsText" dxfId="2706" priority="817" operator="containsText" text="Check">
      <formula>NOT(ISERROR(SEARCH("Check",E139)))</formula>
    </cfRule>
    <cfRule type="cellIs" dxfId="2705" priority="818" operator="equal">
      <formula>"Check"</formula>
    </cfRule>
  </conditionalFormatting>
  <conditionalFormatting sqref="E149:F151">
    <cfRule type="cellIs" dxfId="2704" priority="4928" operator="equal">
      <formula>"Check Validations"</formula>
    </cfRule>
    <cfRule type="cellIs" dxfId="2703" priority="4927" operator="equal">
      <formula>"Check Validation"</formula>
    </cfRule>
    <cfRule type="cellIs" dxfId="2702" priority="4926" operator="equal">
      <formula>"Check"</formula>
    </cfRule>
    <cfRule type="containsText" dxfId="2701" priority="4925" operator="containsText" text="Check">
      <formula>NOT(ISERROR(SEARCH("Check",E149)))</formula>
    </cfRule>
  </conditionalFormatting>
  <conditionalFormatting sqref="E156:F157">
    <cfRule type="cellIs" dxfId="2700" priority="843" operator="equal">
      <formula>"Check"</formula>
    </cfRule>
    <cfRule type="containsText" dxfId="2699" priority="842" operator="containsText" text="Check">
      <formula>NOT(ISERROR(SEARCH("Check",E156)))</formula>
    </cfRule>
  </conditionalFormatting>
  <conditionalFormatting sqref="E167:F167">
    <cfRule type="cellIs" dxfId="2698" priority="918" operator="equal">
      <formula>"Check"</formula>
    </cfRule>
    <cfRule type="containsText" dxfId="2697" priority="917" operator="containsText" text="Check">
      <formula>NOT(ISERROR(SEARCH("Check",E167)))</formula>
    </cfRule>
  </conditionalFormatting>
  <conditionalFormatting sqref="E168:F169">
    <cfRule type="cellIs" dxfId="2696" priority="4823" operator="equal">
      <formula>"Check Validation"</formula>
    </cfRule>
    <cfRule type="cellIs" dxfId="2695" priority="4824" operator="equal">
      <formula>"Check Validations"</formula>
    </cfRule>
  </conditionalFormatting>
  <conditionalFormatting sqref="E169:F169">
    <cfRule type="cellIs" dxfId="2694" priority="4822" operator="equal">
      <formula>"Check"</formula>
    </cfRule>
    <cfRule type="containsText" dxfId="2693" priority="4821" operator="containsText" text="Check">
      <formula>NOT(ISERROR(SEARCH("Check",E169)))</formula>
    </cfRule>
  </conditionalFormatting>
  <conditionalFormatting sqref="E174:F174">
    <cfRule type="containsText" dxfId="2692" priority="4795" operator="containsText" text="Check">
      <formula>NOT(ISERROR(SEARCH("Check",E174)))</formula>
    </cfRule>
    <cfRule type="cellIs" dxfId="2691" priority="4796" operator="equal">
      <formula>"Check"</formula>
    </cfRule>
  </conditionalFormatting>
  <conditionalFormatting sqref="E175:F176">
    <cfRule type="cellIs" dxfId="2690" priority="944" operator="equal">
      <formula>"Check Validation"</formula>
    </cfRule>
    <cfRule type="cellIs" dxfId="2689" priority="945" operator="equal">
      <formula>"Check Validations"</formula>
    </cfRule>
  </conditionalFormatting>
  <conditionalFormatting sqref="E176:F176">
    <cfRule type="containsText" dxfId="2688" priority="942" operator="containsText" text="Check">
      <formula>NOT(ISERROR(SEARCH("Check",E176)))</formula>
    </cfRule>
    <cfRule type="cellIs" dxfId="2687" priority="943" operator="equal">
      <formula>"Check"</formula>
    </cfRule>
  </conditionalFormatting>
  <conditionalFormatting sqref="E177:F178">
    <cfRule type="cellIs" dxfId="2686" priority="970" operator="equal">
      <formula>"Check Validations"</formula>
    </cfRule>
    <cfRule type="cellIs" dxfId="2685" priority="969" operator="equal">
      <formula>"Check Validation"</formula>
    </cfRule>
  </conditionalFormatting>
  <conditionalFormatting sqref="E178:F178">
    <cfRule type="cellIs" dxfId="2684" priority="968" operator="equal">
      <formula>"Check"</formula>
    </cfRule>
    <cfRule type="containsText" dxfId="2683" priority="967" operator="containsText" text="Check">
      <formula>NOT(ISERROR(SEARCH("Check",E178)))</formula>
    </cfRule>
  </conditionalFormatting>
  <conditionalFormatting sqref="E182:F184">
    <cfRule type="containsText" dxfId="2682" priority="4717" operator="containsText" text="Check">
      <formula>NOT(ISERROR(SEARCH("Check",E182)))</formula>
    </cfRule>
  </conditionalFormatting>
  <conditionalFormatting sqref="E188:F191">
    <cfRule type="cellIs" dxfId="2681" priority="4692" operator="equal">
      <formula>"Check"</formula>
    </cfRule>
    <cfRule type="containsText" dxfId="2680" priority="4691" operator="containsText" text="Check">
      <formula>NOT(ISERROR(SEARCH("Check",E188)))</formula>
    </cfRule>
  </conditionalFormatting>
  <conditionalFormatting sqref="E205:F294">
    <cfRule type="cellIs" dxfId="2679" priority="1070" operator="equal">
      <formula>"Check Validations"</formula>
    </cfRule>
    <cfRule type="cellIs" dxfId="2678" priority="1069" operator="equal">
      <formula>"Check Validation"</formula>
    </cfRule>
    <cfRule type="cellIs" dxfId="2677" priority="1068" operator="equal">
      <formula>"Check"</formula>
    </cfRule>
    <cfRule type="containsText" dxfId="2676" priority="1067" operator="containsText" text="Check">
      <formula>NOT(ISERROR(SEARCH("Check",E205)))</formula>
    </cfRule>
  </conditionalFormatting>
  <conditionalFormatting sqref="E320:F324">
    <cfRule type="cellIs" dxfId="2675" priority="4511" operator="equal">
      <formula>"Check Validation"</formula>
    </cfRule>
    <cfRule type="cellIs" dxfId="2674" priority="4510" operator="equal">
      <formula>"Check"</formula>
    </cfRule>
    <cfRule type="cellIs" dxfId="2673" priority="4512" operator="equal">
      <formula>"Check Validations"</formula>
    </cfRule>
  </conditionalFormatting>
  <conditionalFormatting sqref="E335:F338">
    <cfRule type="cellIs" dxfId="2672" priority="4458" operator="equal">
      <formula>"Check"</formula>
    </cfRule>
    <cfRule type="cellIs" dxfId="2671" priority="4459" operator="equal">
      <formula>"Check Validation"</formula>
    </cfRule>
    <cfRule type="cellIs" dxfId="2670" priority="4460" operator="equal">
      <formula>"Check Validations"</formula>
    </cfRule>
  </conditionalFormatting>
  <conditionalFormatting sqref="E170:H170 E171:E172">
    <cfRule type="containsText" dxfId="2669" priority="20052" operator="containsText" text="Check">
      <formula>NOT(ISERROR(SEARCH("Check",E170)))</formula>
    </cfRule>
  </conditionalFormatting>
  <conditionalFormatting sqref="E170:H170">
    <cfRule type="cellIs" dxfId="2668" priority="20056" operator="equal">
      <formula>"Check"</formula>
    </cfRule>
    <cfRule type="cellIs" dxfId="2667" priority="20055" operator="equal">
      <formula>"Check Validation"</formula>
    </cfRule>
  </conditionalFormatting>
  <conditionalFormatting sqref="E179:H179 E180">
    <cfRule type="containsText" dxfId="2666" priority="20044" operator="containsText" text="Check">
      <formula>NOT(ISERROR(SEARCH("Check",E179)))</formula>
    </cfRule>
  </conditionalFormatting>
  <conditionalFormatting sqref="E179:H179">
    <cfRule type="cellIs" dxfId="2665" priority="20051" operator="equal">
      <formula>"Check Validations"</formula>
    </cfRule>
    <cfRule type="cellIs" dxfId="2664" priority="20048" operator="equal">
      <formula>"Check"</formula>
    </cfRule>
    <cfRule type="cellIs" dxfId="2663" priority="20047" operator="equal">
      <formula>"Check Validation"</formula>
    </cfRule>
  </conditionalFormatting>
  <conditionalFormatting sqref="E185:H185 E186">
    <cfRule type="containsText" dxfId="2662" priority="20036" operator="containsText" text="Check">
      <formula>NOT(ISERROR(SEARCH("Check",E185)))</formula>
    </cfRule>
  </conditionalFormatting>
  <conditionalFormatting sqref="E185:H185">
    <cfRule type="cellIs" dxfId="2661" priority="20040" operator="equal">
      <formula>"Check"</formula>
    </cfRule>
    <cfRule type="cellIs" dxfId="2660" priority="20039" operator="equal">
      <formula>"Check Validation"</formula>
    </cfRule>
    <cfRule type="cellIs" dxfId="2659" priority="20043" operator="equal">
      <formula>"Check Validations"</formula>
    </cfRule>
  </conditionalFormatting>
  <conditionalFormatting sqref="E101:J101">
    <cfRule type="cellIs" dxfId="2658" priority="21522" operator="equal">
      <formula>"Check"</formula>
    </cfRule>
  </conditionalFormatting>
  <conditionalFormatting sqref="E109:J109">
    <cfRule type="cellIs" dxfId="2657" priority="20077" operator="equal">
      <formula>"Check Validation"</formula>
    </cfRule>
    <cfRule type="cellIs" dxfId="2656" priority="20075" operator="equal">
      <formula>"Check"</formula>
    </cfRule>
    <cfRule type="cellIs" dxfId="2655" priority="20078" operator="equal">
      <formula>"Check Validations"</formula>
    </cfRule>
  </conditionalFormatting>
  <conditionalFormatting sqref="E114:J114">
    <cfRule type="cellIs" dxfId="2654" priority="20071" operator="equal">
      <formula>"Check Validation"</formula>
    </cfRule>
    <cfRule type="cellIs" dxfId="2653" priority="20072" operator="equal">
      <formula>"Check Validations"</formula>
    </cfRule>
    <cfRule type="cellIs" dxfId="2652" priority="20069" operator="equal">
      <formula>"Check"</formula>
    </cfRule>
  </conditionalFormatting>
  <conditionalFormatting sqref="E158:J158">
    <cfRule type="cellIs" dxfId="2651" priority="20064" operator="equal">
      <formula>"Check Validations"</formula>
    </cfRule>
    <cfRule type="cellIs" dxfId="2650" priority="20063" operator="equal">
      <formula>"Check Validation"</formula>
    </cfRule>
  </conditionalFormatting>
  <conditionalFormatting sqref="E199:J199">
    <cfRule type="cellIs" dxfId="2649" priority="14542" operator="equal">
      <formula>"Check Validation"</formula>
    </cfRule>
    <cfRule type="cellIs" dxfId="2648" priority="14543" operator="equal">
      <formula>"Check Validations"</formula>
    </cfRule>
  </conditionalFormatting>
  <conditionalFormatting sqref="E76:Q78">
    <cfRule type="cellIs" dxfId="2647" priority="595" operator="equal">
      <formula>"Check Validations"</formula>
    </cfRule>
    <cfRule type="cellIs" dxfId="2646" priority="594" operator="equal">
      <formula>"Check Validation"</formula>
    </cfRule>
  </conditionalFormatting>
  <conditionalFormatting sqref="E159:R159">
    <cfRule type="cellIs" dxfId="2645" priority="4281" operator="equal">
      <formula>"Check Validations"</formula>
    </cfRule>
    <cfRule type="cellIs" dxfId="2644" priority="4280" operator="equal">
      <formula>"Check Validation"</formula>
    </cfRule>
  </conditionalFormatting>
  <conditionalFormatting sqref="E164:R165">
    <cfRule type="cellIs" dxfId="2643" priority="4276" operator="equal">
      <formula>"Check Validation"</formula>
    </cfRule>
    <cfRule type="cellIs" dxfId="2642" priority="4275" operator="equal">
      <formula>"Check"</formula>
    </cfRule>
    <cfRule type="cellIs" dxfId="2641" priority="4277" operator="equal">
      <formula>"Check Validations"</formula>
    </cfRule>
  </conditionalFormatting>
  <conditionalFormatting sqref="E171:R172">
    <cfRule type="cellIs" dxfId="2640" priority="4272" operator="equal">
      <formula>"Check Validation"</formula>
    </cfRule>
    <cfRule type="cellIs" dxfId="2639" priority="4273" operator="equal">
      <formula>"Check Validations"</formula>
    </cfRule>
    <cfRule type="cellIs" dxfId="2638" priority="4271" operator="equal">
      <formula>"Check"</formula>
    </cfRule>
  </conditionalFormatting>
  <conditionalFormatting sqref="E180:R180">
    <cfRule type="cellIs" dxfId="2637" priority="4269" operator="equal">
      <formula>"Check Validations"</formula>
    </cfRule>
    <cfRule type="cellIs" dxfId="2636" priority="4267" operator="equal">
      <formula>"Check"</formula>
    </cfRule>
    <cfRule type="cellIs" dxfId="2635" priority="4268" operator="equal">
      <formula>"Check Validation"</formula>
    </cfRule>
  </conditionalFormatting>
  <conditionalFormatting sqref="E186:R186">
    <cfRule type="cellIs" dxfId="2634" priority="4264" operator="equal">
      <formula>"Check Validation"</formula>
    </cfRule>
    <cfRule type="cellIs" dxfId="2633" priority="4263" operator="equal">
      <formula>"Check"</formula>
    </cfRule>
    <cfRule type="cellIs" dxfId="2632" priority="4265" operator="equal">
      <formula>"Check Validations"</formula>
    </cfRule>
  </conditionalFormatting>
  <conditionalFormatting sqref="E193:R193">
    <cfRule type="cellIs" dxfId="2631" priority="4261" operator="equal">
      <formula>"Check Validations"</formula>
    </cfRule>
    <cfRule type="cellIs" dxfId="2630" priority="4260" operator="equal">
      <formula>"Check Validation"</formula>
    </cfRule>
  </conditionalFormatting>
  <conditionalFormatting sqref="E297:R297">
    <cfRule type="cellIs" dxfId="2629" priority="4257" operator="equal">
      <formula>"Check Validations"</formula>
    </cfRule>
    <cfRule type="cellIs" dxfId="2628" priority="4256" operator="equal">
      <formula>"Check Validation"</formula>
    </cfRule>
  </conditionalFormatting>
  <conditionalFormatting sqref="E318:R318">
    <cfRule type="cellIs" dxfId="2627" priority="4245" operator="equal">
      <formula>"Check Validations"</formula>
    </cfRule>
    <cfRule type="cellIs" dxfId="2626" priority="4244" operator="equal">
      <formula>"Check Validation"</formula>
    </cfRule>
  </conditionalFormatting>
  <conditionalFormatting sqref="E326:R326">
    <cfRule type="cellIs" dxfId="2625" priority="4240" operator="equal">
      <formula>"Check Validation"</formula>
    </cfRule>
    <cfRule type="cellIs" dxfId="2624" priority="4241" operator="equal">
      <formula>"Check Validations"</formula>
    </cfRule>
  </conditionalFormatting>
  <conditionalFormatting sqref="E333:R333">
    <cfRule type="cellIs" dxfId="2623" priority="4237" operator="equal">
      <formula>"Check Validations"</formula>
    </cfRule>
    <cfRule type="cellIs" dxfId="2622" priority="4236" operator="equal">
      <formula>"Check Validation"</formula>
    </cfRule>
  </conditionalFormatting>
  <conditionalFormatting sqref="F18:F28 J18:J29">
    <cfRule type="containsText" dxfId="2621" priority="21169" operator="containsText" text="Check">
      <formula>NOT(ISERROR(SEARCH("Check",F18)))</formula>
    </cfRule>
  </conditionalFormatting>
  <conditionalFormatting sqref="F31:F37">
    <cfRule type="cellIs" dxfId="2620" priority="15199" operator="equal">
      <formula>"Check Validation"</formula>
    </cfRule>
  </conditionalFormatting>
  <conditionalFormatting sqref="F39:F45">
    <cfRule type="containsText" dxfId="2619" priority="15176" operator="containsText" text="Check">
      <formula>NOT(ISERROR(SEARCH("Check",F39)))</formula>
    </cfRule>
    <cfRule type="cellIs" dxfId="2618" priority="15178" operator="equal">
      <formula>"Check Validation"</formula>
    </cfRule>
    <cfRule type="cellIs" dxfId="2617" priority="15179" operator="equal">
      <formula>"Check"</formula>
    </cfRule>
    <cfRule type="cellIs" dxfId="2616" priority="15181" operator="equal">
      <formula>"Check Validations"</formula>
    </cfRule>
  </conditionalFormatting>
  <conditionalFormatting sqref="F48:F53">
    <cfRule type="cellIs" dxfId="2615" priority="15160" operator="equal">
      <formula>"Check Validations"</formula>
    </cfRule>
    <cfRule type="cellIs" dxfId="2614" priority="15157" operator="equal">
      <formula>"Check Validation"</formula>
    </cfRule>
  </conditionalFormatting>
  <conditionalFormatting sqref="F55:F65">
    <cfRule type="cellIs" dxfId="2613" priority="15137" operator="equal">
      <formula>"Check"</formula>
    </cfRule>
    <cfRule type="cellIs" dxfId="2612" priority="15139" operator="equal">
      <formula>"Check Validations"</formula>
    </cfRule>
    <cfRule type="containsText" dxfId="2611" priority="15134" operator="containsText" text="Check">
      <formula>NOT(ISERROR(SEARCH("Check",F55)))</formula>
    </cfRule>
    <cfRule type="cellIs" dxfId="2610" priority="15136" operator="equal">
      <formula>"Check Validation"</formula>
    </cfRule>
  </conditionalFormatting>
  <conditionalFormatting sqref="F67:F68">
    <cfRule type="cellIs" dxfId="2609" priority="20386" operator="equal">
      <formula>"Check Validation"</formula>
    </cfRule>
    <cfRule type="containsText" dxfId="2608" priority="20385" operator="containsText" text="Check">
      <formula>NOT(ISERROR(SEARCH("Check",F67)))</formula>
    </cfRule>
    <cfRule type="cellIs" dxfId="2607" priority="20387" operator="equal">
      <formula>"Check Validations"</formula>
    </cfRule>
    <cfRule type="cellIs" dxfId="2606" priority="20389" operator="equal">
      <formula>"Check"</formula>
    </cfRule>
  </conditionalFormatting>
  <conditionalFormatting sqref="F70:F75">
    <cfRule type="containsText" dxfId="2605" priority="15068" operator="containsText" text="Check">
      <formula>NOT(ISERROR(SEARCH("Check",F70)))</formula>
    </cfRule>
    <cfRule type="cellIs" dxfId="2604" priority="15073" operator="equal">
      <formula>"Check Validations"</formula>
    </cfRule>
    <cfRule type="cellIs" dxfId="2603" priority="15071" operator="equal">
      <formula>"Check"</formula>
    </cfRule>
    <cfRule type="cellIs" dxfId="2602" priority="15070" operator="equal">
      <formula>"Check Validation"</formula>
    </cfRule>
  </conditionalFormatting>
  <conditionalFormatting sqref="F80:F81">
    <cfRule type="cellIs" dxfId="2601" priority="21137" operator="equal">
      <formula>"Check Validation"</formula>
    </cfRule>
  </conditionalFormatting>
  <conditionalFormatting sqref="F83:F88">
    <cfRule type="cellIs" dxfId="2600" priority="21125" operator="equal">
      <formula>"Check Validation"</formula>
    </cfRule>
  </conditionalFormatting>
  <conditionalFormatting sqref="F84 I84:J84">
    <cfRule type="containsText" dxfId="2599" priority="21131" operator="containsText" text="Check">
      <formula>NOT(ISERROR(SEARCH("Check",F84)))</formula>
    </cfRule>
    <cfRule type="cellIs" dxfId="2598" priority="21132" operator="equal">
      <formula>"Check"</formula>
    </cfRule>
  </conditionalFormatting>
  <conditionalFormatting sqref="F95:F100">
    <cfRule type="cellIs" dxfId="2597" priority="15051" operator="equal">
      <formula>"Check Validations"</formula>
    </cfRule>
    <cfRule type="cellIs" dxfId="2596" priority="15048" operator="equal">
      <formula>"Check Validation"</formula>
    </cfRule>
  </conditionalFormatting>
  <conditionalFormatting sqref="F102:F108">
    <cfRule type="cellIs" dxfId="2595" priority="15029" operator="equal">
      <formula>"Check Validations"</formula>
    </cfRule>
    <cfRule type="cellIs" dxfId="2594" priority="15026" operator="equal">
      <formula>"Check Validation"</formula>
    </cfRule>
  </conditionalFormatting>
  <conditionalFormatting sqref="F110:F113">
    <cfRule type="cellIs" dxfId="2593" priority="15007" operator="equal">
      <formula>"Check Validations"</formula>
    </cfRule>
    <cfRule type="cellIs" dxfId="2592" priority="15004" operator="equal">
      <formula>"Check Validation"</formula>
    </cfRule>
  </conditionalFormatting>
  <conditionalFormatting sqref="F115:F119 F121:F135">
    <cfRule type="cellIs" dxfId="2591" priority="14985" operator="equal">
      <formula>"Check Validations"</formula>
    </cfRule>
    <cfRule type="cellIs" dxfId="2590" priority="14982" operator="equal">
      <formula>"Check Validation"</formula>
    </cfRule>
  </conditionalFormatting>
  <conditionalFormatting sqref="F118">
    <cfRule type="cellIs" dxfId="2589" priority="10198" operator="equal">
      <formula>"Check"</formula>
    </cfRule>
    <cfRule type="containsText" dxfId="2588" priority="10197" operator="containsText" text="Check">
      <formula>NOT(ISERROR(SEARCH("Check",F118)))</formula>
    </cfRule>
  </conditionalFormatting>
  <conditionalFormatting sqref="F138:F139">
    <cfRule type="cellIs" dxfId="2587" priority="21072" operator="equal">
      <formula>"Check Validation"</formula>
    </cfRule>
  </conditionalFormatting>
  <conditionalFormatting sqref="F155:F157">
    <cfRule type="cellIs" dxfId="2586" priority="20826" operator="equal">
      <formula>"Check Validations"</formula>
    </cfRule>
    <cfRule type="cellIs" dxfId="2585" priority="20821" operator="equal">
      <formula>"Check Validation"</formula>
    </cfRule>
  </conditionalFormatting>
  <conditionalFormatting sqref="F166:F167">
    <cfRule type="cellIs" dxfId="2584" priority="20942" operator="equal">
      <formula>"Check Validation"</formula>
    </cfRule>
  </conditionalFormatting>
  <conditionalFormatting sqref="F173:F174">
    <cfRule type="cellIs" dxfId="2583" priority="21017" operator="equal">
      <formula>"Check Validation"</formula>
    </cfRule>
  </conditionalFormatting>
  <conditionalFormatting sqref="F181:F184">
    <cfRule type="cellIs" dxfId="2582" priority="14917" operator="equal">
      <formula>"Check"</formula>
    </cfRule>
    <cfRule type="cellIs" dxfId="2581" priority="14916" operator="equal">
      <formula>"Check Validation"</formula>
    </cfRule>
    <cfRule type="cellIs" dxfId="2580" priority="14919" operator="equal">
      <formula>"Check Validations"</formula>
    </cfRule>
  </conditionalFormatting>
  <conditionalFormatting sqref="F187:F191">
    <cfRule type="cellIs" dxfId="2579" priority="14897" operator="equal">
      <formula>"Check Validations"</formula>
    </cfRule>
    <cfRule type="cellIs" dxfId="2578" priority="14894" operator="equal">
      <formula>"Check Validation"</formula>
    </cfRule>
  </conditionalFormatting>
  <conditionalFormatting sqref="F196:F198">
    <cfRule type="cellIs" dxfId="2577" priority="4668" operator="equal">
      <formula>"Check Validations"</formula>
    </cfRule>
    <cfRule type="containsText" dxfId="2576" priority="4665" operator="containsText" text="Check">
      <formula>NOT(ISERROR(SEARCH("Check",F196)))</formula>
    </cfRule>
    <cfRule type="cellIs" dxfId="2575" priority="4666" operator="equal">
      <formula>"Check"</formula>
    </cfRule>
    <cfRule type="cellIs" dxfId="2574" priority="4667" operator="equal">
      <formula>"Check Validation"</formula>
    </cfRule>
  </conditionalFormatting>
  <conditionalFormatting sqref="F299:F303">
    <cfRule type="cellIs" dxfId="2573" priority="20768" operator="equal">
      <formula>"Check Validations"</formula>
    </cfRule>
    <cfRule type="cellIs" dxfId="2572" priority="20767" operator="equal">
      <formula>"Check Validation"</formula>
    </cfRule>
    <cfRule type="cellIs" dxfId="2571" priority="20766" operator="equal">
      <formula>"Check"</formula>
    </cfRule>
  </conditionalFormatting>
  <conditionalFormatting sqref="F308:F310">
    <cfRule type="cellIs" dxfId="2570" priority="20762" operator="equal">
      <formula>"Check Validation"</formula>
    </cfRule>
    <cfRule type="cellIs" dxfId="2569" priority="20761" operator="equal">
      <formula>"Check"</formula>
    </cfRule>
    <cfRule type="cellIs" dxfId="2568" priority="20763" operator="equal">
      <formula>"Check Validations"</formula>
    </cfRule>
  </conditionalFormatting>
  <conditionalFormatting sqref="F314 J314 L314:R314">
    <cfRule type="cellIs" dxfId="2567" priority="4247" operator="equal">
      <formula>"Check"</formula>
    </cfRule>
    <cfRule type="cellIs" dxfId="2566" priority="4248" operator="equal">
      <formula>"Check Validation"</formula>
    </cfRule>
    <cfRule type="cellIs" dxfId="2565" priority="4249" operator="equal">
      <formula>"Check Validations"</formula>
    </cfRule>
  </conditionalFormatting>
  <conditionalFormatting sqref="F328:F331">
    <cfRule type="cellIs" dxfId="2564" priority="4486" operator="equal">
      <formula>"Check Validations"</formula>
    </cfRule>
    <cfRule type="cellIs" dxfId="2563" priority="4484" operator="equal">
      <formula>"Check"</formula>
    </cfRule>
    <cfRule type="cellIs" dxfId="2562" priority="4485" operator="equal">
      <formula>"Check Validation"</formula>
    </cfRule>
  </conditionalFormatting>
  <conditionalFormatting sqref="F306:P306 R306">
    <cfRule type="cellIs" dxfId="2561" priority="4252" operator="equal">
      <formula>"Check Validation"</formula>
    </cfRule>
    <cfRule type="cellIs" dxfId="2560" priority="4251" operator="equal">
      <formula>"Check"</formula>
    </cfRule>
    <cfRule type="cellIs" dxfId="2559" priority="4253" operator="equal">
      <formula>"Check Validations"</formula>
    </cfRule>
  </conditionalFormatting>
  <conditionalFormatting sqref="F93:Q93 F200:G202">
    <cfRule type="cellIs" dxfId="2558" priority="4287" operator="equal">
      <formula>"Check"</formula>
    </cfRule>
  </conditionalFormatting>
  <conditionalFormatting sqref="F79:R79">
    <cfRule type="cellIs" dxfId="2557" priority="4289" operator="equal">
      <formula>"Check"</formula>
    </cfRule>
  </conditionalFormatting>
  <conditionalFormatting sqref="F120:R120">
    <cfRule type="cellIs" dxfId="2556" priority="4285" operator="equal">
      <formula>"Check"</formula>
    </cfRule>
  </conditionalFormatting>
  <conditionalFormatting sqref="F154:R154">
    <cfRule type="cellIs" dxfId="2555" priority="4283" operator="equal">
      <formula>"Check"</formula>
    </cfRule>
  </conditionalFormatting>
  <conditionalFormatting sqref="F159:R159">
    <cfRule type="cellIs" dxfId="2554" priority="4279" operator="equal">
      <formula>"Check"</formula>
    </cfRule>
  </conditionalFormatting>
  <conditionalFormatting sqref="F193:R193">
    <cfRule type="cellIs" dxfId="2553" priority="4259" operator="equal">
      <formula>"Check"</formula>
    </cfRule>
  </conditionalFormatting>
  <conditionalFormatting sqref="F203:R203">
    <cfRule type="cellIs" dxfId="2552" priority="1299" operator="equal">
      <formula>"Check Validations"</formula>
    </cfRule>
    <cfRule type="cellIs" dxfId="2551" priority="1298" operator="equal">
      <formula>"Check Validation"</formula>
    </cfRule>
    <cfRule type="cellIs" dxfId="2550" priority="1297" operator="equal">
      <formula>"Check"</formula>
    </cfRule>
  </conditionalFormatting>
  <conditionalFormatting sqref="F297:R297">
    <cfRule type="cellIs" dxfId="2549" priority="4255" operator="equal">
      <formula>"Check"</formula>
    </cfRule>
  </conditionalFormatting>
  <conditionalFormatting sqref="F318:R318">
    <cfRule type="cellIs" dxfId="2548" priority="4243" operator="equal">
      <formula>"Check"</formula>
    </cfRule>
  </conditionalFormatting>
  <conditionalFormatting sqref="F326:R326">
    <cfRule type="cellIs" dxfId="2547" priority="4239" operator="equal">
      <formula>"Check"</formula>
    </cfRule>
  </conditionalFormatting>
  <conditionalFormatting sqref="F333:R333">
    <cfRule type="cellIs" dxfId="2546" priority="4235" operator="equal">
      <formula>"Check"</formula>
    </cfRule>
  </conditionalFormatting>
  <conditionalFormatting sqref="G11">
    <cfRule type="cellIs" priority="1673" operator="lessThan">
      <formula>0</formula>
    </cfRule>
    <cfRule type="cellIs" dxfId="2545" priority="1668" operator="greaterThan">
      <formula>0</formula>
    </cfRule>
    <cfRule type="cellIs" dxfId="2544" priority="1669" operator="lessThan">
      <formula>0</formula>
    </cfRule>
    <cfRule type="cellIs" dxfId="2543" priority="1670" operator="equal">
      <formula>0</formula>
    </cfRule>
    <cfRule type="cellIs" dxfId="2542" priority="1671" operator="greaterThan">
      <formula>0</formula>
    </cfRule>
    <cfRule type="cellIs" dxfId="2541" priority="1672" operator="lessThan">
      <formula>0</formula>
    </cfRule>
  </conditionalFormatting>
  <conditionalFormatting sqref="G18:G28">
    <cfRule type="cellIs" dxfId="2540" priority="11751" operator="greaterThan">
      <formula>0</formula>
    </cfRule>
    <cfRule type="cellIs" dxfId="2539" priority="7387" operator="lessThan">
      <formula>0</formula>
    </cfRule>
    <cfRule type="cellIs" dxfId="2538" priority="7386" operator="greaterThan">
      <formula>0</formula>
    </cfRule>
    <cfRule type="cellIs" dxfId="2537" priority="11750" operator="equal">
      <formula>0</formula>
    </cfRule>
    <cfRule type="cellIs" priority="11753" operator="lessThan">
      <formula>0</formula>
    </cfRule>
  </conditionalFormatting>
  <conditionalFormatting sqref="G32:G37">
    <cfRule type="cellIs" dxfId="2536" priority="446" operator="greaterThan">
      <formula>0</formula>
    </cfRule>
    <cfRule type="cellIs" priority="455" operator="lessThan">
      <formula>0</formula>
    </cfRule>
    <cfRule type="cellIs" dxfId="2535" priority="454" operator="greaterThan">
      <formula>0</formula>
    </cfRule>
    <cfRule type="cellIs" dxfId="2534" priority="453" operator="equal">
      <formula>0</formula>
    </cfRule>
    <cfRule type="cellIs" dxfId="2533" priority="447" operator="lessThan">
      <formula>0</formula>
    </cfRule>
  </conditionalFormatting>
  <conditionalFormatting sqref="G40:G41">
    <cfRule type="cellIs" dxfId="2532" priority="419" operator="greaterThan">
      <formula>0</formula>
    </cfRule>
    <cfRule type="cellIs" dxfId="2531" priority="427" operator="greaterThan">
      <formula>0</formula>
    </cfRule>
    <cfRule type="cellIs" dxfId="2530" priority="420" operator="lessThan">
      <formula>0</formula>
    </cfRule>
  </conditionalFormatting>
  <conditionalFormatting sqref="G40:G42">
    <cfRule type="cellIs" priority="428" operator="lessThan">
      <formula>0</formula>
    </cfRule>
    <cfRule type="cellIs" dxfId="2529" priority="426" operator="equal">
      <formula>0</formula>
    </cfRule>
  </conditionalFormatting>
  <conditionalFormatting sqref="G42">
    <cfRule type="cellIs" dxfId="2528" priority="4156" operator="greaterThan">
      <formula>0</formula>
    </cfRule>
    <cfRule type="cellIs" dxfId="2527" priority="4160" operator="greaterThan">
      <formula>0</formula>
    </cfRule>
    <cfRule type="cellIs" dxfId="2526" priority="4158" operator="lessThan">
      <formula>0</formula>
    </cfRule>
    <cfRule type="cellIs" dxfId="2525" priority="4157" operator="lessThan">
      <formula>0</formula>
    </cfRule>
  </conditionalFormatting>
  <conditionalFormatting sqref="G43 G45">
    <cfRule type="cellIs" dxfId="2524" priority="4152" operator="lessThan">
      <formula>0</formula>
    </cfRule>
  </conditionalFormatting>
  <conditionalFormatting sqref="G43">
    <cfRule type="cellIs" dxfId="2523" priority="5950" operator="greaterThan">
      <formula>0</formula>
    </cfRule>
    <cfRule type="cellIs" dxfId="2522" priority="5951" operator="greaterThan">
      <formula>0</formula>
    </cfRule>
    <cfRule type="cellIs" dxfId="2521" priority="5952" operator="lessThan">
      <formula>0</formula>
    </cfRule>
    <cfRule type="cellIs" dxfId="2520" priority="5953" operator="lessThan">
      <formula>0</formula>
    </cfRule>
    <cfRule type="cellIs" dxfId="2519" priority="5954" operator="lessThan">
      <formula>0</formula>
    </cfRule>
  </conditionalFormatting>
  <conditionalFormatting sqref="G44">
    <cfRule type="cellIs" priority="401" operator="lessThan">
      <formula>0</formula>
    </cfRule>
    <cfRule type="cellIs" dxfId="2518" priority="400" operator="greaterThan">
      <formula>0</formula>
    </cfRule>
    <cfRule type="cellIs" dxfId="2517" priority="399" operator="equal">
      <formula>0</formula>
    </cfRule>
    <cfRule type="cellIs" dxfId="2516" priority="393" operator="lessThan">
      <formula>0</formula>
    </cfRule>
    <cfRule type="cellIs" dxfId="2515" priority="392" operator="greaterThan">
      <formula>0</formula>
    </cfRule>
  </conditionalFormatting>
  <conditionalFormatting sqref="G45">
    <cfRule type="cellIs" dxfId="2514" priority="6535" operator="lessThan">
      <formula>0</formula>
    </cfRule>
    <cfRule type="cellIs" dxfId="2513" priority="6536" operator="lessThan">
      <formula>0</formula>
    </cfRule>
    <cfRule type="cellIs" dxfId="2512" priority="6534" operator="lessThan">
      <formula>0</formula>
    </cfRule>
  </conditionalFormatting>
  <conditionalFormatting sqref="G49:G52">
    <cfRule type="cellIs" dxfId="2511" priority="372" operator="equal">
      <formula>0</formula>
    </cfRule>
    <cfRule type="cellIs" dxfId="2510" priority="366" operator="lessThan">
      <formula>0</formula>
    </cfRule>
    <cfRule type="cellIs" dxfId="2509" priority="365" operator="greaterThan">
      <formula>0</formula>
    </cfRule>
    <cfRule type="cellIs" priority="374" operator="lessThan">
      <formula>0</formula>
    </cfRule>
    <cfRule type="cellIs" dxfId="2508" priority="373" operator="greaterThan">
      <formula>0</formula>
    </cfRule>
  </conditionalFormatting>
  <conditionalFormatting sqref="G56:G64">
    <cfRule type="cellIs" dxfId="2507" priority="339" operator="lessThan">
      <formula>0</formula>
    </cfRule>
    <cfRule type="cellIs" dxfId="2506" priority="338" operator="greaterThan">
      <formula>0</formula>
    </cfRule>
    <cfRule type="cellIs" dxfId="2505" priority="345" operator="equal">
      <formula>0</formula>
    </cfRule>
    <cfRule type="cellIs" dxfId="2504" priority="346" operator="greaterThan">
      <formula>0</formula>
    </cfRule>
    <cfRule type="cellIs" priority="347" operator="lessThan">
      <formula>0</formula>
    </cfRule>
  </conditionalFormatting>
  <conditionalFormatting sqref="G68">
    <cfRule type="cellIs" dxfId="2503" priority="311" operator="greaterThan">
      <formula>0</formula>
    </cfRule>
    <cfRule type="cellIs" dxfId="2502" priority="312" operator="lessThan">
      <formula>0</formula>
    </cfRule>
    <cfRule type="cellIs" dxfId="2501" priority="319" operator="greaterThan">
      <formula>0</formula>
    </cfRule>
    <cfRule type="cellIs" priority="320" operator="lessThan">
      <formula>0</formula>
    </cfRule>
    <cfRule type="cellIs" dxfId="2500" priority="318" operator="equal">
      <formula>0</formula>
    </cfRule>
  </conditionalFormatting>
  <conditionalFormatting sqref="G71:G72">
    <cfRule type="cellIs" priority="293" operator="lessThan">
      <formula>0</formula>
    </cfRule>
    <cfRule type="cellIs" dxfId="2499" priority="292" operator="greaterThan">
      <formula>0</formula>
    </cfRule>
    <cfRule type="cellIs" dxfId="2498" priority="284" operator="greaterThan">
      <formula>0</formula>
    </cfRule>
    <cfRule type="cellIs" dxfId="2497" priority="285" operator="lessThan">
      <formula>0</formula>
    </cfRule>
    <cfRule type="cellIs" dxfId="2496" priority="291" operator="equal">
      <formula>0</formula>
    </cfRule>
  </conditionalFormatting>
  <conditionalFormatting sqref="G74">
    <cfRule type="cellIs" dxfId="2495" priority="13" operator="lessThan">
      <formula>0</formula>
    </cfRule>
    <cfRule type="cellIs" dxfId="2494" priority="19" operator="equal">
      <formula>0</formula>
    </cfRule>
    <cfRule type="cellIs" priority="21" operator="lessThan">
      <formula>0</formula>
    </cfRule>
    <cfRule type="cellIs" dxfId="2493" priority="20" operator="greaterThan">
      <formula>0</formula>
    </cfRule>
    <cfRule type="cellIs" dxfId="2492" priority="12" operator="greaterThan">
      <formula>0</formula>
    </cfRule>
  </conditionalFormatting>
  <conditionalFormatting sqref="G96:G99">
    <cfRule type="cellIs" dxfId="2491" priority="257" operator="greaterThan">
      <formula>0</formula>
    </cfRule>
    <cfRule type="cellIs" dxfId="2490" priority="258" operator="lessThan">
      <formula>0</formula>
    </cfRule>
    <cfRule type="cellIs" priority="266" operator="lessThan">
      <formula>0</formula>
    </cfRule>
    <cfRule type="cellIs" dxfId="2489" priority="265" operator="greaterThan">
      <formula>0</formula>
    </cfRule>
    <cfRule type="cellIs" dxfId="2488" priority="264" operator="equal">
      <formula>0</formula>
    </cfRule>
  </conditionalFormatting>
  <conditionalFormatting sqref="G103:G107">
    <cfRule type="cellIs" priority="212" operator="lessThan">
      <formula>0</formula>
    </cfRule>
    <cfRule type="cellIs" dxfId="2487" priority="211" operator="greaterThan">
      <formula>0</formula>
    </cfRule>
    <cfRule type="cellIs" dxfId="2486" priority="204" operator="lessThan">
      <formula>0</formula>
    </cfRule>
    <cfRule type="cellIs" dxfId="2485" priority="210" operator="equal">
      <formula>0</formula>
    </cfRule>
    <cfRule type="cellIs" dxfId="2484" priority="203" operator="greaterThan">
      <formula>0</formula>
    </cfRule>
  </conditionalFormatting>
  <conditionalFormatting sqref="G111:G112">
    <cfRule type="cellIs" priority="185" operator="lessThan">
      <formula>0</formula>
    </cfRule>
    <cfRule type="cellIs" dxfId="2483" priority="184" operator="greaterThan">
      <formula>0</formula>
    </cfRule>
    <cfRule type="cellIs" dxfId="2482" priority="183" operator="equal">
      <formula>0</formula>
    </cfRule>
    <cfRule type="cellIs" dxfId="2481" priority="176" operator="greaterThan">
      <formula>0</formula>
    </cfRule>
    <cfRule type="cellIs" dxfId="2480" priority="177" operator="lessThan">
      <formula>0</formula>
    </cfRule>
  </conditionalFormatting>
  <conditionalFormatting sqref="G122:G134">
    <cfRule type="cellIs" dxfId="2479" priority="157" operator="greaterThan">
      <formula>0</formula>
    </cfRule>
    <cfRule type="cellIs" dxfId="2478" priority="150" operator="lessThan">
      <formula>0</formula>
    </cfRule>
    <cfRule type="cellIs" dxfId="2477" priority="149" operator="greaterThan">
      <formula>0</formula>
    </cfRule>
    <cfRule type="cellIs" dxfId="2476" priority="156" operator="equal">
      <formula>0</formula>
    </cfRule>
    <cfRule type="cellIs" priority="158" operator="lessThan">
      <formula>0</formula>
    </cfRule>
  </conditionalFormatting>
  <conditionalFormatting sqref="G135 I135">
    <cfRule type="cellIs" dxfId="2475" priority="7801" operator="lessThan">
      <formula>0</formula>
    </cfRule>
    <cfRule type="cellIs" dxfId="2474" priority="7800" operator="lessThan">
      <formula>0</formula>
    </cfRule>
  </conditionalFormatting>
  <conditionalFormatting sqref="G135">
    <cfRule type="cellIs" dxfId="2473" priority="4092" operator="lessThan">
      <formula>0</formula>
    </cfRule>
  </conditionalFormatting>
  <conditionalFormatting sqref="G139 I139">
    <cfRule type="cellIs" dxfId="2472" priority="2951" operator="lessThan">
      <formula>0</formula>
    </cfRule>
    <cfRule type="cellIs" dxfId="2471" priority="2950" operator="lessThan">
      <formula>0</formula>
    </cfRule>
    <cfRule type="cellIs" dxfId="2470" priority="2949" operator="lessThan">
      <formula>0</formula>
    </cfRule>
    <cfRule type="cellIs" dxfId="2469" priority="2946" operator="lessThan">
      <formula>0</formula>
    </cfRule>
  </conditionalFormatting>
  <conditionalFormatting sqref="G142">
    <cfRule type="cellIs" dxfId="2468" priority="2269" operator="equal">
      <formula>0</formula>
    </cfRule>
    <cfRule type="cellIs" dxfId="2467" priority="2270" operator="greaterThan">
      <formula>0</formula>
    </cfRule>
    <cfRule type="cellIs" priority="2271" operator="lessThan">
      <formula>0</formula>
    </cfRule>
    <cfRule type="cellIs" dxfId="2466" priority="2267" operator="lessThan">
      <formula>0</formula>
    </cfRule>
    <cfRule type="cellIs" dxfId="2465" priority="2266" operator="greaterThan">
      <formula>0</formula>
    </cfRule>
  </conditionalFormatting>
  <conditionalFormatting sqref="G149:G151">
    <cfRule type="cellIs" dxfId="2464" priority="129" operator="equal">
      <formula>0</formula>
    </cfRule>
    <cfRule type="cellIs" dxfId="2463" priority="123" operator="lessThan">
      <formula>0</formula>
    </cfRule>
    <cfRule type="cellIs" dxfId="2462" priority="122" operator="greaterThan">
      <formula>0</formula>
    </cfRule>
    <cfRule type="cellIs" priority="131" operator="lessThan">
      <formula>0</formula>
    </cfRule>
    <cfRule type="cellIs" dxfId="2461" priority="130" operator="greaterThan">
      <formula>0</formula>
    </cfRule>
  </conditionalFormatting>
  <conditionalFormatting sqref="G161:G162">
    <cfRule type="cellIs" priority="104" operator="lessThan">
      <formula>0</formula>
    </cfRule>
    <cfRule type="cellIs" dxfId="2460" priority="103" operator="greaterThan">
      <formula>0</formula>
    </cfRule>
    <cfRule type="cellIs" dxfId="2459" priority="102" operator="equal">
      <formula>0</formula>
    </cfRule>
    <cfRule type="cellIs" dxfId="2458" priority="96" operator="lessThan">
      <formula>0</formula>
    </cfRule>
    <cfRule type="cellIs" dxfId="2457" priority="95" operator="greaterThan">
      <formula>0</formula>
    </cfRule>
  </conditionalFormatting>
  <conditionalFormatting sqref="G174">
    <cfRule type="cellIs" dxfId="2456" priority="2251" operator="greaterThan">
      <formula>0</formula>
    </cfRule>
    <cfRule type="cellIs" dxfId="2455" priority="2250" operator="equal">
      <formula>0</formula>
    </cfRule>
    <cfRule type="cellIs" dxfId="2454" priority="2249" operator="lessThan">
      <formula>0</formula>
    </cfRule>
    <cfRule type="cellIs" dxfId="2453" priority="2248" operator="greaterThan">
      <formula>0</formula>
    </cfRule>
    <cfRule type="cellIs" priority="2253" operator="lessThan">
      <formula>0</formula>
    </cfRule>
  </conditionalFormatting>
  <conditionalFormatting sqref="G182:G184">
    <cfRule type="cellIs" priority="77" operator="lessThan">
      <formula>0</formula>
    </cfRule>
    <cfRule type="cellIs" dxfId="2452" priority="76" operator="greaterThan">
      <formula>0</formula>
    </cfRule>
    <cfRule type="cellIs" dxfId="2451" priority="75" operator="equal">
      <formula>0</formula>
    </cfRule>
    <cfRule type="cellIs" dxfId="2450" priority="68" operator="greaterThan">
      <formula>0</formula>
    </cfRule>
    <cfRule type="cellIs" dxfId="2449" priority="69" operator="lessThan">
      <formula>0</formula>
    </cfRule>
  </conditionalFormatting>
  <conditionalFormatting sqref="G188:G190">
    <cfRule type="cellIs" dxfId="2448" priority="41" operator="greaterThan">
      <formula>0</formula>
    </cfRule>
    <cfRule type="cellIs" dxfId="2447" priority="42" operator="lessThan">
      <formula>0</formula>
    </cfRule>
    <cfRule type="cellIs" dxfId="2446" priority="48" operator="equal">
      <formula>0</formula>
    </cfRule>
    <cfRule type="cellIs" dxfId="2445" priority="49" operator="greaterThan">
      <formula>0</formula>
    </cfRule>
    <cfRule type="cellIs" priority="50" operator="lessThan">
      <formula>0</formula>
    </cfRule>
  </conditionalFormatting>
  <conditionalFormatting sqref="G299:G303">
    <cfRule type="cellIs" dxfId="2444" priority="2479" operator="lessThan">
      <formula>0</formula>
    </cfRule>
    <cfRule type="cellIs" dxfId="2443" priority="2480" operator="lessThan">
      <formula>0</formula>
    </cfRule>
    <cfRule type="cellIs" dxfId="2442" priority="2481" operator="lessThan">
      <formula>0</formula>
    </cfRule>
    <cfRule type="cellIs" dxfId="2441" priority="2472" operator="greaterThan">
      <formula>0</formula>
    </cfRule>
    <cfRule type="cellIs" dxfId="2440" priority="2485" operator="lessThan">
      <formula>0</formula>
    </cfRule>
    <cfRule type="cellIs" dxfId="2439" priority="2486" operator="lessThan">
      <formula>0</formula>
    </cfRule>
    <cfRule type="cellIs" dxfId="2438" priority="2487" operator="lessThan">
      <formula>0</formula>
    </cfRule>
    <cfRule type="cellIs" dxfId="2437" priority="2482" operator="lessThan">
      <formula>0</formula>
    </cfRule>
    <cfRule type="cellIs" dxfId="2436" priority="2470" operator="lessThan">
      <formula>0</formula>
    </cfRule>
    <cfRule type="cellIs" dxfId="2435" priority="2471" operator="greaterThan">
      <formula>0</formula>
    </cfRule>
    <cfRule type="cellIs" dxfId="2434" priority="2473" operator="lessThan">
      <formula>0</formula>
    </cfRule>
    <cfRule type="cellIs" dxfId="2433" priority="2474" operator="lessThan">
      <formula>0</formula>
    </cfRule>
    <cfRule type="cellIs" dxfId="2432" priority="2475" operator="lessThan">
      <formula>0</formula>
    </cfRule>
    <cfRule type="cellIs" dxfId="2431" priority="2476" operator="lessThan">
      <formula>0</formula>
    </cfRule>
  </conditionalFormatting>
  <conditionalFormatting sqref="G308:G310">
    <cfRule type="cellIs" dxfId="2430" priority="2440" operator="lessThan">
      <formula>0</formula>
    </cfRule>
    <cfRule type="cellIs" dxfId="2429" priority="2439" operator="lessThan">
      <formula>0</formula>
    </cfRule>
    <cfRule type="cellIs" dxfId="2428" priority="2438" operator="lessThan">
      <formula>0</formula>
    </cfRule>
    <cfRule type="cellIs" dxfId="2427" priority="2437" operator="lessThan">
      <formula>0</formula>
    </cfRule>
    <cfRule type="cellIs" dxfId="2426" priority="2436" operator="greaterThan">
      <formula>0</formula>
    </cfRule>
    <cfRule type="cellIs" dxfId="2425" priority="2435" operator="greaterThan">
      <formula>0</formula>
    </cfRule>
    <cfRule type="cellIs" dxfId="2424" priority="2434" operator="lessThan">
      <formula>0</formula>
    </cfRule>
    <cfRule type="cellIs" dxfId="2423" priority="2443" operator="lessThan">
      <formula>0</formula>
    </cfRule>
    <cfRule type="cellIs" dxfId="2422" priority="2451" operator="lessThan">
      <formula>0</formula>
    </cfRule>
    <cfRule type="cellIs" dxfId="2421" priority="2449" operator="lessThan">
      <formula>0</formula>
    </cfRule>
    <cfRule type="cellIs" dxfId="2420" priority="2446" operator="lessThan">
      <formula>0</formula>
    </cfRule>
    <cfRule type="cellIs" dxfId="2419" priority="2445" operator="lessThan">
      <formula>0</formula>
    </cfRule>
    <cfRule type="cellIs" dxfId="2418" priority="2450" operator="lessThan">
      <formula>0</formula>
    </cfRule>
    <cfRule type="cellIs" dxfId="2417" priority="2444" operator="lessThan">
      <formula>0</formula>
    </cfRule>
  </conditionalFormatting>
  <conditionalFormatting sqref="G312">
    <cfRule type="cellIs" dxfId="2416" priority="2414" operator="lessThan">
      <formula>0</formula>
    </cfRule>
    <cfRule type="cellIs" dxfId="2415" priority="2413" operator="lessThan">
      <formula>0</formula>
    </cfRule>
    <cfRule type="cellIs" dxfId="2414" priority="2410" operator="lessThan">
      <formula>0</formula>
    </cfRule>
    <cfRule type="cellIs" dxfId="2413" priority="2409" operator="lessThan">
      <formula>0</formula>
    </cfRule>
    <cfRule type="cellIs" dxfId="2412" priority="2408" operator="lessThan">
      <formula>0</formula>
    </cfRule>
    <cfRule type="cellIs" dxfId="2411" priority="2407" operator="lessThan">
      <formula>0</formula>
    </cfRule>
    <cfRule type="cellIs" dxfId="2410" priority="2404" operator="lessThan">
      <formula>0</formula>
    </cfRule>
    <cfRule type="cellIs" dxfId="2409" priority="2415" operator="lessThan">
      <formula>0</formula>
    </cfRule>
  </conditionalFormatting>
  <conditionalFormatting sqref="G320:G324 G324:I324">
    <cfRule type="cellIs" dxfId="2408" priority="2363" operator="greaterThan">
      <formula>0</formula>
    </cfRule>
    <cfRule type="cellIs" dxfId="2407" priority="2364" operator="greaterThan">
      <formula>0</formula>
    </cfRule>
    <cfRule type="cellIs" dxfId="2406" priority="2365" operator="lessThan">
      <formula>0</formula>
    </cfRule>
    <cfRule type="cellIs" dxfId="2405" priority="2366" operator="lessThan">
      <formula>0</formula>
    </cfRule>
    <cfRule type="cellIs" dxfId="2404" priority="2367" operator="lessThan">
      <formula>0</formula>
    </cfRule>
    <cfRule type="cellIs" dxfId="2403" priority="2368" operator="lessThan">
      <formula>0</formula>
    </cfRule>
    <cfRule type="cellIs" dxfId="2402" priority="2371" operator="lessThan">
      <formula>0</formula>
    </cfRule>
    <cfRule type="cellIs" dxfId="2401" priority="2372" operator="lessThan">
      <formula>0</formula>
    </cfRule>
    <cfRule type="cellIs" dxfId="2400" priority="2373" operator="lessThan">
      <formula>0</formula>
    </cfRule>
    <cfRule type="cellIs" dxfId="2399" priority="2374" operator="lessThan">
      <formula>0</formula>
    </cfRule>
    <cfRule type="cellIs" dxfId="2398" priority="2377" operator="lessThan">
      <formula>0</formula>
    </cfRule>
    <cfRule type="cellIs" dxfId="2397" priority="2379" operator="lessThan">
      <formula>0</formula>
    </cfRule>
    <cfRule type="cellIs" dxfId="2396" priority="2378" operator="lessThan">
      <formula>0</formula>
    </cfRule>
    <cfRule type="cellIs" dxfId="2395" priority="2362" operator="lessThan">
      <formula>0</formula>
    </cfRule>
  </conditionalFormatting>
  <conditionalFormatting sqref="G328:G331">
    <cfRule type="cellIs" dxfId="2394" priority="2343" operator="lessThan">
      <formula>0</formula>
    </cfRule>
    <cfRule type="cellIs" dxfId="2393" priority="2338" operator="lessThan">
      <formula>0</formula>
    </cfRule>
    <cfRule type="cellIs" dxfId="2392" priority="2341" operator="lessThan">
      <formula>0</formula>
    </cfRule>
    <cfRule type="cellIs" dxfId="2391" priority="2332" operator="lessThan">
      <formula>0</formula>
    </cfRule>
    <cfRule type="cellIs" dxfId="2390" priority="2342" operator="lessThan">
      <formula>0</formula>
    </cfRule>
    <cfRule type="cellIs" dxfId="2389" priority="2337" operator="lessThan">
      <formula>0</formula>
    </cfRule>
    <cfRule type="cellIs" dxfId="2388" priority="2336" operator="lessThan">
      <formula>0</formula>
    </cfRule>
    <cfRule type="cellIs" dxfId="2387" priority="2335" operator="lessThan">
      <formula>0</formula>
    </cfRule>
    <cfRule type="cellIs" dxfId="2386" priority="2331" operator="lessThan">
      <formula>0</formula>
    </cfRule>
    <cfRule type="cellIs" dxfId="2385" priority="2330" operator="lessThan">
      <formula>0</formula>
    </cfRule>
    <cfRule type="cellIs" dxfId="2384" priority="2329" operator="lessThan">
      <formula>0</formula>
    </cfRule>
    <cfRule type="cellIs" dxfId="2383" priority="2328" operator="greaterThan">
      <formula>0</formula>
    </cfRule>
    <cfRule type="cellIs" dxfId="2382" priority="2327" operator="greaterThan">
      <formula>0</formula>
    </cfRule>
    <cfRule type="cellIs" dxfId="2381" priority="2326" operator="lessThan">
      <formula>0</formula>
    </cfRule>
  </conditionalFormatting>
  <conditionalFormatting sqref="G337">
    <cfRule type="cellIs" dxfId="2380" priority="2291" operator="greaterThan">
      <formula>0</formula>
    </cfRule>
    <cfRule type="cellIs" dxfId="2379" priority="2290" operator="lessThan">
      <formula>0</formula>
    </cfRule>
    <cfRule type="cellIs" dxfId="2378" priority="2305" operator="lessThan">
      <formula>0</formula>
    </cfRule>
    <cfRule type="cellIs" dxfId="2377" priority="2302" operator="lessThan">
      <formula>0</formula>
    </cfRule>
    <cfRule type="cellIs" dxfId="2376" priority="2301" operator="lessThan">
      <formula>0</formula>
    </cfRule>
    <cfRule type="cellIs" dxfId="2375" priority="2294" operator="lessThan">
      <formula>0</formula>
    </cfRule>
    <cfRule type="cellIs" dxfId="2374" priority="2300" operator="lessThan">
      <formula>0</formula>
    </cfRule>
    <cfRule type="cellIs" dxfId="2373" priority="2299" operator="lessThan">
      <formula>0</formula>
    </cfRule>
    <cfRule type="cellIs" dxfId="2372" priority="2296" operator="lessThan">
      <formula>0</formula>
    </cfRule>
    <cfRule type="cellIs" dxfId="2371" priority="2295" operator="lessThan">
      <formula>0</formula>
    </cfRule>
    <cfRule type="cellIs" dxfId="2370" priority="2293" operator="lessThan">
      <formula>0</formula>
    </cfRule>
    <cfRule type="cellIs" dxfId="2369" priority="2292" operator="greaterThan">
      <formula>0</formula>
    </cfRule>
    <cfRule type="cellIs" dxfId="2368" priority="2307" operator="lessThan">
      <formula>0</formula>
    </cfRule>
    <cfRule type="cellIs" dxfId="2367" priority="2306" operator="lessThan">
      <formula>0</formula>
    </cfRule>
  </conditionalFormatting>
  <conditionalFormatting sqref="G18:H28">
    <cfRule type="cellIs" dxfId="2366" priority="8843" operator="lessThan">
      <formula>0</formula>
    </cfRule>
  </conditionalFormatting>
  <conditionalFormatting sqref="G32:H37">
    <cfRule type="cellIs" dxfId="2365" priority="448" operator="lessThan">
      <formula>0</formula>
    </cfRule>
  </conditionalFormatting>
  <conditionalFormatting sqref="G40:H41">
    <cfRule type="cellIs" dxfId="2364" priority="421" operator="lessThan">
      <formula>0</formula>
    </cfRule>
  </conditionalFormatting>
  <conditionalFormatting sqref="G44:H44">
    <cfRule type="cellIs" dxfId="2363" priority="394" operator="lessThan">
      <formula>0</formula>
    </cfRule>
  </conditionalFormatting>
  <conditionalFormatting sqref="G49:H52">
    <cfRule type="cellIs" dxfId="2362" priority="367" operator="lessThan">
      <formula>0</formula>
    </cfRule>
  </conditionalFormatting>
  <conditionalFormatting sqref="G56:H64">
    <cfRule type="cellIs" dxfId="2361" priority="340" operator="lessThan">
      <formula>0</formula>
    </cfRule>
  </conditionalFormatting>
  <conditionalFormatting sqref="G68:H68">
    <cfRule type="cellIs" dxfId="2360" priority="313" operator="lessThan">
      <formula>0</formula>
    </cfRule>
  </conditionalFormatting>
  <conditionalFormatting sqref="G71:H71">
    <cfRule type="cellIs" dxfId="2359" priority="28" operator="lessThan">
      <formula>0</formula>
    </cfRule>
  </conditionalFormatting>
  <conditionalFormatting sqref="G72:H72">
    <cfRule type="cellIs" dxfId="2358" priority="286" operator="lessThan">
      <formula>0</formula>
    </cfRule>
  </conditionalFormatting>
  <conditionalFormatting sqref="G74:H74">
    <cfRule type="cellIs" dxfId="2357" priority="14" operator="lessThan">
      <formula>0</formula>
    </cfRule>
  </conditionalFormatting>
  <conditionalFormatting sqref="G84:H84">
    <cfRule type="cellIs" dxfId="2356" priority="3355" operator="lessThan">
      <formula>0</formula>
    </cfRule>
    <cfRule type="cellIs" dxfId="2355" priority="3354" operator="lessThan">
      <formula>0</formula>
    </cfRule>
    <cfRule type="cellIs" dxfId="2354" priority="3353" operator="lessThan">
      <formula>0</formula>
    </cfRule>
    <cfRule type="cellIs" dxfId="2353" priority="3350" operator="lessThan">
      <formula>0</formula>
    </cfRule>
    <cfRule type="cellIs" dxfId="2352" priority="3349" operator="lessThan">
      <formula>0</formula>
    </cfRule>
    <cfRule type="cellIs" dxfId="2351" priority="3348" operator="lessThan">
      <formula>0</formula>
    </cfRule>
    <cfRule type="cellIs" dxfId="2350" priority="3347" operator="lessThan">
      <formula>0</formula>
    </cfRule>
    <cfRule type="cellIs" dxfId="2349" priority="3346" operator="greaterThan">
      <formula>0</formula>
    </cfRule>
    <cfRule type="cellIs" dxfId="2348" priority="3345" operator="greaterThan">
      <formula>0</formula>
    </cfRule>
    <cfRule type="cellIs" dxfId="2347" priority="3344" operator="lessThan">
      <formula>0</formula>
    </cfRule>
  </conditionalFormatting>
  <conditionalFormatting sqref="G88:H88">
    <cfRule type="cellIs" dxfId="2346" priority="3319" operator="lessThan">
      <formula>0</formula>
    </cfRule>
    <cfRule type="cellIs" dxfId="2345" priority="3318" operator="lessThan">
      <formula>0</formula>
    </cfRule>
    <cfRule type="cellIs" dxfId="2344" priority="3314" operator="lessThan">
      <formula>0</formula>
    </cfRule>
    <cfRule type="cellIs" dxfId="2343" priority="3313" operator="lessThan">
      <formula>0</formula>
    </cfRule>
    <cfRule type="cellIs" dxfId="2342" priority="3312" operator="lessThan">
      <formula>0</formula>
    </cfRule>
    <cfRule type="cellIs" dxfId="2341" priority="3311" operator="lessThan">
      <formula>0</formula>
    </cfRule>
    <cfRule type="cellIs" dxfId="2340" priority="3308" operator="lessThan">
      <formula>0</formula>
    </cfRule>
    <cfRule type="cellIs" dxfId="2339" priority="3309" operator="greaterThan">
      <formula>0</formula>
    </cfRule>
    <cfRule type="cellIs" dxfId="2338" priority="3310" operator="greaterThan">
      <formula>0</formula>
    </cfRule>
    <cfRule type="cellIs" dxfId="2337" priority="3317" operator="lessThan">
      <formula>0</formula>
    </cfRule>
  </conditionalFormatting>
  <conditionalFormatting sqref="G96:H99">
    <cfRule type="cellIs" dxfId="2336" priority="259" operator="lessThan">
      <formula>0</formula>
    </cfRule>
  </conditionalFormatting>
  <conditionalFormatting sqref="G103:H105">
    <cfRule type="cellIs" dxfId="2335" priority="232" operator="lessThan">
      <formula>0</formula>
    </cfRule>
  </conditionalFormatting>
  <conditionalFormatting sqref="G106:H106">
    <cfRule type="cellIs" dxfId="2334" priority="29" operator="lessThan">
      <formula>0</formula>
    </cfRule>
  </conditionalFormatting>
  <conditionalFormatting sqref="G107:H107">
    <cfRule type="cellIs" dxfId="2333" priority="205" operator="lessThan">
      <formula>0</formula>
    </cfRule>
  </conditionalFormatting>
  <conditionalFormatting sqref="G111:H112">
    <cfRule type="cellIs" dxfId="2332" priority="178" operator="lessThan">
      <formula>0</formula>
    </cfRule>
  </conditionalFormatting>
  <conditionalFormatting sqref="G122:H134">
    <cfRule type="cellIs" dxfId="2331" priority="151" operator="lessThan">
      <formula>0</formula>
    </cfRule>
  </conditionalFormatting>
  <conditionalFormatting sqref="G142:H142">
    <cfRule type="cellIs" dxfId="2330" priority="2268" operator="lessThan">
      <formula>0</formula>
    </cfRule>
  </conditionalFormatting>
  <conditionalFormatting sqref="G145:H145">
    <cfRule type="cellIs" dxfId="2329" priority="2256" operator="greaterThan">
      <formula>0</formula>
    </cfRule>
    <cfRule type="cellIs" dxfId="2328" priority="2264" operator="lessThan">
      <formula>0</formula>
    </cfRule>
    <cfRule type="cellIs" dxfId="2327" priority="2255" operator="greaterThan">
      <formula>0</formula>
    </cfRule>
    <cfRule type="cellIs" dxfId="2326" priority="2254" operator="lessThan">
      <formula>0</formula>
    </cfRule>
    <cfRule type="cellIs" dxfId="2325" priority="2257" operator="lessThan">
      <formula>0</formula>
    </cfRule>
    <cfRule type="cellIs" dxfId="2324" priority="2265" operator="lessThan">
      <formula>0</formula>
    </cfRule>
    <cfRule type="cellIs" dxfId="2323" priority="2263" operator="lessThan">
      <formula>0</formula>
    </cfRule>
    <cfRule type="cellIs" dxfId="2322" priority="2260" operator="lessThan">
      <formula>0</formula>
    </cfRule>
    <cfRule type="cellIs" dxfId="2321" priority="2259" operator="lessThan">
      <formula>0</formula>
    </cfRule>
    <cfRule type="cellIs" dxfId="2320" priority="2258" operator="lessThan">
      <formula>0</formula>
    </cfRule>
  </conditionalFormatting>
  <conditionalFormatting sqref="G149:H151">
    <cfRule type="cellIs" dxfId="2319" priority="124" operator="lessThan">
      <formula>0</formula>
    </cfRule>
  </conditionalFormatting>
  <conditionalFormatting sqref="G156:H157">
    <cfRule type="cellIs" dxfId="2318" priority="6864" operator="equal">
      <formula>0</formula>
    </cfRule>
    <cfRule type="cellIs" dxfId="2317" priority="6866" operator="lessThan">
      <formula>0</formula>
    </cfRule>
    <cfRule type="cellIs" priority="6867" operator="lessThan">
      <formula>0</formula>
    </cfRule>
    <cfRule type="cellIs" dxfId="2316" priority="6863" operator="lessThan">
      <formula>0</formula>
    </cfRule>
    <cfRule type="cellIs" dxfId="2315" priority="6862" operator="greaterThan">
      <formula>0</formula>
    </cfRule>
    <cfRule type="cellIs" dxfId="2314" priority="6865" operator="greaterThan">
      <formula>0</formula>
    </cfRule>
  </conditionalFormatting>
  <conditionalFormatting sqref="G161:H162">
    <cfRule type="cellIs" dxfId="2313" priority="97" operator="lessThan">
      <formula>0</formula>
    </cfRule>
  </conditionalFormatting>
  <conditionalFormatting sqref="G167:H167">
    <cfRule type="cellIs" priority="6326" operator="lessThan">
      <formula>0</formula>
    </cfRule>
    <cfRule type="cellIs" dxfId="2312" priority="6325" operator="lessThan">
      <formula>0</formula>
    </cfRule>
    <cfRule type="cellIs" dxfId="2311" priority="6324" operator="greaterThan">
      <formula>0</formula>
    </cfRule>
    <cfRule type="cellIs" dxfId="2310" priority="6322" operator="lessThan">
      <formula>0</formula>
    </cfRule>
    <cfRule type="cellIs" dxfId="2309" priority="6321" operator="greaterThan">
      <formula>0</formula>
    </cfRule>
    <cfRule type="cellIs" dxfId="2308" priority="6323" operator="equal">
      <formula>0</formula>
    </cfRule>
  </conditionalFormatting>
  <conditionalFormatting sqref="G169:H169">
    <cfRule type="cellIs" priority="6320" operator="lessThan">
      <formula>0</formula>
    </cfRule>
    <cfRule type="cellIs" dxfId="2307" priority="6318" operator="greaterThan">
      <formula>0</formula>
    </cfRule>
    <cfRule type="cellIs" dxfId="2306" priority="6317" operator="equal">
      <formula>0</formula>
    </cfRule>
    <cfRule type="cellIs" dxfId="2305" priority="6316" operator="lessThan">
      <formula>0</formula>
    </cfRule>
    <cfRule type="cellIs" dxfId="2304" priority="6315" operator="greaterThan">
      <formula>0</formula>
    </cfRule>
    <cfRule type="cellIs" dxfId="2303" priority="6319" operator="lessThan">
      <formula>0</formula>
    </cfRule>
  </conditionalFormatting>
  <conditionalFormatting sqref="G174:H174">
    <cfRule type="cellIs" dxfId="2302" priority="2252" operator="lessThan">
      <formula>0</formula>
    </cfRule>
  </conditionalFormatting>
  <conditionalFormatting sqref="G176:H176">
    <cfRule type="cellIs" dxfId="2301" priority="6304" operator="lessThan">
      <formula>0</formula>
    </cfRule>
    <cfRule type="cellIs" dxfId="2300" priority="6305" operator="equal">
      <formula>0</formula>
    </cfRule>
    <cfRule type="cellIs" dxfId="2299" priority="6306" operator="greaterThan">
      <formula>0</formula>
    </cfRule>
    <cfRule type="cellIs" dxfId="2298" priority="6307" operator="lessThan">
      <formula>0</formula>
    </cfRule>
    <cfRule type="cellIs" dxfId="2297" priority="6303" operator="greaterThan">
      <formula>0</formula>
    </cfRule>
    <cfRule type="cellIs" priority="6308" operator="lessThan">
      <formula>0</formula>
    </cfRule>
  </conditionalFormatting>
  <conditionalFormatting sqref="G178:H178">
    <cfRule type="cellIs" dxfId="2296" priority="2675" operator="greaterThan">
      <formula>0</formula>
    </cfRule>
    <cfRule type="cellIs" dxfId="2295" priority="2674" operator="lessThan">
      <formula>0</formula>
    </cfRule>
    <cfRule type="cellIs" dxfId="2294" priority="2676" operator="greaterThan">
      <formula>0</formula>
    </cfRule>
    <cfRule type="cellIs" dxfId="2293" priority="2677" operator="lessThan">
      <formula>0</formula>
    </cfRule>
    <cfRule type="cellIs" dxfId="2292" priority="2678" operator="lessThan">
      <formula>0</formula>
    </cfRule>
    <cfRule type="cellIs" dxfId="2291" priority="2679" operator="lessThan">
      <formula>0</formula>
    </cfRule>
    <cfRule type="cellIs" dxfId="2290" priority="2680" operator="lessThan">
      <formula>0</formula>
    </cfRule>
    <cfRule type="cellIs" dxfId="2289" priority="2683" operator="lessThan">
      <formula>0</formula>
    </cfRule>
    <cfRule type="cellIs" dxfId="2288" priority="2684" operator="lessThan">
      <formula>0</formula>
    </cfRule>
    <cfRule type="cellIs" dxfId="2287" priority="2685" operator="lessThan">
      <formula>0</formula>
    </cfRule>
  </conditionalFormatting>
  <conditionalFormatting sqref="G182:H184">
    <cfRule type="cellIs" dxfId="2286" priority="70" operator="lessThan">
      <formula>0</formula>
    </cfRule>
  </conditionalFormatting>
  <conditionalFormatting sqref="G188:H190">
    <cfRule type="cellIs" dxfId="2285" priority="43" operator="lessThan">
      <formula>0</formula>
    </cfRule>
  </conditionalFormatting>
  <conditionalFormatting sqref="G196:H196">
    <cfRule type="cellIs" dxfId="2284" priority="2508" operator="greaterThan">
      <formula>0</formula>
    </cfRule>
    <cfRule type="cellIs" dxfId="2283" priority="2511" operator="lessThan">
      <formula>0</formula>
    </cfRule>
    <cfRule type="cellIs" dxfId="2282" priority="2510" operator="lessThan">
      <formula>0</formula>
    </cfRule>
    <cfRule type="cellIs" dxfId="2281" priority="2515" operator="lessThan">
      <formula>0</formula>
    </cfRule>
    <cfRule type="cellIs" dxfId="2280" priority="2509" operator="lessThan">
      <formula>0</formula>
    </cfRule>
    <cfRule type="cellIs" dxfId="2279" priority="2507" operator="greaterThan">
      <formula>0</formula>
    </cfRule>
    <cfRule type="cellIs" dxfId="2278" priority="2516" operator="lessThan">
      <formula>0</formula>
    </cfRule>
    <cfRule type="cellIs" dxfId="2277" priority="2517" operator="lessThan">
      <formula>0</formula>
    </cfRule>
    <cfRule type="cellIs" dxfId="2276" priority="2518" operator="lessThan">
      <formula>0</formula>
    </cfRule>
    <cfRule type="cellIs" dxfId="2275" priority="2521" operator="lessThan">
      <formula>0</formula>
    </cfRule>
    <cfRule type="cellIs" dxfId="2274" priority="2506" operator="lessThan">
      <formula>0</formula>
    </cfRule>
    <cfRule type="cellIs" dxfId="2273" priority="2522" operator="lessThan">
      <formula>0</formula>
    </cfRule>
    <cfRule type="cellIs" dxfId="2272" priority="2523" operator="lessThan">
      <formula>0</formula>
    </cfRule>
    <cfRule type="cellIs" dxfId="2271" priority="2512" operator="lessThan">
      <formula>0</formula>
    </cfRule>
  </conditionalFormatting>
  <conditionalFormatting sqref="G197:H198">
    <cfRule type="cellIs" dxfId="2270" priority="6292" operator="lessThan">
      <formula>0</formula>
    </cfRule>
    <cfRule type="cellIs" dxfId="2269" priority="6291" operator="greaterThan">
      <formula>0</formula>
    </cfRule>
    <cfRule type="cellIs" dxfId="2268" priority="6293" operator="equal">
      <formula>0</formula>
    </cfRule>
    <cfRule type="cellIs" dxfId="2267" priority="6294" operator="greaterThan">
      <formula>0</formula>
    </cfRule>
    <cfRule type="cellIs" dxfId="2266" priority="6295" operator="lessThan">
      <formula>0</formula>
    </cfRule>
    <cfRule type="cellIs" priority="6296" operator="lessThan">
      <formula>0</formula>
    </cfRule>
  </conditionalFormatting>
  <conditionalFormatting sqref="G205:H294">
    <cfRule type="cellIs" dxfId="2265" priority="5919" operator="greaterThan">
      <formula>0</formula>
    </cfRule>
    <cfRule type="cellIs" dxfId="2264" priority="5920" operator="lessThan">
      <formula>0</formula>
    </cfRule>
    <cfRule type="cellIs" dxfId="2263" priority="5921" operator="equal">
      <formula>0</formula>
    </cfRule>
    <cfRule type="cellIs" dxfId="2262" priority="5922" operator="greaterThan">
      <formula>0</formula>
    </cfRule>
    <cfRule type="cellIs" dxfId="2261" priority="5923" operator="lessThan">
      <formula>0</formula>
    </cfRule>
    <cfRule type="cellIs" priority="5924" operator="lessThan">
      <formula>0</formula>
    </cfRule>
  </conditionalFormatting>
  <conditionalFormatting sqref="G29:I29">
    <cfRule type="cellIs" dxfId="2260" priority="4357" operator="lessThan">
      <formula>0</formula>
    </cfRule>
    <cfRule type="cellIs" dxfId="2259" priority="4356" operator="greaterThan">
      <formula>0</formula>
    </cfRule>
    <cfRule type="cellIs" dxfId="2258" priority="4355" operator="greaterThan">
      <formula>0</formula>
    </cfRule>
    <cfRule type="cellIs" dxfId="2257" priority="4354" operator="lessThan">
      <formula>0</formula>
    </cfRule>
    <cfRule type="cellIs" dxfId="2256" priority="4359" operator="lessThan">
      <formula>0</formula>
    </cfRule>
    <cfRule type="cellIs" dxfId="2255" priority="4358" operator="lessThan">
      <formula>0</formula>
    </cfRule>
  </conditionalFormatting>
  <conditionalFormatting sqref="G42:I43 G45:I45">
    <cfRule type="cellIs" dxfId="2254" priority="3799" operator="lessThan">
      <formula>0</formula>
    </cfRule>
    <cfRule type="cellIs" dxfId="2253" priority="3800" operator="lessThan">
      <formula>0</formula>
    </cfRule>
    <cfRule type="cellIs" dxfId="2252" priority="3795" operator="lessThan">
      <formula>0</formula>
    </cfRule>
    <cfRule type="cellIs" dxfId="2251" priority="3796" operator="greaterThan">
      <formula>0</formula>
    </cfRule>
    <cfRule type="cellIs" dxfId="2250" priority="3797" operator="greaterThan">
      <formula>0</formula>
    </cfRule>
    <cfRule type="cellIs" dxfId="2249" priority="3798" operator="lessThan">
      <formula>0</formula>
    </cfRule>
  </conditionalFormatting>
  <conditionalFormatting sqref="G53:I53">
    <cfRule type="cellIs" dxfId="2248" priority="3690" operator="greaterThan">
      <formula>0</formula>
    </cfRule>
    <cfRule type="cellIs" dxfId="2247" priority="3688" operator="lessThan">
      <formula>0</formula>
    </cfRule>
    <cfRule type="cellIs" dxfId="2246" priority="3691" operator="lessThan">
      <formula>0</formula>
    </cfRule>
    <cfRule type="cellIs" dxfId="2245" priority="3692" operator="lessThan">
      <formula>0</formula>
    </cfRule>
    <cfRule type="cellIs" dxfId="2244" priority="3693" operator="lessThan">
      <formula>0</formula>
    </cfRule>
    <cfRule type="cellIs" dxfId="2243" priority="3689" operator="greaterThan">
      <formula>0</formula>
    </cfRule>
  </conditionalFormatting>
  <conditionalFormatting sqref="G65:I65">
    <cfRule type="cellIs" dxfId="2242" priority="3616" operator="lessThan">
      <formula>0</formula>
    </cfRule>
    <cfRule type="cellIs" dxfId="2241" priority="3617" operator="lessThan">
      <formula>0</formula>
    </cfRule>
    <cfRule type="cellIs" dxfId="2240" priority="3615" operator="lessThan">
      <formula>0</formula>
    </cfRule>
    <cfRule type="cellIs" dxfId="2239" priority="3614" operator="greaterThan">
      <formula>0</formula>
    </cfRule>
    <cfRule type="cellIs" dxfId="2238" priority="3613" operator="greaterThan">
      <formula>0</formula>
    </cfRule>
    <cfRule type="cellIs" dxfId="2237" priority="3612" operator="lessThan">
      <formula>0</formula>
    </cfRule>
  </conditionalFormatting>
  <conditionalFormatting sqref="G73:I73 K73:M73 G75:I75 K75:M75">
    <cfRule type="cellIs" dxfId="2236" priority="3519" operator="lessThan">
      <formula>0</formula>
    </cfRule>
    <cfRule type="cellIs" dxfId="2235" priority="3518" operator="lessThan">
      <formula>0</formula>
    </cfRule>
    <cfRule type="cellIs" dxfId="2234" priority="3517" operator="lessThan">
      <formula>0</formula>
    </cfRule>
  </conditionalFormatting>
  <conditionalFormatting sqref="G73:I73 K73:M73">
    <cfRule type="cellIs" dxfId="2233" priority="7967" operator="lessThan">
      <formula>0</formula>
    </cfRule>
    <cfRule type="cellIs" dxfId="2232" priority="3515" operator="greaterThan">
      <formula>0</formula>
    </cfRule>
    <cfRule type="cellIs" dxfId="2231" priority="7968" operator="lessThan">
      <formula>0</formula>
    </cfRule>
    <cfRule type="cellIs" dxfId="2230" priority="7969" operator="lessThan">
      <formula>0</formula>
    </cfRule>
    <cfRule type="cellIs" dxfId="2229" priority="3516" operator="greaterThan">
      <formula>0</formula>
    </cfRule>
  </conditionalFormatting>
  <conditionalFormatting sqref="G75:I75 K75:M75">
    <cfRule type="cellIs" dxfId="2228" priority="3435" operator="lessThan">
      <formula>0</formula>
    </cfRule>
    <cfRule type="cellIs" dxfId="2227" priority="3436" operator="lessThan">
      <formula>0</formula>
    </cfRule>
    <cfRule type="cellIs" dxfId="2226" priority="3437" operator="lessThan">
      <formula>0</formula>
    </cfRule>
  </conditionalFormatting>
  <conditionalFormatting sqref="G75:I75">
    <cfRule type="cellIs" dxfId="2225" priority="3433" operator="greaterThan">
      <formula>0</formula>
    </cfRule>
    <cfRule type="cellIs" dxfId="2224" priority="3434" operator="greaterThan">
      <formula>0</formula>
    </cfRule>
  </conditionalFormatting>
  <conditionalFormatting sqref="G81:I81">
    <cfRule type="cellIs" dxfId="2223" priority="3382" operator="greaterThan">
      <formula>0</formula>
    </cfRule>
    <cfRule type="cellIs" dxfId="2222" priority="3383" operator="lessThan">
      <formula>0</formula>
    </cfRule>
    <cfRule type="cellIs" dxfId="2221" priority="3381" operator="greaterThan">
      <formula>0</formula>
    </cfRule>
    <cfRule type="cellIs" dxfId="2220" priority="3386" operator="lessThan">
      <formula>0</formula>
    </cfRule>
    <cfRule type="cellIs" dxfId="2219" priority="3390" operator="lessThan">
      <formula>0</formula>
    </cfRule>
    <cfRule type="cellIs" dxfId="2218" priority="3391" operator="lessThan">
      <formula>0</formula>
    </cfRule>
    <cfRule type="cellIs" dxfId="2217" priority="3380" operator="lessThan">
      <formula>0</formula>
    </cfRule>
    <cfRule type="cellIs" dxfId="2216" priority="3385" operator="lessThan">
      <formula>0</formula>
    </cfRule>
    <cfRule type="cellIs" dxfId="2215" priority="3389" operator="lessThan">
      <formula>0</formula>
    </cfRule>
    <cfRule type="cellIs" dxfId="2214" priority="3384" operator="lessThan">
      <formula>0</formula>
    </cfRule>
  </conditionalFormatting>
  <conditionalFormatting sqref="G100:I100">
    <cfRule type="cellIs" dxfId="2213" priority="3275" operator="lessThan">
      <formula>0</formula>
    </cfRule>
    <cfRule type="cellIs" dxfId="2212" priority="3273" operator="greaterThan">
      <formula>0</formula>
    </cfRule>
    <cfRule type="cellIs" dxfId="2211" priority="3281" operator="lessThan">
      <formula>0</formula>
    </cfRule>
    <cfRule type="cellIs" dxfId="2210" priority="3282" operator="lessThan">
      <formula>0</formula>
    </cfRule>
    <cfRule type="cellIs" dxfId="2209" priority="3283" operator="lessThan">
      <formula>0</formula>
    </cfRule>
    <cfRule type="cellIs" dxfId="2208" priority="3277" operator="lessThan">
      <formula>0</formula>
    </cfRule>
    <cfRule type="cellIs" dxfId="2207" priority="3274" operator="greaterThan">
      <formula>0</formula>
    </cfRule>
    <cfRule type="cellIs" dxfId="2206" priority="3276" operator="lessThan">
      <formula>0</formula>
    </cfRule>
    <cfRule type="cellIs" dxfId="2205" priority="3278" operator="lessThan">
      <formula>0</formula>
    </cfRule>
    <cfRule type="cellIs" dxfId="2204" priority="3272" operator="lessThan">
      <formula>0</formula>
    </cfRule>
  </conditionalFormatting>
  <conditionalFormatting sqref="G108:I108">
    <cfRule type="cellIs" dxfId="2203" priority="3221" operator="lessThan">
      <formula>0</formula>
    </cfRule>
    <cfRule type="cellIs" dxfId="2202" priority="3217" operator="lessThan">
      <formula>0</formula>
    </cfRule>
    <cfRule type="cellIs" dxfId="2201" priority="3216" operator="lessThan">
      <formula>0</formula>
    </cfRule>
    <cfRule type="cellIs" dxfId="2200" priority="3215" operator="lessThan">
      <formula>0</formula>
    </cfRule>
    <cfRule type="cellIs" dxfId="2199" priority="3218" operator="lessThan">
      <formula>0</formula>
    </cfRule>
    <cfRule type="cellIs" dxfId="2198" priority="3212" operator="lessThan">
      <formula>0</formula>
    </cfRule>
    <cfRule type="cellIs" dxfId="2197" priority="3214" operator="greaterThan">
      <formula>0</formula>
    </cfRule>
    <cfRule type="cellIs" dxfId="2196" priority="3223" operator="lessThan">
      <formula>0</formula>
    </cfRule>
    <cfRule type="cellIs" dxfId="2195" priority="3222" operator="lessThan">
      <formula>0</formula>
    </cfRule>
    <cfRule type="cellIs" dxfId="2194" priority="3213" operator="greaterThan">
      <formula>0</formula>
    </cfRule>
  </conditionalFormatting>
  <conditionalFormatting sqref="G113:I113">
    <cfRule type="cellIs" dxfId="2193" priority="3118" operator="lessThan">
      <formula>0</formula>
    </cfRule>
    <cfRule type="cellIs" dxfId="2192" priority="3117" operator="lessThan">
      <formula>0</formula>
    </cfRule>
    <cfRule type="cellIs" dxfId="2191" priority="3116" operator="lessThan">
      <formula>0</formula>
    </cfRule>
    <cfRule type="cellIs" dxfId="2190" priority="3115" operator="lessThan">
      <formula>0</formula>
    </cfRule>
    <cfRule type="cellIs" dxfId="2189" priority="3113" operator="greaterThan">
      <formula>0</formula>
    </cfRule>
    <cfRule type="cellIs" dxfId="2188" priority="3112" operator="lessThan">
      <formula>0</formula>
    </cfRule>
    <cfRule type="cellIs" dxfId="2187" priority="3114" operator="greaterThan">
      <formula>0</formula>
    </cfRule>
    <cfRule type="cellIs" dxfId="2186" priority="3123" operator="lessThan">
      <formula>0</formula>
    </cfRule>
    <cfRule type="cellIs" dxfId="2185" priority="3122" operator="lessThan">
      <formula>0</formula>
    </cfRule>
    <cfRule type="cellIs" dxfId="2184" priority="3121" operator="lessThan">
      <formula>0</formula>
    </cfRule>
  </conditionalFormatting>
  <conditionalFormatting sqref="G116:I118">
    <cfRule type="cellIs" dxfId="2183" priority="3052" operator="lessThan">
      <formula>0</formula>
    </cfRule>
    <cfRule type="cellIs" dxfId="2182" priority="3053" operator="greaterThan">
      <formula>0</formula>
    </cfRule>
    <cfRule type="cellIs" dxfId="2181" priority="3054" operator="greaterThan">
      <formula>0</formula>
    </cfRule>
    <cfRule type="cellIs" dxfId="2180" priority="3055" operator="lessThan">
      <formula>0</formula>
    </cfRule>
    <cfRule type="cellIs" dxfId="2179" priority="3056" operator="lessThan">
      <formula>0</formula>
    </cfRule>
    <cfRule type="cellIs" dxfId="2178" priority="3057" operator="lessThan">
      <formula>0</formula>
    </cfRule>
    <cfRule type="cellIs" dxfId="2177" priority="3058" operator="lessThan">
      <formula>0</formula>
    </cfRule>
    <cfRule type="cellIs" dxfId="2176" priority="3061" operator="lessThan">
      <formula>0</formula>
    </cfRule>
    <cfRule type="cellIs" dxfId="2175" priority="3062" operator="lessThan">
      <formula>0</formula>
    </cfRule>
    <cfRule type="cellIs" dxfId="2174" priority="3063" operator="lessThan">
      <formula>0</formula>
    </cfRule>
  </conditionalFormatting>
  <conditionalFormatting sqref="G135:I135">
    <cfRule type="cellIs" dxfId="2173" priority="3017" operator="greaterThan">
      <formula>0</formula>
    </cfRule>
    <cfRule type="cellIs" dxfId="2172" priority="3018" operator="greaterThan">
      <formula>0</formula>
    </cfRule>
    <cfRule type="cellIs" dxfId="2171" priority="3019" operator="lessThan">
      <formula>0</formula>
    </cfRule>
    <cfRule type="cellIs" dxfId="2170" priority="3020" operator="lessThan">
      <formula>0</formula>
    </cfRule>
    <cfRule type="cellIs" dxfId="2169" priority="3021" operator="lessThan">
      <formula>0</formula>
    </cfRule>
    <cfRule type="cellIs" dxfId="2168" priority="3022" operator="lessThan">
      <formula>0</formula>
    </cfRule>
    <cfRule type="cellIs" dxfId="2167" priority="3025" operator="lessThan">
      <formula>0</formula>
    </cfRule>
    <cfRule type="cellIs" dxfId="2166" priority="3026" operator="lessThan">
      <formula>0</formula>
    </cfRule>
    <cfRule type="cellIs" dxfId="2165" priority="3027" operator="lessThan">
      <formula>0</formula>
    </cfRule>
    <cfRule type="cellIs" dxfId="2164" priority="3016" operator="lessThan">
      <formula>0</formula>
    </cfRule>
  </conditionalFormatting>
  <conditionalFormatting sqref="G139:I139">
    <cfRule type="cellIs" dxfId="2163" priority="2938" operator="lessThan">
      <formula>0</formula>
    </cfRule>
    <cfRule type="cellIs" dxfId="2162" priority="2934" operator="lessThan">
      <formula>0</formula>
    </cfRule>
    <cfRule type="cellIs" dxfId="2161" priority="2939" operator="lessThan">
      <formula>0</formula>
    </cfRule>
    <cfRule type="cellIs" dxfId="2160" priority="2935" operator="greaterThan">
      <formula>0</formula>
    </cfRule>
    <cfRule type="cellIs" dxfId="2159" priority="2936" operator="greaterThan">
      <formula>0</formula>
    </cfRule>
    <cfRule type="cellIs" dxfId="2158" priority="2937" operator="lessThan">
      <formula>0</formula>
    </cfRule>
    <cfRule type="cellIs" dxfId="2157" priority="2945" operator="lessThan">
      <formula>0</formula>
    </cfRule>
    <cfRule type="cellIs" dxfId="2156" priority="2944" operator="lessThan">
      <formula>0</formula>
    </cfRule>
    <cfRule type="cellIs" dxfId="2155" priority="2943" operator="lessThan">
      <formula>0</formula>
    </cfRule>
    <cfRule type="cellIs" dxfId="2154" priority="2940" operator="lessThan">
      <formula>0</formula>
    </cfRule>
  </conditionalFormatting>
  <conditionalFormatting sqref="G191:I191">
    <cfRule type="cellIs" dxfId="2153" priority="2500" operator="lessThan">
      <formula>0</formula>
    </cfRule>
    <cfRule type="cellIs" dxfId="2152" priority="2493" operator="lessThan">
      <formula>0</formula>
    </cfRule>
    <cfRule type="cellIs" dxfId="2151" priority="2488" operator="lessThan">
      <formula>0</formula>
    </cfRule>
    <cfRule type="cellIs" dxfId="2150" priority="2489" operator="greaterThan">
      <formula>0</formula>
    </cfRule>
    <cfRule type="cellIs" dxfId="2149" priority="2490" operator="greaterThan">
      <formula>0</formula>
    </cfRule>
    <cfRule type="cellIs" dxfId="2148" priority="2491" operator="lessThan">
      <formula>0</formula>
    </cfRule>
    <cfRule type="cellIs" dxfId="2147" priority="2492" operator="lessThan">
      <formula>0</formula>
    </cfRule>
    <cfRule type="cellIs" dxfId="2146" priority="2505" operator="lessThan">
      <formula>0</formula>
    </cfRule>
    <cfRule type="cellIs" dxfId="2145" priority="2504" operator="lessThan">
      <formula>0</formula>
    </cfRule>
    <cfRule type="cellIs" dxfId="2144" priority="2503" operator="lessThan">
      <formula>0</formula>
    </cfRule>
    <cfRule type="cellIs" dxfId="2143" priority="2494" operator="lessThan">
      <formula>0</formula>
    </cfRule>
    <cfRule type="cellIs" dxfId="2142" priority="2497" operator="lessThan">
      <formula>0</formula>
    </cfRule>
    <cfRule type="cellIs" dxfId="2141" priority="2498" operator="lessThan">
      <formula>0</formula>
    </cfRule>
    <cfRule type="cellIs" dxfId="2140" priority="2499" operator="lessThan">
      <formula>0</formula>
    </cfRule>
  </conditionalFormatting>
  <conditionalFormatting sqref="G312:I312">
    <cfRule type="cellIs" dxfId="2139" priority="2392" operator="lessThan">
      <formula>0</formula>
    </cfRule>
    <cfRule type="cellIs" dxfId="2138" priority="2397" operator="lessThan">
      <formula>0</formula>
    </cfRule>
    <cfRule type="cellIs" dxfId="2137" priority="2382" operator="greaterThan">
      <formula>0</formula>
    </cfRule>
    <cfRule type="cellIs" dxfId="2136" priority="2395" operator="lessThan">
      <formula>0</formula>
    </cfRule>
    <cfRule type="cellIs" dxfId="2135" priority="2396" operator="lessThan">
      <formula>0</formula>
    </cfRule>
    <cfRule type="cellIs" dxfId="2134" priority="2381" operator="greaterThan">
      <formula>0</formula>
    </cfRule>
  </conditionalFormatting>
  <conditionalFormatting sqref="G315:I316">
    <cfRule type="cellIs" dxfId="2133" priority="6636" operator="greaterThan">
      <formula>0</formula>
    </cfRule>
    <cfRule type="cellIs" dxfId="2132" priority="6637" operator="lessThan">
      <formula>0</formula>
    </cfRule>
    <cfRule type="cellIs" dxfId="2131" priority="6638" operator="equal">
      <formula>0</formula>
    </cfRule>
    <cfRule type="cellIs" dxfId="2130" priority="6639" operator="greaterThan">
      <formula>0</formula>
    </cfRule>
    <cfRule type="cellIs" dxfId="2129" priority="6640" operator="lessThan">
      <formula>0</formula>
    </cfRule>
    <cfRule type="cellIs" priority="6641" operator="lessThan">
      <formula>0</formula>
    </cfRule>
  </conditionalFormatting>
  <conditionalFormatting sqref="G335:I336">
    <cfRule type="cellIs" dxfId="2128" priority="2310" operator="greaterThan">
      <formula>0</formula>
    </cfRule>
    <cfRule type="cellIs" dxfId="2127" priority="2311" operator="lessThan">
      <formula>0</formula>
    </cfRule>
    <cfRule type="cellIs" dxfId="2126" priority="2313" operator="lessThan">
      <formula>0</formula>
    </cfRule>
    <cfRule type="cellIs" dxfId="2125" priority="2312" operator="lessThan">
      <formula>0</formula>
    </cfRule>
    <cfRule type="cellIs" dxfId="2124" priority="2314" operator="lessThan">
      <formula>0</formula>
    </cfRule>
    <cfRule type="cellIs" dxfId="2123" priority="2317" operator="lessThan">
      <formula>0</formula>
    </cfRule>
    <cfRule type="cellIs" dxfId="2122" priority="2318" operator="lessThan">
      <formula>0</formula>
    </cfRule>
    <cfRule type="cellIs" dxfId="2121" priority="2320" operator="lessThan">
      <formula>0</formula>
    </cfRule>
    <cfRule type="cellIs" dxfId="2120" priority="2323" operator="lessThan">
      <formula>0</formula>
    </cfRule>
    <cfRule type="cellIs" dxfId="2119" priority="2324" operator="lessThan">
      <formula>0</formula>
    </cfRule>
    <cfRule type="cellIs" dxfId="2118" priority="2319" operator="lessThan">
      <formula>0</formula>
    </cfRule>
    <cfRule type="cellIs" dxfId="2117" priority="2308" operator="lessThan">
      <formula>0</formula>
    </cfRule>
    <cfRule type="cellIs" dxfId="2116" priority="2309" operator="greaterThan">
      <formula>0</formula>
    </cfRule>
    <cfRule type="cellIs" dxfId="2115" priority="2325" operator="lessThan">
      <formula>0</formula>
    </cfRule>
  </conditionalFormatting>
  <conditionalFormatting sqref="G338:I338">
    <cfRule type="cellIs" dxfId="2114" priority="7513" operator="lessThan">
      <formula>0</formula>
    </cfRule>
    <cfRule type="cellIs" dxfId="2113" priority="7511" operator="lessThan">
      <formula>0</formula>
    </cfRule>
    <cfRule type="cellIs" dxfId="2112" priority="7509" operator="greaterThan">
      <formula>0</formula>
    </cfRule>
    <cfRule type="cellIs" dxfId="2111" priority="7510" operator="greaterThan">
      <formula>0</formula>
    </cfRule>
    <cfRule type="cellIs" dxfId="2110" priority="7512" operator="lessThan">
      <formula>0</formula>
    </cfRule>
  </conditionalFormatting>
  <conditionalFormatting sqref="H10:H11">
    <cfRule type="cellIs" dxfId="2109" priority="20993" operator="equal">
      <formula>"Check"</formula>
    </cfRule>
    <cfRule type="cellIs" dxfId="2108" priority="20994" operator="equal">
      <formula>"Check Validation"</formula>
    </cfRule>
    <cfRule type="cellIs" dxfId="2107" priority="20999" operator="equal">
      <formula>"Check Validations"</formula>
    </cfRule>
  </conditionalFormatting>
  <conditionalFormatting sqref="H11">
    <cfRule type="containsText" dxfId="2106" priority="20992" operator="containsText" text="Check">
      <formula>NOT(ISERROR(SEARCH("Check",H11)))</formula>
    </cfRule>
  </conditionalFormatting>
  <conditionalFormatting sqref="H18:H28">
    <cfRule type="cellIs" dxfId="2105" priority="8845" operator="greaterThan">
      <formula>0</formula>
    </cfRule>
    <cfRule type="cellIs" dxfId="2104" priority="8844" operator="greaterThan">
      <formula>0</formula>
    </cfRule>
    <cfRule type="cellIs" dxfId="2103" priority="8846" operator="lessThan">
      <formula>0</formula>
    </cfRule>
    <cfRule type="cellIs" dxfId="2102" priority="12370" operator="lessThan">
      <formula>0</formula>
    </cfRule>
    <cfRule type="cellIs" dxfId="2101" priority="8847" operator="lessThan">
      <formula>0</formula>
    </cfRule>
  </conditionalFormatting>
  <conditionalFormatting sqref="H32:H37">
    <cfRule type="cellIs" dxfId="2100" priority="450" operator="greaterThan">
      <formula>0</formula>
    </cfRule>
    <cfRule type="cellIs" dxfId="2099" priority="451" operator="lessThan">
      <formula>0</formula>
    </cfRule>
    <cfRule type="cellIs" dxfId="2098" priority="456" operator="lessThan">
      <formula>0</formula>
    </cfRule>
    <cfRule type="cellIs" dxfId="2097" priority="452" operator="lessThan">
      <formula>0</formula>
    </cfRule>
    <cfRule type="cellIs" dxfId="2096" priority="449" operator="greaterThan">
      <formula>0</formula>
    </cfRule>
  </conditionalFormatting>
  <conditionalFormatting sqref="H40:H41">
    <cfRule type="cellIs" dxfId="2095" priority="424" operator="lessThan">
      <formula>0</formula>
    </cfRule>
    <cfRule type="cellIs" dxfId="2094" priority="423" operator="greaterThan">
      <formula>0</formula>
    </cfRule>
    <cfRule type="cellIs" dxfId="2093" priority="422" operator="greaterThan">
      <formula>0</formula>
    </cfRule>
    <cfRule type="cellIs" dxfId="2092" priority="425" operator="lessThan">
      <formula>0</formula>
    </cfRule>
    <cfRule type="cellIs" dxfId="2091" priority="429" operator="lessThan">
      <formula>0</formula>
    </cfRule>
  </conditionalFormatting>
  <conditionalFormatting sqref="H44">
    <cfRule type="cellIs" dxfId="2090" priority="402" operator="lessThan">
      <formula>0</formula>
    </cfRule>
    <cfRule type="cellIs" dxfId="2089" priority="395" operator="greaterThan">
      <formula>0</formula>
    </cfRule>
    <cfRule type="cellIs" dxfId="2088" priority="398" operator="lessThan">
      <formula>0</formula>
    </cfRule>
    <cfRule type="cellIs" dxfId="2087" priority="397" operator="lessThan">
      <formula>0</formula>
    </cfRule>
    <cfRule type="cellIs" dxfId="2086" priority="396" operator="greaterThan">
      <formula>0</formula>
    </cfRule>
  </conditionalFormatting>
  <conditionalFormatting sqref="H49:H52">
    <cfRule type="cellIs" dxfId="2085" priority="371" operator="lessThan">
      <formula>0</formula>
    </cfRule>
    <cfRule type="cellIs" dxfId="2084" priority="370" operator="lessThan">
      <formula>0</formula>
    </cfRule>
    <cfRule type="cellIs" dxfId="2083" priority="368" operator="greaterThan">
      <formula>0</formula>
    </cfRule>
    <cfRule type="cellIs" dxfId="2082" priority="375" operator="lessThan">
      <formula>0</formula>
    </cfRule>
    <cfRule type="cellIs" dxfId="2081" priority="369" operator="greaterThan">
      <formula>0</formula>
    </cfRule>
  </conditionalFormatting>
  <conditionalFormatting sqref="H56:H64">
    <cfRule type="cellIs" dxfId="2080" priority="343" operator="lessThan">
      <formula>0</formula>
    </cfRule>
    <cfRule type="cellIs" dxfId="2079" priority="342" operator="greaterThan">
      <formula>0</formula>
    </cfRule>
    <cfRule type="cellIs" dxfId="2078" priority="348" operator="lessThan">
      <formula>0</formula>
    </cfRule>
    <cfRule type="cellIs" dxfId="2077" priority="344" operator="lessThan">
      <formula>0</formula>
    </cfRule>
    <cfRule type="cellIs" dxfId="2076" priority="341" operator="greaterThan">
      <formula>0</formula>
    </cfRule>
  </conditionalFormatting>
  <conditionalFormatting sqref="H68">
    <cfRule type="cellIs" dxfId="2075" priority="317" operator="lessThan">
      <formula>0</formula>
    </cfRule>
    <cfRule type="cellIs" dxfId="2074" priority="321" operator="lessThan">
      <formula>0</formula>
    </cfRule>
    <cfRule type="cellIs" dxfId="2073" priority="314" operator="greaterThan">
      <formula>0</formula>
    </cfRule>
    <cfRule type="cellIs" dxfId="2072" priority="315" operator="greaterThan">
      <formula>0</formula>
    </cfRule>
    <cfRule type="cellIs" dxfId="2071" priority="316" operator="lessThan">
      <formula>0</formula>
    </cfRule>
  </conditionalFormatting>
  <conditionalFormatting sqref="H71:H72">
    <cfRule type="cellIs" dxfId="2070" priority="288" operator="greaterThan">
      <formula>0</formula>
    </cfRule>
    <cfRule type="cellIs" dxfId="2069" priority="287" operator="greaterThan">
      <formula>0</formula>
    </cfRule>
    <cfRule type="cellIs" dxfId="2068" priority="289" operator="lessThan">
      <formula>0</formula>
    </cfRule>
    <cfRule type="cellIs" dxfId="2067" priority="290" operator="lessThan">
      <formula>0</formula>
    </cfRule>
    <cfRule type="cellIs" dxfId="2066" priority="294" operator="lessThan">
      <formula>0</formula>
    </cfRule>
  </conditionalFormatting>
  <conditionalFormatting sqref="H74">
    <cfRule type="cellIs" dxfId="2065" priority="17" operator="lessThan">
      <formula>0</formula>
    </cfRule>
    <cfRule type="cellIs" dxfId="2064" priority="15" operator="greaterThan">
      <formula>0</formula>
    </cfRule>
    <cfRule type="cellIs" dxfId="2063" priority="18" operator="lessThan">
      <formula>0</formula>
    </cfRule>
    <cfRule type="cellIs" dxfId="2062" priority="16" operator="greaterThan">
      <formula>0</formula>
    </cfRule>
    <cfRule type="cellIs" dxfId="2061" priority="22" operator="lessThan">
      <formula>0</formula>
    </cfRule>
  </conditionalFormatting>
  <conditionalFormatting sqref="H96:H99">
    <cfRule type="cellIs" dxfId="2060" priority="263" operator="lessThan">
      <formula>0</formula>
    </cfRule>
    <cfRule type="cellIs" dxfId="2059" priority="260" operator="greaterThan">
      <formula>0</formula>
    </cfRule>
    <cfRule type="cellIs" dxfId="2058" priority="261" operator="greaterThan">
      <formula>0</formula>
    </cfRule>
    <cfRule type="cellIs" dxfId="2057" priority="262" operator="lessThan">
      <formula>0</formula>
    </cfRule>
    <cfRule type="cellIs" dxfId="2056" priority="267" operator="lessThan">
      <formula>0</formula>
    </cfRule>
  </conditionalFormatting>
  <conditionalFormatting sqref="H103:H106">
    <cfRule type="cellIs" dxfId="2055" priority="240" operator="lessThan">
      <formula>0</formula>
    </cfRule>
    <cfRule type="cellIs" dxfId="2054" priority="236" operator="lessThan">
      <formula>0</formula>
    </cfRule>
    <cfRule type="cellIs" dxfId="2053" priority="235" operator="lessThan">
      <formula>0</formula>
    </cfRule>
  </conditionalFormatting>
  <conditionalFormatting sqref="H103:H107">
    <cfRule type="cellIs" dxfId="2052" priority="206" operator="greaterThan">
      <formula>0</formula>
    </cfRule>
    <cfRule type="cellIs" dxfId="2051" priority="207" operator="greaterThan">
      <formula>0</formula>
    </cfRule>
  </conditionalFormatting>
  <conditionalFormatting sqref="H107">
    <cfRule type="cellIs" dxfId="2050" priority="213" operator="lessThan">
      <formula>0</formula>
    </cfRule>
    <cfRule type="cellIs" dxfId="2049" priority="209" operator="lessThan">
      <formula>0</formula>
    </cfRule>
    <cfRule type="cellIs" dxfId="2048" priority="208" operator="lessThan">
      <formula>0</formula>
    </cfRule>
  </conditionalFormatting>
  <conditionalFormatting sqref="H111:H112">
    <cfRule type="cellIs" dxfId="2047" priority="186" operator="lessThan">
      <formula>0</formula>
    </cfRule>
    <cfRule type="cellIs" dxfId="2046" priority="182" operator="lessThan">
      <formula>0</formula>
    </cfRule>
    <cfRule type="cellIs" dxfId="2045" priority="181" operator="lessThan">
      <formula>0</formula>
    </cfRule>
    <cfRule type="cellIs" dxfId="2044" priority="180" operator="greaterThan">
      <formula>0</formula>
    </cfRule>
    <cfRule type="cellIs" dxfId="2043" priority="179" operator="greaterThan">
      <formula>0</formula>
    </cfRule>
  </conditionalFormatting>
  <conditionalFormatting sqref="H122:H134">
    <cfRule type="cellIs" dxfId="2042" priority="152" operator="greaterThan">
      <formula>0</formula>
    </cfRule>
    <cfRule type="cellIs" dxfId="2041" priority="159" operator="lessThan">
      <formula>0</formula>
    </cfRule>
    <cfRule type="cellIs" dxfId="2040" priority="155" operator="lessThan">
      <formula>0</formula>
    </cfRule>
    <cfRule type="cellIs" dxfId="2039" priority="154" operator="lessThan">
      <formula>0</formula>
    </cfRule>
    <cfRule type="cellIs" dxfId="2038" priority="153" operator="greaterThan">
      <formula>0</formula>
    </cfRule>
  </conditionalFormatting>
  <conditionalFormatting sqref="H142">
    <cfRule type="cellIs" dxfId="2037" priority="2897" operator="lessThan">
      <formula>0</formula>
    </cfRule>
    <cfRule type="cellIs" dxfId="2036" priority="2896" operator="lessThan">
      <formula>0</formula>
    </cfRule>
    <cfRule type="cellIs" dxfId="2035" priority="2895" operator="lessThan">
      <formula>0</formula>
    </cfRule>
    <cfRule type="cellIs" dxfId="2034" priority="2892" operator="lessThan">
      <formula>0</formula>
    </cfRule>
    <cfRule type="cellIs" dxfId="2033" priority="2891" operator="lessThan">
      <formula>0</formula>
    </cfRule>
    <cfRule type="cellIs" dxfId="2032" priority="2890" operator="lessThan">
      <formula>0</formula>
    </cfRule>
    <cfRule type="cellIs" dxfId="2031" priority="2889" operator="lessThan">
      <formula>0</formula>
    </cfRule>
    <cfRule type="cellIs" dxfId="2030" priority="2888" operator="greaterThan">
      <formula>0</formula>
    </cfRule>
    <cfRule type="cellIs" dxfId="2029" priority="2887" operator="greaterThan">
      <formula>0</formula>
    </cfRule>
  </conditionalFormatting>
  <conditionalFormatting sqref="H149:H151">
    <cfRule type="cellIs" dxfId="2028" priority="128" operator="lessThan">
      <formula>0</formula>
    </cfRule>
    <cfRule type="cellIs" dxfId="2027" priority="132" operator="lessThan">
      <formula>0</formula>
    </cfRule>
    <cfRule type="cellIs" dxfId="2026" priority="125" operator="greaterThan">
      <formula>0</formula>
    </cfRule>
    <cfRule type="cellIs" dxfId="2025" priority="126" operator="greaterThan">
      <formula>0</formula>
    </cfRule>
    <cfRule type="cellIs" dxfId="2024" priority="127" operator="lessThan">
      <formula>0</formula>
    </cfRule>
  </conditionalFormatting>
  <conditionalFormatting sqref="H161:H162">
    <cfRule type="cellIs" dxfId="2023" priority="99" operator="greaterThan">
      <formula>0</formula>
    </cfRule>
    <cfRule type="cellIs" dxfId="2022" priority="100" operator="lessThan">
      <formula>0</formula>
    </cfRule>
    <cfRule type="cellIs" dxfId="2021" priority="98" operator="greaterThan">
      <formula>0</formula>
    </cfRule>
    <cfRule type="cellIs" dxfId="2020" priority="101" operator="lessThan">
      <formula>0</formula>
    </cfRule>
    <cfRule type="cellIs" dxfId="2019" priority="105" operator="lessThan">
      <formula>0</formula>
    </cfRule>
  </conditionalFormatting>
  <conditionalFormatting sqref="H174">
    <cfRule type="cellIs" dxfId="2018" priority="2720" operator="lessThan">
      <formula>0</formula>
    </cfRule>
    <cfRule type="cellIs" dxfId="2017" priority="2717" operator="lessThan">
      <formula>0</formula>
    </cfRule>
    <cfRule type="cellIs" dxfId="2016" priority="2725" operator="lessThan">
      <formula>0</formula>
    </cfRule>
    <cfRule type="cellIs" dxfId="2015" priority="2724" operator="lessThan">
      <formula>0</formula>
    </cfRule>
    <cfRule type="cellIs" dxfId="2014" priority="2723" operator="lessThan">
      <formula>0</formula>
    </cfRule>
    <cfRule type="cellIs" dxfId="2013" priority="2719" operator="lessThan">
      <formula>0</formula>
    </cfRule>
    <cfRule type="cellIs" dxfId="2012" priority="2716" operator="greaterThan">
      <formula>0</formula>
    </cfRule>
    <cfRule type="cellIs" dxfId="2011" priority="2715" operator="greaterThan">
      <formula>0</formula>
    </cfRule>
    <cfRule type="cellIs" dxfId="2010" priority="2718" operator="lessThan">
      <formula>0</formula>
    </cfRule>
  </conditionalFormatting>
  <conditionalFormatting sqref="H182:H184">
    <cfRule type="cellIs" dxfId="2009" priority="72" operator="greaterThan">
      <formula>0</formula>
    </cfRule>
    <cfRule type="cellIs" dxfId="2008" priority="71" operator="greaterThan">
      <formula>0</formula>
    </cfRule>
    <cfRule type="cellIs" dxfId="2007" priority="78" operator="lessThan">
      <formula>0</formula>
    </cfRule>
    <cfRule type="cellIs" dxfId="2006" priority="74" operator="lessThan">
      <formula>0</formula>
    </cfRule>
    <cfRule type="cellIs" dxfId="2005" priority="73" operator="lessThan">
      <formula>0</formula>
    </cfRule>
  </conditionalFormatting>
  <conditionalFormatting sqref="H188:H190">
    <cfRule type="cellIs" dxfId="2004" priority="44" operator="greaterThan">
      <formula>0</formula>
    </cfRule>
    <cfRule type="cellIs" dxfId="2003" priority="46" operator="lessThan">
      <formula>0</formula>
    </cfRule>
    <cfRule type="cellIs" dxfId="2002" priority="47" operator="lessThan">
      <formula>0</formula>
    </cfRule>
    <cfRule type="cellIs" dxfId="2001" priority="51" operator="lessThan">
      <formula>0</formula>
    </cfRule>
    <cfRule type="cellIs" dxfId="2000" priority="45" operator="greaterThan">
      <formula>0</formula>
    </cfRule>
  </conditionalFormatting>
  <conditionalFormatting sqref="H200:I201">
    <cfRule type="cellIs" dxfId="1999" priority="21488" operator="equal">
      <formula>"Check"</formula>
    </cfRule>
    <cfRule type="cellIs" dxfId="1998" priority="21490" operator="equal">
      <formula>"Check Validation"</formula>
    </cfRule>
    <cfRule type="cellIs" dxfId="1997" priority="21491" operator="equal">
      <formula>"Check Validations"</formula>
    </cfRule>
  </conditionalFormatting>
  <conditionalFormatting sqref="H299:I302">
    <cfRule type="cellIs" priority="6653" operator="lessThan">
      <formula>0</formula>
    </cfRule>
    <cfRule type="cellIs" dxfId="1996" priority="6652" operator="lessThan">
      <formula>0</formula>
    </cfRule>
    <cfRule type="cellIs" dxfId="1995" priority="6651" operator="greaterThan">
      <formula>0</formula>
    </cfRule>
    <cfRule type="cellIs" dxfId="1994" priority="6650" operator="equal">
      <formula>0</formula>
    </cfRule>
    <cfRule type="cellIs" dxfId="1993" priority="6649" operator="lessThan">
      <formula>0</formula>
    </cfRule>
    <cfRule type="cellIs" dxfId="1992" priority="6648" operator="greaterThan">
      <formula>0</formula>
    </cfRule>
  </conditionalFormatting>
  <conditionalFormatting sqref="H303:I303">
    <cfRule type="cellIs" dxfId="1991" priority="2456" operator="lessThan">
      <formula>0</formula>
    </cfRule>
    <cfRule type="cellIs" dxfId="1990" priority="2455" operator="lessThan">
      <formula>0</formula>
    </cfRule>
    <cfRule type="cellIs" dxfId="1989" priority="2454" operator="greaterThan">
      <formula>0</formula>
    </cfRule>
    <cfRule type="cellIs" dxfId="1988" priority="2467" operator="lessThan">
      <formula>0</formula>
    </cfRule>
    <cfRule type="cellIs" dxfId="1987" priority="2468" operator="lessThan">
      <formula>0</formula>
    </cfRule>
    <cfRule type="cellIs" dxfId="1986" priority="2452" operator="lessThan">
      <formula>0</formula>
    </cfRule>
    <cfRule type="cellIs" dxfId="1985" priority="2453" operator="greaterThan">
      <formula>0</formula>
    </cfRule>
    <cfRule type="cellIs" dxfId="1984" priority="2469" operator="lessThan">
      <formula>0</formula>
    </cfRule>
    <cfRule type="cellIs" dxfId="1983" priority="2464" operator="lessThan">
      <formula>0</formula>
    </cfRule>
    <cfRule type="cellIs" dxfId="1982" priority="2463" operator="lessThan">
      <formula>0</formula>
    </cfRule>
    <cfRule type="cellIs" dxfId="1981" priority="2462" operator="lessThan">
      <formula>0</formula>
    </cfRule>
    <cfRule type="cellIs" dxfId="1980" priority="2461" operator="lessThan">
      <formula>0</formula>
    </cfRule>
    <cfRule type="cellIs" dxfId="1979" priority="2458" operator="lessThan">
      <formula>0</formula>
    </cfRule>
    <cfRule type="cellIs" dxfId="1978" priority="2457" operator="lessThan">
      <formula>0</formula>
    </cfRule>
  </conditionalFormatting>
  <conditionalFormatting sqref="H308:I309">
    <cfRule type="cellIs" dxfId="1977" priority="6646" operator="lessThan">
      <formula>0</formula>
    </cfRule>
    <cfRule type="cellIs" priority="6647" operator="lessThan">
      <formula>0</formula>
    </cfRule>
    <cfRule type="cellIs" dxfId="1976" priority="6645" operator="greaterThan">
      <formula>0</formula>
    </cfRule>
    <cfRule type="cellIs" dxfId="1975" priority="6642" operator="greaterThan">
      <formula>0</formula>
    </cfRule>
    <cfRule type="cellIs" dxfId="1974" priority="6643" operator="lessThan">
      <formula>0</formula>
    </cfRule>
    <cfRule type="cellIs" dxfId="1973" priority="6644" operator="equal">
      <formula>0</formula>
    </cfRule>
  </conditionalFormatting>
  <conditionalFormatting sqref="H310:I310">
    <cfRule type="cellIs" dxfId="1972" priority="2420" operator="lessThan">
      <formula>0</formula>
    </cfRule>
    <cfRule type="cellIs" dxfId="1971" priority="2421" operator="lessThan">
      <formula>0</formula>
    </cfRule>
    <cfRule type="cellIs" dxfId="1970" priority="2422" operator="lessThan">
      <formula>0</formula>
    </cfRule>
    <cfRule type="cellIs" dxfId="1969" priority="2432" operator="lessThan">
      <formula>0</formula>
    </cfRule>
    <cfRule type="cellIs" dxfId="1968" priority="2419" operator="lessThan">
      <formula>0</formula>
    </cfRule>
    <cfRule type="cellIs" dxfId="1967" priority="2433" operator="lessThan">
      <formula>0</formula>
    </cfRule>
    <cfRule type="cellIs" dxfId="1966" priority="2426" operator="lessThan">
      <formula>0</formula>
    </cfRule>
    <cfRule type="cellIs" dxfId="1965" priority="2427" operator="lessThan">
      <formula>0</formula>
    </cfRule>
    <cfRule type="cellIs" dxfId="1964" priority="2428" operator="lessThan">
      <formula>0</formula>
    </cfRule>
    <cfRule type="cellIs" dxfId="1963" priority="2431" operator="lessThan">
      <formula>0</formula>
    </cfRule>
    <cfRule type="cellIs" dxfId="1962" priority="2417" operator="greaterThan">
      <formula>0</formula>
    </cfRule>
    <cfRule type="cellIs" dxfId="1961" priority="2416" operator="lessThan">
      <formula>0</formula>
    </cfRule>
    <cfRule type="cellIs" dxfId="1960" priority="2418" operator="greaterThan">
      <formula>0</formula>
    </cfRule>
    <cfRule type="cellIs" dxfId="1959" priority="2425" operator="lessThan">
      <formula>0</formula>
    </cfRule>
  </conditionalFormatting>
  <conditionalFormatting sqref="H312:I312">
    <cfRule type="cellIs" dxfId="1958" priority="2380" operator="lessThan">
      <formula>0</formula>
    </cfRule>
    <cfRule type="cellIs" dxfId="1957" priority="2385" operator="lessThan">
      <formula>0</formula>
    </cfRule>
    <cfRule type="cellIs" dxfId="1956" priority="2389" operator="lessThan">
      <formula>0</formula>
    </cfRule>
    <cfRule type="cellIs" dxfId="1955" priority="2391" operator="lessThan">
      <formula>0</formula>
    </cfRule>
    <cfRule type="cellIs" dxfId="1954" priority="2384" operator="lessThan">
      <formula>0</formula>
    </cfRule>
    <cfRule type="cellIs" dxfId="1953" priority="2383" operator="lessThan">
      <formula>0</formula>
    </cfRule>
    <cfRule type="cellIs" dxfId="1952" priority="2390" operator="lessThan">
      <formula>0</formula>
    </cfRule>
    <cfRule type="cellIs" dxfId="1951" priority="2386" operator="lessThan">
      <formula>0</formula>
    </cfRule>
  </conditionalFormatting>
  <conditionalFormatting sqref="H320:I320">
    <cfRule type="cellIs" dxfId="1950" priority="2347" operator="lessThan">
      <formula>0</formula>
    </cfRule>
    <cfRule type="cellIs" dxfId="1949" priority="2348" operator="lessThan">
      <formula>0</formula>
    </cfRule>
    <cfRule type="cellIs" dxfId="1948" priority="2349" operator="lessThan">
      <formula>0</formula>
    </cfRule>
    <cfRule type="cellIs" dxfId="1947" priority="2350" operator="lessThan">
      <formula>0</formula>
    </cfRule>
    <cfRule type="cellIs" dxfId="1946" priority="2353" operator="lessThan">
      <formula>0</formula>
    </cfRule>
    <cfRule type="cellIs" dxfId="1945" priority="2354" operator="lessThan">
      <formula>0</formula>
    </cfRule>
    <cfRule type="cellIs" dxfId="1944" priority="2355" operator="lessThan">
      <formula>0</formula>
    </cfRule>
    <cfRule type="cellIs" dxfId="1943" priority="2356" operator="lessThan">
      <formula>0</formula>
    </cfRule>
    <cfRule type="cellIs" dxfId="1942" priority="2359" operator="lessThan">
      <formula>0</formula>
    </cfRule>
    <cfRule type="cellIs" dxfId="1941" priority="2360" operator="lessThan">
      <formula>0</formula>
    </cfRule>
    <cfRule type="cellIs" dxfId="1940" priority="2346" operator="greaterThan">
      <formula>0</formula>
    </cfRule>
    <cfRule type="cellIs" dxfId="1939" priority="2361" operator="lessThan">
      <formula>0</formula>
    </cfRule>
    <cfRule type="cellIs" dxfId="1938" priority="2345" operator="greaterThan">
      <formula>0</formula>
    </cfRule>
    <cfRule type="cellIs" dxfId="1937" priority="2344" operator="lessThan">
      <formula>0</formula>
    </cfRule>
  </conditionalFormatting>
  <conditionalFormatting sqref="H321:I323">
    <cfRule type="cellIs" dxfId="1936" priority="6631" operator="lessThan">
      <formula>0</formula>
    </cfRule>
    <cfRule type="cellIs" dxfId="1935" priority="6630" operator="greaterThan">
      <formula>0</formula>
    </cfRule>
    <cfRule type="cellIs" priority="6635" operator="lessThan">
      <formula>0</formula>
    </cfRule>
    <cfRule type="cellIs" dxfId="1934" priority="6633" operator="greaterThan">
      <formula>0</formula>
    </cfRule>
    <cfRule type="cellIs" dxfId="1933" priority="6632" operator="equal">
      <formula>0</formula>
    </cfRule>
  </conditionalFormatting>
  <conditionalFormatting sqref="H321:I324">
    <cfRule type="cellIs" dxfId="1932" priority="6634" operator="lessThan">
      <formula>0</formula>
    </cfRule>
  </conditionalFormatting>
  <conditionalFormatting sqref="H324:I324">
    <cfRule type="cellIs" dxfId="1931" priority="7632" operator="lessThan">
      <formula>0</formula>
    </cfRule>
    <cfRule type="cellIs" dxfId="1930" priority="7631" operator="lessThan">
      <formula>0</formula>
    </cfRule>
    <cfRule type="cellIs" dxfId="1929" priority="7633" operator="lessThan">
      <formula>0</formula>
    </cfRule>
  </conditionalFormatting>
  <conditionalFormatting sqref="H328:I331">
    <cfRule type="cellIs" dxfId="1928" priority="6628" operator="lessThan">
      <formula>0</formula>
    </cfRule>
    <cfRule type="cellIs" priority="6629" operator="lessThan">
      <formula>0</formula>
    </cfRule>
    <cfRule type="cellIs" dxfId="1927" priority="6625" operator="lessThan">
      <formula>0</formula>
    </cfRule>
    <cfRule type="cellIs" dxfId="1926" priority="6624" operator="greaterThan">
      <formula>0</formula>
    </cfRule>
    <cfRule type="cellIs" dxfId="1925" priority="6626" operator="equal">
      <formula>0</formula>
    </cfRule>
    <cfRule type="cellIs" dxfId="1924" priority="6627" operator="greaterThan">
      <formula>0</formula>
    </cfRule>
  </conditionalFormatting>
  <conditionalFormatting sqref="H337:I337 G338:I338">
    <cfRule type="cellIs" dxfId="1923" priority="6622" operator="lessThan">
      <formula>0</formula>
    </cfRule>
  </conditionalFormatting>
  <conditionalFormatting sqref="H337:I337">
    <cfRule type="cellIs" priority="6623" operator="lessThan">
      <formula>0</formula>
    </cfRule>
    <cfRule type="cellIs" dxfId="1922" priority="6620" operator="equal">
      <formula>0</formula>
    </cfRule>
    <cfRule type="cellIs" dxfId="1921" priority="6621" operator="greaterThan">
      <formula>0</formula>
    </cfRule>
    <cfRule type="cellIs" dxfId="1920" priority="6618" operator="greaterThan">
      <formula>0</formula>
    </cfRule>
    <cfRule type="cellIs" dxfId="1919" priority="6619" operator="lessThan">
      <formula>0</formula>
    </cfRule>
  </conditionalFormatting>
  <conditionalFormatting sqref="H202:J202">
    <cfRule type="cellIs" dxfId="1918" priority="20019" operator="equal">
      <formula>"Check Validation"</formula>
    </cfRule>
    <cfRule type="cellIs" dxfId="1917" priority="20020" operator="equal">
      <formula>"Check Validations"</formula>
    </cfRule>
  </conditionalFormatting>
  <conditionalFormatting sqref="I11">
    <cfRule type="cellIs" dxfId="1916" priority="7348" operator="lessThan">
      <formula>0</formula>
    </cfRule>
    <cfRule type="cellIs" dxfId="1915" priority="7347" operator="greaterThan">
      <formula>0</formula>
    </cfRule>
    <cfRule type="cellIs" dxfId="1914" priority="7344" operator="greaterThan">
      <formula>0</formula>
    </cfRule>
    <cfRule type="cellIs" dxfId="1913" priority="7346" operator="equal">
      <formula>0</formula>
    </cfRule>
    <cfRule type="cellIs" dxfId="1912" priority="7345" operator="lessThan">
      <formula>0</formula>
    </cfRule>
    <cfRule type="cellIs" priority="7349" operator="lessThan">
      <formula>0</formula>
    </cfRule>
  </conditionalFormatting>
  <conditionalFormatting sqref="I18:I28">
    <cfRule type="cellIs" dxfId="1911" priority="4169" operator="lessThan">
      <formula>0</formula>
    </cfRule>
    <cfRule type="cellIs" dxfId="1910" priority="4171" operator="equal">
      <formula>0</formula>
    </cfRule>
    <cfRule type="cellIs" dxfId="1909" priority="4170" operator="lessThan">
      <formula>0</formula>
    </cfRule>
    <cfRule type="cellIs" priority="4173" operator="lessThan">
      <formula>0</formula>
    </cfRule>
    <cfRule type="cellIs" dxfId="1908" priority="4169" operator="greaterThan">
      <formula>0</formula>
    </cfRule>
    <cfRule type="cellIs" dxfId="1907" priority="4172" operator="greaterThan">
      <formula>0</formula>
    </cfRule>
  </conditionalFormatting>
  <conditionalFormatting sqref="I32:I37">
    <cfRule type="cellIs" dxfId="1906" priority="435" operator="lessThan">
      <formula>0</formula>
    </cfRule>
    <cfRule type="cellIs" dxfId="1905" priority="436" operator="lessThan">
      <formula>0</formula>
    </cfRule>
    <cfRule type="cellIs" dxfId="1904" priority="437" operator="equal">
      <formula>0</formula>
    </cfRule>
    <cfRule type="cellIs" dxfId="1903" priority="438" operator="greaterThan">
      <formula>0</formula>
    </cfRule>
    <cfRule type="cellIs" priority="439" operator="lessThan">
      <formula>0</formula>
    </cfRule>
  </conditionalFormatting>
  <conditionalFormatting sqref="I40:I41">
    <cfRule type="cellIs" dxfId="1902" priority="411" operator="greaterThan">
      <formula>0</formula>
    </cfRule>
    <cfRule type="cellIs" priority="412" operator="lessThan">
      <formula>0</formula>
    </cfRule>
    <cfRule type="cellIs" dxfId="1901" priority="409" operator="lessThan">
      <formula>0</formula>
    </cfRule>
    <cfRule type="cellIs" dxfId="1900" priority="408" operator="lessThan">
      <formula>0</formula>
    </cfRule>
    <cfRule type="cellIs" dxfId="1899" priority="410" operator="equal">
      <formula>0</formula>
    </cfRule>
  </conditionalFormatting>
  <conditionalFormatting sqref="I42:I43">
    <cfRule type="cellIs" dxfId="1898" priority="5940" operator="lessThan">
      <formula>0</formula>
    </cfRule>
    <cfRule type="cellIs" dxfId="1897" priority="5937" operator="lessThan">
      <formula>0</formula>
    </cfRule>
    <cfRule type="cellIs" dxfId="1896" priority="5941" operator="lessThan">
      <formula>0</formula>
    </cfRule>
    <cfRule type="cellIs" dxfId="1895" priority="5942" operator="lessThan">
      <formula>0</formula>
    </cfRule>
  </conditionalFormatting>
  <conditionalFormatting sqref="I44">
    <cfRule type="cellIs" dxfId="1894" priority="381" operator="lessThan">
      <formula>0</formula>
    </cfRule>
    <cfRule type="cellIs" dxfId="1893" priority="382" operator="lessThan">
      <formula>0</formula>
    </cfRule>
    <cfRule type="cellIs" dxfId="1892" priority="384" operator="greaterThan">
      <formula>0</formula>
    </cfRule>
    <cfRule type="cellIs" priority="385" operator="lessThan">
      <formula>0</formula>
    </cfRule>
    <cfRule type="cellIs" dxfId="1891" priority="383" operator="equal">
      <formula>0</formula>
    </cfRule>
  </conditionalFormatting>
  <conditionalFormatting sqref="I45">
    <cfRule type="cellIs" dxfId="1890" priority="6241" operator="lessThan">
      <formula>0</formula>
    </cfRule>
    <cfRule type="cellIs" dxfId="1889" priority="6528" operator="lessThan">
      <formula>0</formula>
    </cfRule>
    <cfRule type="cellIs" dxfId="1888" priority="6529" operator="lessThan">
      <formula>0</formula>
    </cfRule>
    <cfRule type="cellIs" dxfId="1887" priority="6530" operator="lessThan">
      <formula>0</formula>
    </cfRule>
  </conditionalFormatting>
  <conditionalFormatting sqref="I49:I52">
    <cfRule type="cellIs" dxfId="1886" priority="357" operator="greaterThan">
      <formula>0</formula>
    </cfRule>
    <cfRule type="cellIs" dxfId="1885" priority="355" operator="lessThan">
      <formula>0</formula>
    </cfRule>
    <cfRule type="cellIs" priority="358" operator="lessThan">
      <formula>0</formula>
    </cfRule>
    <cfRule type="cellIs" dxfId="1884" priority="354" operator="lessThan">
      <formula>0</formula>
    </cfRule>
    <cfRule type="cellIs" dxfId="1883" priority="356" operator="equal">
      <formula>0</formula>
    </cfRule>
  </conditionalFormatting>
  <conditionalFormatting sqref="I56:I64">
    <cfRule type="cellIs" dxfId="1882" priority="330" operator="greaterThan">
      <formula>0</formula>
    </cfRule>
    <cfRule type="cellIs" dxfId="1881" priority="329" operator="equal">
      <formula>0</formula>
    </cfRule>
    <cfRule type="cellIs" dxfId="1880" priority="327" operator="lessThan">
      <formula>0</formula>
    </cfRule>
    <cfRule type="cellIs" priority="331" operator="lessThan">
      <formula>0</formula>
    </cfRule>
    <cfRule type="cellIs" dxfId="1879" priority="328" operator="lessThan">
      <formula>0</formula>
    </cfRule>
  </conditionalFormatting>
  <conditionalFormatting sqref="I68">
    <cfRule type="cellIs" dxfId="1878" priority="300" operator="lessThan">
      <formula>0</formula>
    </cfRule>
    <cfRule type="cellIs" dxfId="1877" priority="303" operator="greaterThan">
      <formula>0</formula>
    </cfRule>
    <cfRule type="cellIs" dxfId="1876" priority="302" operator="equal">
      <formula>0</formula>
    </cfRule>
    <cfRule type="cellIs" priority="304" operator="lessThan">
      <formula>0</formula>
    </cfRule>
    <cfRule type="cellIs" dxfId="1875" priority="301" operator="lessThan">
      <formula>0</formula>
    </cfRule>
  </conditionalFormatting>
  <conditionalFormatting sqref="I71:I72">
    <cfRule type="cellIs" priority="277" operator="lessThan">
      <formula>0</formula>
    </cfRule>
    <cfRule type="cellIs" dxfId="1874" priority="276" operator="greaterThan">
      <formula>0</formula>
    </cfRule>
    <cfRule type="cellIs" dxfId="1873" priority="275" operator="equal">
      <formula>0</formula>
    </cfRule>
    <cfRule type="cellIs" dxfId="1872" priority="273" operator="lessThan">
      <formula>0</formula>
    </cfRule>
    <cfRule type="cellIs" dxfId="1871" priority="274" operator="lessThan">
      <formula>0</formula>
    </cfRule>
  </conditionalFormatting>
  <conditionalFormatting sqref="I74">
    <cfRule type="cellIs" dxfId="1870" priority="7" operator="greaterThan">
      <formula>0</formula>
    </cfRule>
    <cfRule type="cellIs" dxfId="1869" priority="1" operator="lessThan">
      <formula>0</formula>
    </cfRule>
    <cfRule type="cellIs" priority="5" operator="lessThan">
      <formula>0</formula>
    </cfRule>
    <cfRule type="cellIs" dxfId="1868" priority="2" operator="lessThan">
      <formula>0</formula>
    </cfRule>
    <cfRule type="cellIs" dxfId="1867" priority="3" operator="equal">
      <formula>0</formula>
    </cfRule>
    <cfRule type="cellIs" dxfId="1866" priority="4" operator="greaterThan">
      <formula>0</formula>
    </cfRule>
  </conditionalFormatting>
  <conditionalFormatting sqref="I96:I99">
    <cfRule type="cellIs" dxfId="1865" priority="248" operator="equal">
      <formula>0</formula>
    </cfRule>
    <cfRule type="cellIs" dxfId="1864" priority="247" operator="lessThan">
      <formula>0</formula>
    </cfRule>
    <cfRule type="cellIs" priority="250" operator="lessThan">
      <formula>0</formula>
    </cfRule>
    <cfRule type="cellIs" dxfId="1863" priority="252" operator="greaterThan">
      <formula>0</formula>
    </cfRule>
    <cfRule type="cellIs" dxfId="1862" priority="249" operator="greaterThan">
      <formula>0</formula>
    </cfRule>
    <cfRule type="cellIs" dxfId="1861" priority="246" operator="lessThan">
      <formula>0</formula>
    </cfRule>
  </conditionalFormatting>
  <conditionalFormatting sqref="I103:I107">
    <cfRule type="cellIs" priority="196" operator="lessThan">
      <formula>0</formula>
    </cfRule>
    <cfRule type="cellIs" dxfId="1860" priority="194" operator="equal">
      <formula>0</formula>
    </cfRule>
    <cfRule type="cellIs" dxfId="1859" priority="193" operator="lessThan">
      <formula>0</formula>
    </cfRule>
    <cfRule type="cellIs" dxfId="1858" priority="192" operator="lessThan">
      <formula>0</formula>
    </cfRule>
    <cfRule type="cellIs" dxfId="1857" priority="195" operator="greaterThan">
      <formula>0</formula>
    </cfRule>
    <cfRule type="cellIs" dxfId="1856" priority="198" operator="greaterThan">
      <formula>0</formula>
    </cfRule>
  </conditionalFormatting>
  <conditionalFormatting sqref="I111:I112">
    <cfRule type="cellIs" dxfId="1855" priority="171" operator="greaterThan">
      <formula>0</formula>
    </cfRule>
    <cfRule type="cellIs" priority="169" operator="lessThan">
      <formula>0</formula>
    </cfRule>
    <cfRule type="cellIs" dxfId="1854" priority="168" operator="greaterThan">
      <formula>0</formula>
    </cfRule>
    <cfRule type="cellIs" dxfId="1853" priority="167" operator="equal">
      <formula>0</formula>
    </cfRule>
    <cfRule type="cellIs" dxfId="1852" priority="166" operator="lessThan">
      <formula>0</formula>
    </cfRule>
    <cfRule type="cellIs" dxfId="1851" priority="165" operator="lessThan">
      <formula>0</formula>
    </cfRule>
  </conditionalFormatting>
  <conditionalFormatting sqref="I122:I134">
    <cfRule type="cellIs" dxfId="1850" priority="140" operator="equal">
      <formula>0</formula>
    </cfRule>
    <cfRule type="cellIs" dxfId="1849" priority="141" operator="greaterThan">
      <formula>0</formula>
    </cfRule>
    <cfRule type="cellIs" dxfId="1848" priority="138" operator="lessThan">
      <formula>0</formula>
    </cfRule>
    <cfRule type="cellIs" dxfId="1847" priority="144" operator="greaterThan">
      <formula>0</formula>
    </cfRule>
    <cfRule type="cellIs" dxfId="1846" priority="139" operator="lessThan">
      <formula>0</formula>
    </cfRule>
    <cfRule type="cellIs" priority="142" operator="lessThan">
      <formula>0</formula>
    </cfRule>
  </conditionalFormatting>
  <conditionalFormatting sqref="I135 G135">
    <cfRule type="cellIs" dxfId="1845" priority="7799" operator="lessThan">
      <formula>0</formula>
    </cfRule>
  </conditionalFormatting>
  <conditionalFormatting sqref="I135">
    <cfRule type="cellIs" dxfId="1844" priority="5527" operator="lessThan">
      <formula>0</formula>
    </cfRule>
  </conditionalFormatting>
  <conditionalFormatting sqref="I141">
    <cfRule type="cellIs" dxfId="1843" priority="20105" operator="equal">
      <formula>"Check Validations"</formula>
    </cfRule>
    <cfRule type="cellIs" dxfId="1842" priority="20104" operator="equal">
      <formula>"Check Validation"</formula>
    </cfRule>
  </conditionalFormatting>
  <conditionalFormatting sqref="I149:I151">
    <cfRule type="cellIs" dxfId="1841" priority="112" operator="lessThan">
      <formula>0</formula>
    </cfRule>
    <cfRule type="cellIs" dxfId="1840" priority="113" operator="equal">
      <formula>0</formula>
    </cfRule>
    <cfRule type="cellIs" dxfId="1839" priority="114" operator="greaterThan">
      <formula>0</formula>
    </cfRule>
    <cfRule type="cellIs" priority="115" operator="lessThan">
      <formula>0</formula>
    </cfRule>
    <cfRule type="cellIs" dxfId="1838" priority="117" operator="greaterThan">
      <formula>0</formula>
    </cfRule>
    <cfRule type="cellIs" dxfId="1837" priority="111" operator="lessThan">
      <formula>0</formula>
    </cfRule>
  </conditionalFormatting>
  <conditionalFormatting sqref="I161:I162">
    <cfRule type="cellIs" priority="88" operator="lessThan">
      <formula>0</formula>
    </cfRule>
    <cfRule type="cellIs" dxfId="1836" priority="84" operator="lessThan">
      <formula>0</formula>
    </cfRule>
    <cfRule type="cellIs" dxfId="1835" priority="85" operator="lessThan">
      <formula>0</formula>
    </cfRule>
    <cfRule type="cellIs" dxfId="1834" priority="86" operator="equal">
      <formula>0</formula>
    </cfRule>
    <cfRule type="cellIs" dxfId="1833" priority="87" operator="greaterThan">
      <formula>0</formula>
    </cfRule>
    <cfRule type="cellIs" dxfId="1832" priority="90" operator="greaterThan">
      <formula>0</formula>
    </cfRule>
  </conditionalFormatting>
  <conditionalFormatting sqref="I182:I184">
    <cfRule type="cellIs" dxfId="1831" priority="60" operator="greaterThan">
      <formula>0</formula>
    </cfRule>
    <cfRule type="cellIs" dxfId="1830" priority="58" operator="lessThan">
      <formula>0</formula>
    </cfRule>
    <cfRule type="cellIs" dxfId="1829" priority="59" operator="equal">
      <formula>0</formula>
    </cfRule>
    <cfRule type="cellIs" dxfId="1828" priority="63" operator="greaterThan">
      <formula>0</formula>
    </cfRule>
    <cfRule type="cellIs" priority="61" operator="lessThan">
      <formula>0</formula>
    </cfRule>
    <cfRule type="cellIs" dxfId="1827" priority="57" operator="lessThan">
      <formula>0</formula>
    </cfRule>
  </conditionalFormatting>
  <conditionalFormatting sqref="I188:I190">
    <cfRule type="cellIs" dxfId="1826" priority="30" operator="lessThan">
      <formula>0</formula>
    </cfRule>
    <cfRule type="cellIs" dxfId="1825" priority="31" operator="lessThan">
      <formula>0</formula>
    </cfRule>
    <cfRule type="cellIs" dxfId="1824" priority="33" operator="greaterThan">
      <formula>0</formula>
    </cfRule>
    <cfRule type="cellIs" dxfId="1823" priority="36" operator="greaterThan">
      <formula>0</formula>
    </cfRule>
    <cfRule type="cellIs" priority="34" operator="lessThan">
      <formula>0</formula>
    </cfRule>
    <cfRule type="cellIs" dxfId="1822" priority="32" operator="equal">
      <formula>0</formula>
    </cfRule>
  </conditionalFormatting>
  <conditionalFormatting sqref="I83:J84">
    <cfRule type="cellIs" dxfId="1821" priority="20364" operator="equal">
      <formula>"Check Validation"</formula>
    </cfRule>
    <cfRule type="cellIs" dxfId="1820" priority="20365" operator="equal">
      <formula>"Check Validations"</formula>
    </cfRule>
  </conditionalFormatting>
  <conditionalFormatting sqref="I87:J88">
    <cfRule type="cellIs" dxfId="1819" priority="20058" operator="equal">
      <formula>"Check Validation"</formula>
    </cfRule>
    <cfRule type="cellIs" dxfId="1818" priority="20059" operator="equal">
      <formula>"Check Validations"</formula>
    </cfRule>
  </conditionalFormatting>
  <conditionalFormatting sqref="I88:J88">
    <cfRule type="cellIs" dxfId="1817" priority="21124" operator="equal">
      <formula>"Check"</formula>
    </cfRule>
    <cfRule type="containsText" dxfId="1816" priority="21123" operator="containsText" text="Check">
      <formula>NOT(ISERROR(SEARCH("Check",I88)))</formula>
    </cfRule>
  </conditionalFormatting>
  <conditionalFormatting sqref="I144:J144">
    <cfRule type="cellIs" dxfId="1815" priority="20102" operator="equal">
      <formula>"Check Validation"</formula>
    </cfRule>
    <cfRule type="cellIs" dxfId="1814" priority="20103" operator="equal">
      <formula>"Check Validations"</formula>
    </cfRule>
  </conditionalFormatting>
  <conditionalFormatting sqref="I155:J157">
    <cfRule type="cellIs" dxfId="1813" priority="20095" operator="equal">
      <formula>"Check Validations"</formula>
    </cfRule>
    <cfRule type="cellIs" dxfId="1812" priority="20094" operator="equal">
      <formula>"Check Validation"</formula>
    </cfRule>
  </conditionalFormatting>
  <conditionalFormatting sqref="I156:J157">
    <cfRule type="containsText" dxfId="1811" priority="20819" operator="containsText" text="Check">
      <formula>NOT(ISERROR(SEARCH("Check",I156)))</formula>
    </cfRule>
    <cfRule type="cellIs" dxfId="1810" priority="20820" operator="equal">
      <formula>"Check"</formula>
    </cfRule>
  </conditionalFormatting>
  <conditionalFormatting sqref="I166:J167">
    <cfRule type="cellIs" dxfId="1809" priority="20137" operator="equal">
      <formula>"Check Validation"</formula>
    </cfRule>
    <cfRule type="cellIs" dxfId="1808" priority="20138" operator="equal">
      <formula>"Check Validations"</formula>
    </cfRule>
  </conditionalFormatting>
  <conditionalFormatting sqref="I167:J167">
    <cfRule type="containsText" dxfId="1807" priority="20940" operator="containsText" text="Check">
      <formula>NOT(ISERROR(SEARCH("Check",I167)))</formula>
    </cfRule>
    <cfRule type="cellIs" dxfId="1806" priority="20941" operator="equal">
      <formula>"Check"</formula>
    </cfRule>
  </conditionalFormatting>
  <conditionalFormatting sqref="I173:J174">
    <cfRule type="cellIs" dxfId="1805" priority="20131" operator="equal">
      <formula>"Check Validation"</formula>
    </cfRule>
    <cfRule type="cellIs" dxfId="1804" priority="20132" operator="equal">
      <formula>"Check Validations"</formula>
    </cfRule>
  </conditionalFormatting>
  <conditionalFormatting sqref="I174:J174">
    <cfRule type="containsText" dxfId="1803" priority="21015" operator="containsText" text="Check">
      <formula>NOT(ISERROR(SEARCH("Check",I174)))</formula>
    </cfRule>
    <cfRule type="cellIs" dxfId="1802" priority="21016" operator="equal">
      <formula>"Check"</formula>
    </cfRule>
  </conditionalFormatting>
  <conditionalFormatting sqref="I176:J176">
    <cfRule type="containsText" dxfId="1801" priority="20933" operator="containsText" text="Check">
      <formula>NOT(ISERROR(SEARCH("Check",I176)))</formula>
    </cfRule>
    <cfRule type="cellIs" dxfId="1800" priority="20934" operator="equal">
      <formula>"Check"</formula>
    </cfRule>
  </conditionalFormatting>
  <conditionalFormatting sqref="I176:J178">
    <cfRule type="cellIs" dxfId="1799" priority="2687" operator="equal">
      <formula>"Check Validations"</formula>
    </cfRule>
    <cfRule type="cellIs" dxfId="1798" priority="2686" operator="equal">
      <formula>"Check Validation"</formula>
    </cfRule>
  </conditionalFormatting>
  <conditionalFormatting sqref="I178:J178">
    <cfRule type="cellIs" dxfId="1797" priority="2689" operator="equal">
      <formula>"Check"</formula>
    </cfRule>
    <cfRule type="containsText" dxfId="1796" priority="2688" operator="containsText" text="Check">
      <formula>NOT(ISERROR(SEARCH("Check",I178)))</formula>
    </cfRule>
  </conditionalFormatting>
  <conditionalFormatting sqref="I195:J198">
    <cfRule type="cellIs" dxfId="1795" priority="20030" operator="equal">
      <formula>"Check Validation"</formula>
    </cfRule>
    <cfRule type="cellIs" dxfId="1794" priority="20031" operator="equal">
      <formula>"Check Validations"</formula>
    </cfRule>
  </conditionalFormatting>
  <conditionalFormatting sqref="I196:J198">
    <cfRule type="cellIs" dxfId="1793" priority="20907" operator="equal">
      <formula>"Check"</formula>
    </cfRule>
    <cfRule type="containsText" dxfId="1792" priority="20906" operator="containsText" text="Check">
      <formula>NOT(ISERROR(SEARCH("Check",I196)))</formula>
    </cfRule>
  </conditionalFormatting>
  <conditionalFormatting sqref="I204:J294">
    <cfRule type="cellIs" dxfId="1791" priority="11101" operator="equal">
      <formula>"Check Validations"</formula>
    </cfRule>
    <cfRule type="cellIs" dxfId="1790" priority="11095" operator="equal">
      <formula>"Check Validation"</formula>
    </cfRule>
  </conditionalFormatting>
  <conditionalFormatting sqref="I205:J294">
    <cfRule type="containsText" dxfId="1789" priority="11093" operator="containsText" text="Check">
      <formula>NOT(ISERROR(SEARCH("Check",I205)))</formula>
    </cfRule>
    <cfRule type="cellIs" dxfId="1788" priority="11094" operator="equal">
      <formula>"Check"</formula>
    </cfRule>
  </conditionalFormatting>
  <conditionalFormatting sqref="J10:J11">
    <cfRule type="cellIs" dxfId="1787" priority="20368" operator="equal">
      <formula>"Check Validation"</formula>
    </cfRule>
    <cfRule type="cellIs" dxfId="1786" priority="20367" operator="equal">
      <formula>"Check"</formula>
    </cfRule>
    <cfRule type="cellIs" dxfId="1785" priority="20373" operator="equal">
      <formula>"Check Validations"</formula>
    </cfRule>
  </conditionalFormatting>
  <conditionalFormatting sqref="J11">
    <cfRule type="containsText" dxfId="1784" priority="20366" operator="containsText" text="Check">
      <formula>NOT(ISERROR(SEARCH("Check",J11)))</formula>
    </cfRule>
  </conditionalFormatting>
  <conditionalFormatting sqref="J32:J37">
    <cfRule type="cellIs" dxfId="1783" priority="459" operator="equal">
      <formula>"Check"</formula>
    </cfRule>
    <cfRule type="containsText" dxfId="1782" priority="457" operator="containsText" text="Check">
      <formula>NOT(ISERROR(SEARCH("Check",J32)))</formula>
    </cfRule>
    <cfRule type="cellIs" dxfId="1781" priority="458" operator="equal">
      <formula>"Check Validation"</formula>
    </cfRule>
  </conditionalFormatting>
  <conditionalFormatting sqref="J40:J45">
    <cfRule type="cellIs" dxfId="1780" priority="405" operator="equal">
      <formula>"Check Validations"</formula>
    </cfRule>
    <cfRule type="cellIs" dxfId="1779" priority="406" operator="equal">
      <formula>"Check"</formula>
    </cfRule>
    <cfRule type="containsText" dxfId="1778" priority="403" operator="containsText" text="Check">
      <formula>NOT(ISERROR(SEARCH("Check",J40)))</formula>
    </cfRule>
    <cfRule type="cellIs" dxfId="1777" priority="404" operator="equal">
      <formula>"Check Validation"</formula>
    </cfRule>
  </conditionalFormatting>
  <conditionalFormatting sqref="J49:J53">
    <cfRule type="containsText" dxfId="1776" priority="376" operator="containsText" text="Check">
      <formula>NOT(ISERROR(SEARCH("Check",J49)))</formula>
    </cfRule>
    <cfRule type="cellIs" dxfId="1775" priority="377" operator="equal">
      <formula>"Check Validation"</formula>
    </cfRule>
    <cfRule type="cellIs" dxfId="1774" priority="378" operator="equal">
      <formula>"Check Validations"</formula>
    </cfRule>
    <cfRule type="cellIs" dxfId="1773" priority="379" operator="equal">
      <formula>"Check"</formula>
    </cfRule>
  </conditionalFormatting>
  <conditionalFormatting sqref="J56:J66">
    <cfRule type="cellIs" dxfId="1772" priority="351" operator="equal">
      <formula>"Check Validations"</formula>
    </cfRule>
    <cfRule type="cellIs" dxfId="1771" priority="350" operator="equal">
      <formula>"Check Validation"</formula>
    </cfRule>
    <cfRule type="containsText" dxfId="1770" priority="349" operator="containsText" text="Check">
      <formula>NOT(ISERROR(SEARCH("Check",J56)))</formula>
    </cfRule>
    <cfRule type="cellIs" dxfId="1769" priority="352" operator="equal">
      <formula>"Check"</formula>
    </cfRule>
  </conditionalFormatting>
  <conditionalFormatting sqref="J68:J69">
    <cfRule type="cellIs" dxfId="1768" priority="325" operator="equal">
      <formula>"Check"</formula>
    </cfRule>
    <cfRule type="containsText" dxfId="1767" priority="322" operator="containsText" text="Check">
      <formula>NOT(ISERROR(SEARCH("Check",J68)))</formula>
    </cfRule>
    <cfRule type="cellIs" dxfId="1766" priority="323" operator="equal">
      <formula>"Check Validation"</formula>
    </cfRule>
    <cfRule type="cellIs" dxfId="1765" priority="324" operator="equal">
      <formula>"Check Validations"</formula>
    </cfRule>
  </conditionalFormatting>
  <conditionalFormatting sqref="J71:J75">
    <cfRule type="containsText" dxfId="1764" priority="23" operator="containsText" text="Check">
      <formula>NOT(ISERROR(SEARCH("Check",J71)))</formula>
    </cfRule>
    <cfRule type="cellIs" dxfId="1763" priority="26" operator="equal">
      <formula>"Check"</formula>
    </cfRule>
    <cfRule type="cellIs" dxfId="1762" priority="24" operator="equal">
      <formula>"Check Validation"</formula>
    </cfRule>
    <cfRule type="cellIs" dxfId="1761" priority="25" operator="equal">
      <formula>"Check Validations"</formula>
    </cfRule>
  </conditionalFormatting>
  <conditionalFormatting sqref="J81">
    <cfRule type="cellIs" dxfId="1760" priority="7923" operator="equal">
      <formula>"Check Validation"</formula>
    </cfRule>
    <cfRule type="cellIs" dxfId="1759" priority="7924" operator="equal">
      <formula>"Check Validations"</formula>
    </cfRule>
    <cfRule type="cellIs" dxfId="1758" priority="7926" operator="equal">
      <formula>"Check"</formula>
    </cfRule>
    <cfRule type="containsText" dxfId="1757" priority="7922" operator="containsText" text="Check">
      <formula>NOT(ISERROR(SEARCH("Check",J81)))</formula>
    </cfRule>
  </conditionalFormatting>
  <conditionalFormatting sqref="J96:J100">
    <cfRule type="cellIs" dxfId="1756" priority="269" operator="equal">
      <formula>"Check Validation"</formula>
    </cfRule>
    <cfRule type="cellIs" dxfId="1755" priority="270" operator="equal">
      <formula>"Check Validations"</formula>
    </cfRule>
    <cfRule type="cellIs" dxfId="1754" priority="271" operator="equal">
      <formula>"Check"</formula>
    </cfRule>
    <cfRule type="containsText" dxfId="1753" priority="268" operator="containsText" text="Check">
      <formula>NOT(ISERROR(SEARCH("Check",J96)))</formula>
    </cfRule>
  </conditionalFormatting>
  <conditionalFormatting sqref="J103:J108">
    <cfRule type="containsText" dxfId="1752" priority="214" operator="containsText" text="Check">
      <formula>NOT(ISERROR(SEARCH("Check",J103)))</formula>
    </cfRule>
    <cfRule type="cellIs" dxfId="1751" priority="215" operator="equal">
      <formula>"Check Validation"</formula>
    </cfRule>
    <cfRule type="cellIs" dxfId="1750" priority="216" operator="equal">
      <formula>"Check Validations"</formula>
    </cfRule>
    <cfRule type="cellIs" dxfId="1749" priority="217" operator="equal">
      <formula>"Check"</formula>
    </cfRule>
  </conditionalFormatting>
  <conditionalFormatting sqref="J111:J113">
    <cfRule type="cellIs" dxfId="1748" priority="188" operator="equal">
      <formula>"Check Validation"</formula>
    </cfRule>
    <cfRule type="containsText" dxfId="1747" priority="187" operator="containsText" text="Check">
      <formula>NOT(ISERROR(SEARCH("Check",J111)))</formula>
    </cfRule>
    <cfRule type="cellIs" dxfId="1746" priority="189" operator="equal">
      <formula>"Check Validations"</formula>
    </cfRule>
    <cfRule type="cellIs" dxfId="1745" priority="190" operator="equal">
      <formula>"Check"</formula>
    </cfRule>
  </conditionalFormatting>
  <conditionalFormatting sqref="J116:J118">
    <cfRule type="containsText" dxfId="1744" priority="7826" operator="containsText" text="Check">
      <formula>NOT(ISERROR(SEARCH("Check",J116)))</formula>
    </cfRule>
    <cfRule type="cellIs" dxfId="1743" priority="7828" operator="equal">
      <formula>"Check Validations"</formula>
    </cfRule>
    <cfRule type="cellIs" dxfId="1742" priority="7827" operator="equal">
      <formula>"Check Validation"</formula>
    </cfRule>
    <cfRule type="cellIs" dxfId="1741" priority="7830" operator="equal">
      <formula>"Check"</formula>
    </cfRule>
  </conditionalFormatting>
  <conditionalFormatting sqref="J122:J135">
    <cfRule type="cellIs" dxfId="1740" priority="163" operator="equal">
      <formula>"Check"</formula>
    </cfRule>
    <cfRule type="cellIs" dxfId="1739" priority="162" operator="equal">
      <formula>"Check Validations"</formula>
    </cfRule>
    <cfRule type="cellIs" dxfId="1738" priority="161" operator="equal">
      <formula>"Check Validation"</formula>
    </cfRule>
    <cfRule type="containsText" dxfId="1737" priority="160" operator="containsText" text="Check">
      <formula>NOT(ISERROR(SEARCH("Check",J122)))</formula>
    </cfRule>
  </conditionalFormatting>
  <conditionalFormatting sqref="J139">
    <cfRule type="cellIs" dxfId="1736" priority="2955" operator="equal">
      <formula>"Check"</formula>
    </cfRule>
    <cfRule type="cellIs" dxfId="1735" priority="2954" operator="equal">
      <formula>"Check Validations"</formula>
    </cfRule>
    <cfRule type="containsText" dxfId="1734" priority="2952" operator="containsText" text="Check">
      <formula>NOT(ISERROR(SEARCH("Check",J139)))</formula>
    </cfRule>
    <cfRule type="cellIs" dxfId="1733" priority="2953" operator="equal">
      <formula>"Check Validation"</formula>
    </cfRule>
  </conditionalFormatting>
  <conditionalFormatting sqref="J149:J151">
    <cfRule type="cellIs" dxfId="1732" priority="136" operator="equal">
      <formula>"Check"</formula>
    </cfRule>
    <cfRule type="cellIs" dxfId="1731" priority="135" operator="equal">
      <formula>"Check Validations"</formula>
    </cfRule>
    <cfRule type="cellIs" dxfId="1730" priority="134" operator="equal">
      <formula>"Check Validation"</formula>
    </cfRule>
    <cfRule type="containsText" dxfId="1729" priority="133" operator="containsText" text="Check">
      <formula>NOT(ISERROR(SEARCH("Check",J149)))</formula>
    </cfRule>
  </conditionalFormatting>
  <conditionalFormatting sqref="J161:J162">
    <cfRule type="cellIs" dxfId="1728" priority="108" operator="equal">
      <formula>"Check Validations"</formula>
    </cfRule>
    <cfRule type="cellIs" dxfId="1727" priority="107" operator="equal">
      <formula>"Check Validation"</formula>
    </cfRule>
    <cfRule type="containsText" dxfId="1726" priority="106" operator="containsText" text="Check">
      <formula>NOT(ISERROR(SEARCH("Check",J161)))</formula>
    </cfRule>
    <cfRule type="cellIs" dxfId="1725" priority="109" operator="equal">
      <formula>"Check"</formula>
    </cfRule>
  </conditionalFormatting>
  <conditionalFormatting sqref="J182:J184">
    <cfRule type="cellIs" dxfId="1724" priority="80" operator="equal">
      <formula>"Check Validation"</formula>
    </cfRule>
    <cfRule type="containsText" dxfId="1723" priority="79" operator="containsText" text="Check">
      <formula>NOT(ISERROR(SEARCH("Check",J182)))</formula>
    </cfRule>
    <cfRule type="cellIs" dxfId="1722" priority="81" operator="equal">
      <formula>"Check Validations"</formula>
    </cfRule>
    <cfRule type="cellIs" dxfId="1721" priority="82" operator="equal">
      <formula>"Check"</formula>
    </cfRule>
  </conditionalFormatting>
  <conditionalFormatting sqref="J188:J191">
    <cfRule type="cellIs" dxfId="1720" priority="54" operator="equal">
      <formula>"Check Validations"</formula>
    </cfRule>
    <cfRule type="cellIs" dxfId="1719" priority="55" operator="equal">
      <formula>"Check"</formula>
    </cfRule>
    <cfRule type="cellIs" dxfId="1718" priority="53" operator="equal">
      <formula>"Check Validation"</formula>
    </cfRule>
    <cfRule type="containsText" dxfId="1717" priority="52" operator="containsText" text="Check">
      <formula>NOT(ISERROR(SEARCH("Check",J188)))</formula>
    </cfRule>
  </conditionalFormatting>
  <conditionalFormatting sqref="K18:K28">
    <cfRule type="cellIs" dxfId="1716" priority="5933" operator="equal">
      <formula>0</formula>
    </cfRule>
    <cfRule type="cellIs" dxfId="1715" priority="5932" operator="lessThan">
      <formula>0</formula>
    </cfRule>
    <cfRule type="cellIs" dxfId="1714" priority="5931" operator="greaterThan">
      <formula>0</formula>
    </cfRule>
    <cfRule type="cellIs" dxfId="1713" priority="5934" operator="greaterThan">
      <formula>0</formula>
    </cfRule>
    <cfRule type="cellIs" dxfId="1712" priority="5935" operator="lessThan">
      <formula>0</formula>
    </cfRule>
    <cfRule type="cellIs" priority="5936" operator="lessThan">
      <formula>0</formula>
    </cfRule>
  </conditionalFormatting>
  <conditionalFormatting sqref="K32:K37">
    <cfRule type="cellIs" dxfId="1711" priority="440" operator="greaterThan">
      <formula>0</formula>
    </cfRule>
    <cfRule type="cellIs" priority="445" operator="lessThan">
      <formula>0</formula>
    </cfRule>
    <cfRule type="cellIs" dxfId="1710" priority="443" operator="greaterThan">
      <formula>0</formula>
    </cfRule>
    <cfRule type="cellIs" dxfId="1709" priority="442" operator="equal">
      <formula>0</formula>
    </cfRule>
    <cfRule type="cellIs" dxfId="1708" priority="441" operator="lessThan">
      <formula>0</formula>
    </cfRule>
  </conditionalFormatting>
  <conditionalFormatting sqref="K40:K41">
    <cfRule type="cellIs" dxfId="1707" priority="413" operator="greaterThan">
      <formula>0</formula>
    </cfRule>
    <cfRule type="cellIs" dxfId="1706" priority="416" operator="greaterThan">
      <formula>0</formula>
    </cfRule>
    <cfRule type="cellIs" priority="418" operator="lessThan">
      <formula>0</formula>
    </cfRule>
    <cfRule type="cellIs" dxfId="1705" priority="417" operator="lessThan">
      <formula>0</formula>
    </cfRule>
    <cfRule type="cellIs" dxfId="1704" priority="415" operator="equal">
      <formula>0</formula>
    </cfRule>
    <cfRule type="cellIs" dxfId="1703" priority="414" operator="lessThan">
      <formula>0</formula>
    </cfRule>
  </conditionalFormatting>
  <conditionalFormatting sqref="K42:K43 M42:M43">
    <cfRule type="cellIs" dxfId="1702" priority="8034" operator="lessThan">
      <formula>0</formula>
    </cfRule>
    <cfRule type="cellIs" dxfId="1701" priority="8035" operator="lessThan">
      <formula>0</formula>
    </cfRule>
  </conditionalFormatting>
  <conditionalFormatting sqref="K42:K43">
    <cfRule type="cellIs" dxfId="1700" priority="3952" operator="lessThan">
      <formula>0</formula>
    </cfRule>
  </conditionalFormatting>
  <conditionalFormatting sqref="K44">
    <cfRule type="cellIs" priority="391" operator="lessThan">
      <formula>0</formula>
    </cfRule>
    <cfRule type="cellIs" dxfId="1699" priority="390" operator="lessThan">
      <formula>0</formula>
    </cfRule>
    <cfRule type="cellIs" dxfId="1698" priority="389" operator="greaterThan">
      <formula>0</formula>
    </cfRule>
    <cfRule type="cellIs" dxfId="1697" priority="388" operator="equal">
      <formula>0</formula>
    </cfRule>
    <cfRule type="cellIs" dxfId="1696" priority="387" operator="lessThan">
      <formula>0</formula>
    </cfRule>
    <cfRule type="cellIs" dxfId="1695" priority="386" operator="greaterThan">
      <formula>0</formula>
    </cfRule>
  </conditionalFormatting>
  <conditionalFormatting sqref="K45">
    <cfRule type="cellIs" dxfId="1694" priority="1699" operator="lessThan">
      <formula>0</formula>
    </cfRule>
    <cfRule type="cellIs" dxfId="1693" priority="1700" operator="lessThan">
      <formula>0</formula>
    </cfRule>
    <cfRule type="cellIs" dxfId="1692" priority="1701" operator="lessThan">
      <formula>0</formula>
    </cfRule>
    <cfRule type="cellIs" dxfId="1691" priority="1694" operator="lessThan">
      <formula>0</formula>
    </cfRule>
  </conditionalFormatting>
  <conditionalFormatting sqref="K49:K52">
    <cfRule type="cellIs" priority="364" operator="lessThan">
      <formula>0</formula>
    </cfRule>
    <cfRule type="cellIs" dxfId="1690" priority="362" operator="greaterThan">
      <formula>0</formula>
    </cfRule>
    <cfRule type="cellIs" dxfId="1689" priority="361" operator="equal">
      <formula>0</formula>
    </cfRule>
    <cfRule type="cellIs" dxfId="1688" priority="360" operator="lessThan">
      <formula>0</formula>
    </cfRule>
    <cfRule type="cellIs" dxfId="1687" priority="359" operator="greaterThan">
      <formula>0</formula>
    </cfRule>
  </conditionalFormatting>
  <conditionalFormatting sqref="K56:K64">
    <cfRule type="cellIs" dxfId="1686" priority="333" operator="lessThan">
      <formula>0</formula>
    </cfRule>
    <cfRule type="cellIs" dxfId="1685" priority="332" operator="greaterThan">
      <formula>0</formula>
    </cfRule>
    <cfRule type="cellIs" priority="337" operator="lessThan">
      <formula>0</formula>
    </cfRule>
    <cfRule type="cellIs" dxfId="1684" priority="335" operator="greaterThan">
      <formula>0</formula>
    </cfRule>
    <cfRule type="cellIs" dxfId="1683" priority="334" operator="equal">
      <formula>0</formula>
    </cfRule>
  </conditionalFormatting>
  <conditionalFormatting sqref="K68">
    <cfRule type="cellIs" dxfId="1682" priority="306" operator="lessThan">
      <formula>0</formula>
    </cfRule>
    <cfRule type="cellIs" dxfId="1681" priority="307" operator="equal">
      <formula>0</formula>
    </cfRule>
    <cfRule type="cellIs" dxfId="1680" priority="308" operator="greaterThan">
      <formula>0</formula>
    </cfRule>
    <cfRule type="cellIs" priority="310" operator="lessThan">
      <formula>0</formula>
    </cfRule>
    <cfRule type="cellIs" dxfId="1679" priority="305" operator="greaterThan">
      <formula>0</formula>
    </cfRule>
  </conditionalFormatting>
  <conditionalFormatting sqref="K71:K72">
    <cfRule type="cellIs" dxfId="1678" priority="279" operator="lessThan">
      <formula>0</formula>
    </cfRule>
    <cfRule type="cellIs" dxfId="1677" priority="280" operator="equal">
      <formula>0</formula>
    </cfRule>
    <cfRule type="cellIs" dxfId="1676" priority="281" operator="greaterThan">
      <formula>0</formula>
    </cfRule>
    <cfRule type="cellIs" priority="283" operator="lessThan">
      <formula>0</formula>
    </cfRule>
    <cfRule type="cellIs" dxfId="1675" priority="282" operator="lessThan">
      <formula>0</formula>
    </cfRule>
    <cfRule type="cellIs" dxfId="1674" priority="278" operator="greaterThan">
      <formula>0</formula>
    </cfRule>
  </conditionalFormatting>
  <conditionalFormatting sqref="K73 M73">
    <cfRule type="cellIs" dxfId="1673" priority="7961" operator="lessThan">
      <formula>0</formula>
    </cfRule>
    <cfRule type="cellIs" dxfId="1672" priority="7963" operator="lessThan">
      <formula>0</formula>
    </cfRule>
    <cfRule type="cellIs" dxfId="1671" priority="7962" operator="lessThan">
      <formula>0</formula>
    </cfRule>
  </conditionalFormatting>
  <conditionalFormatting sqref="K73">
    <cfRule type="cellIs" dxfId="1670" priority="7088" operator="lessThan">
      <formula>0</formula>
    </cfRule>
  </conditionalFormatting>
  <conditionalFormatting sqref="K74">
    <cfRule type="cellIs" priority="11" operator="lessThan">
      <formula>0</formula>
    </cfRule>
    <cfRule type="cellIs" dxfId="1669" priority="6" operator="greaterThan">
      <formula>0</formula>
    </cfRule>
    <cfRule type="cellIs" dxfId="1668" priority="9" operator="greaterThan">
      <formula>0</formula>
    </cfRule>
    <cfRule type="cellIs" dxfId="1667" priority="8" operator="equal">
      <formula>0</formula>
    </cfRule>
    <cfRule type="cellIs" dxfId="1666" priority="21566" operator="lessThan">
      <formula>0</formula>
    </cfRule>
  </conditionalFormatting>
  <conditionalFormatting sqref="K74:K75">
    <cfRule type="cellIs" dxfId="1665" priority="10" operator="lessThan">
      <formula>0</formula>
    </cfRule>
  </conditionalFormatting>
  <conditionalFormatting sqref="K75 M75">
    <cfRule type="cellIs" dxfId="1664" priority="3431" operator="lessThan">
      <formula>0</formula>
    </cfRule>
    <cfRule type="cellIs" dxfId="1663" priority="3430" operator="lessThan">
      <formula>0</formula>
    </cfRule>
  </conditionalFormatting>
  <conditionalFormatting sqref="K96:K99">
    <cfRule type="cellIs" priority="256" operator="lessThan">
      <formula>0</formula>
    </cfRule>
    <cfRule type="cellIs" dxfId="1662" priority="253" operator="equal">
      <formula>0</formula>
    </cfRule>
    <cfRule type="cellIs" dxfId="1661" priority="254" operator="greaterThan">
      <formula>0</formula>
    </cfRule>
    <cfRule type="cellIs" dxfId="1660" priority="251" operator="greaterThan">
      <formula>0</formula>
    </cfRule>
    <cfRule type="cellIs" dxfId="1659" priority="21562" operator="lessThan">
      <formula>0</formula>
    </cfRule>
  </conditionalFormatting>
  <conditionalFormatting sqref="K103:K106">
    <cfRule type="cellIs" dxfId="1658" priority="21563" operator="lessThan">
      <formula>0</formula>
    </cfRule>
  </conditionalFormatting>
  <conditionalFormatting sqref="K103:K107">
    <cfRule type="cellIs" dxfId="1657" priority="201" operator="lessThan">
      <formula>0</formula>
    </cfRule>
    <cfRule type="cellIs" priority="202" operator="lessThan">
      <formula>0</formula>
    </cfRule>
    <cfRule type="cellIs" dxfId="1656" priority="197" operator="greaterThan">
      <formula>0</formula>
    </cfRule>
    <cfRule type="cellIs" dxfId="1655" priority="199" operator="equal">
      <formula>0</formula>
    </cfRule>
    <cfRule type="cellIs" dxfId="1654" priority="200" operator="greaterThan">
      <formula>0</formula>
    </cfRule>
  </conditionalFormatting>
  <conditionalFormatting sqref="K108 M108">
    <cfRule type="cellIs" dxfId="1653" priority="7866" operator="lessThan">
      <formula>0</formula>
    </cfRule>
    <cfRule type="cellIs" dxfId="1652" priority="7867" operator="lessThan">
      <formula>0</formula>
    </cfRule>
  </conditionalFormatting>
  <conditionalFormatting sqref="K108">
    <cfRule type="cellIs" dxfId="1651" priority="3904" operator="lessThan">
      <formula>0</formula>
    </cfRule>
  </conditionalFormatting>
  <conditionalFormatting sqref="K111:K112">
    <cfRule type="cellIs" dxfId="1650" priority="170" operator="greaterThan">
      <formula>0</formula>
    </cfRule>
    <cfRule type="cellIs" dxfId="1649" priority="172" operator="equal">
      <formula>0</formula>
    </cfRule>
    <cfRule type="cellIs" dxfId="1648" priority="173" operator="greaterThan">
      <formula>0</formula>
    </cfRule>
    <cfRule type="cellIs" priority="175" operator="lessThan">
      <formula>0</formula>
    </cfRule>
  </conditionalFormatting>
  <conditionalFormatting sqref="K113 M113">
    <cfRule type="cellIs" dxfId="1647" priority="3152" operator="lessThan">
      <formula>0</formula>
    </cfRule>
    <cfRule type="cellIs" dxfId="1646" priority="3153" operator="lessThan">
      <formula>0</formula>
    </cfRule>
  </conditionalFormatting>
  <conditionalFormatting sqref="K113">
    <cfRule type="cellIs" dxfId="1645" priority="3128" operator="lessThan">
      <formula>0</formula>
    </cfRule>
  </conditionalFormatting>
  <conditionalFormatting sqref="K122:K134">
    <cfRule type="cellIs" dxfId="1644" priority="145" operator="equal">
      <formula>0</formula>
    </cfRule>
    <cfRule type="cellIs" dxfId="1643" priority="146" operator="greaterThan">
      <formula>0</formula>
    </cfRule>
    <cfRule type="cellIs" priority="148" operator="lessThan">
      <formula>0</formula>
    </cfRule>
    <cfRule type="cellIs" dxfId="1642" priority="143" operator="greaterThan">
      <formula>0</formula>
    </cfRule>
  </conditionalFormatting>
  <conditionalFormatting sqref="K135 M135">
    <cfRule type="cellIs" dxfId="1641" priority="2986" operator="lessThan">
      <formula>0</formula>
    </cfRule>
    <cfRule type="cellIs" dxfId="1640" priority="2989" operator="lessThan">
      <formula>0</formula>
    </cfRule>
    <cfRule type="cellIs" dxfId="1639" priority="2990" operator="lessThan">
      <formula>0</formula>
    </cfRule>
    <cfRule type="cellIs" dxfId="1638" priority="2991" operator="lessThan">
      <formula>0</formula>
    </cfRule>
  </conditionalFormatting>
  <conditionalFormatting sqref="K139 M139">
    <cfRule type="cellIs" dxfId="1637" priority="2928" operator="lessThan">
      <formula>0</formula>
    </cfRule>
    <cfRule type="cellIs" dxfId="1636" priority="2931" operator="lessThan">
      <formula>0</formula>
    </cfRule>
    <cfRule type="cellIs" dxfId="1635" priority="2933" operator="lessThan">
      <formula>0</formula>
    </cfRule>
    <cfRule type="cellIs" dxfId="1634" priority="2932" operator="lessThan">
      <formula>0</formula>
    </cfRule>
  </conditionalFormatting>
  <conditionalFormatting sqref="K149:K151">
    <cfRule type="cellIs" dxfId="1633" priority="119" operator="greaterThan">
      <formula>0</formula>
    </cfRule>
    <cfRule type="cellIs" dxfId="1632" priority="118" operator="equal">
      <formula>0</formula>
    </cfRule>
    <cfRule type="cellIs" dxfId="1631" priority="116" operator="greaterThan">
      <formula>0</formula>
    </cfRule>
    <cfRule type="cellIs" priority="121" operator="lessThan">
      <formula>0</formula>
    </cfRule>
  </conditionalFormatting>
  <conditionalFormatting sqref="K161:K162">
    <cfRule type="cellIs" dxfId="1630" priority="91" operator="equal">
      <formula>0</formula>
    </cfRule>
    <cfRule type="cellIs" dxfId="1629" priority="92" operator="greaterThan">
      <formula>0</formula>
    </cfRule>
    <cfRule type="cellIs" dxfId="1628" priority="89" operator="greaterThan">
      <formula>0</formula>
    </cfRule>
    <cfRule type="cellIs" priority="94" operator="lessThan">
      <formula>0</formula>
    </cfRule>
  </conditionalFormatting>
  <conditionalFormatting sqref="K182:K184">
    <cfRule type="cellIs" dxfId="1627" priority="64" operator="equal">
      <formula>0</formula>
    </cfRule>
    <cfRule type="cellIs" dxfId="1626" priority="21564" operator="lessThan">
      <formula>0</formula>
    </cfRule>
    <cfRule type="cellIs" dxfId="1625" priority="65" operator="greaterThan">
      <formula>0</formula>
    </cfRule>
    <cfRule type="cellIs" dxfId="1624" priority="62" operator="greaterThan">
      <formula>0</formula>
    </cfRule>
    <cfRule type="cellIs" priority="67" operator="lessThan">
      <formula>0</formula>
    </cfRule>
  </conditionalFormatting>
  <conditionalFormatting sqref="K188:K190">
    <cfRule type="cellIs" priority="40" operator="lessThan">
      <formula>0</formula>
    </cfRule>
    <cfRule type="cellIs" dxfId="1623" priority="35" operator="greaterThan">
      <formula>0</formula>
    </cfRule>
    <cfRule type="cellIs" dxfId="1622" priority="37" operator="equal">
      <formula>0</formula>
    </cfRule>
    <cfRule type="cellIs" dxfId="1621" priority="38" operator="greaterThan">
      <formula>0</formula>
    </cfRule>
    <cfRule type="cellIs" dxfId="1620" priority="21565" operator="lessThan">
      <formula>0</formula>
    </cfRule>
  </conditionalFormatting>
  <conditionalFormatting sqref="K191 M191">
    <cfRule type="cellIs" dxfId="1619" priority="2577" operator="lessThan">
      <formula>0</formula>
    </cfRule>
    <cfRule type="cellIs" dxfId="1618" priority="2576" operator="lessThan">
      <formula>0</formula>
    </cfRule>
    <cfRule type="cellIs" dxfId="1617" priority="2575" operator="lessThan">
      <formula>0</formula>
    </cfRule>
    <cfRule type="cellIs" dxfId="1616" priority="2572" operator="lessThan">
      <formula>0</formula>
    </cfRule>
  </conditionalFormatting>
  <conditionalFormatting sqref="K32:L37">
    <cfRule type="cellIs" dxfId="1615" priority="444" operator="lessThan">
      <formula>0</formula>
    </cfRule>
  </conditionalFormatting>
  <conditionalFormatting sqref="K84:L84">
    <cfRule type="cellIs" dxfId="1614" priority="3338" operator="lessThan">
      <formula>0</formula>
    </cfRule>
    <cfRule type="cellIs" dxfId="1613" priority="3341" operator="lessThan">
      <formula>0</formula>
    </cfRule>
    <cfRule type="cellIs" dxfId="1612" priority="3342" operator="lessThan">
      <formula>0</formula>
    </cfRule>
    <cfRule type="cellIs" dxfId="1611" priority="3343" operator="lessThan">
      <formula>0</formula>
    </cfRule>
    <cfRule type="cellIs" dxfId="1610" priority="3332" operator="lessThan">
      <formula>0</formula>
    </cfRule>
    <cfRule type="cellIs" dxfId="1609" priority="3334" operator="greaterThan">
      <formula>0</formula>
    </cfRule>
    <cfRule type="cellIs" dxfId="1608" priority="3333" operator="greaterThan">
      <formula>0</formula>
    </cfRule>
    <cfRule type="cellIs" dxfId="1607" priority="3336" operator="lessThan">
      <formula>0</formula>
    </cfRule>
    <cfRule type="cellIs" dxfId="1606" priority="3337" operator="lessThan">
      <formula>0</formula>
    </cfRule>
    <cfRule type="cellIs" dxfId="1605" priority="3335" operator="lessThan">
      <formula>0</formula>
    </cfRule>
  </conditionalFormatting>
  <conditionalFormatting sqref="K88:L88">
    <cfRule type="cellIs" dxfId="1604" priority="3306" operator="lessThan">
      <formula>0</formula>
    </cfRule>
    <cfRule type="cellIs" dxfId="1603" priority="3307" operator="lessThan">
      <formula>0</formula>
    </cfRule>
    <cfRule type="cellIs" dxfId="1602" priority="3299" operator="lessThan">
      <formula>0</formula>
    </cfRule>
    <cfRule type="cellIs" dxfId="1601" priority="3296" operator="lessThan">
      <formula>0</formula>
    </cfRule>
    <cfRule type="cellIs" dxfId="1600" priority="3297" operator="greaterThan">
      <formula>0</formula>
    </cfRule>
    <cfRule type="cellIs" dxfId="1599" priority="3298" operator="greaterThan">
      <formula>0</formula>
    </cfRule>
    <cfRule type="cellIs" dxfId="1598" priority="3300" operator="lessThan">
      <formula>0</formula>
    </cfRule>
    <cfRule type="cellIs" dxfId="1597" priority="3301" operator="lessThan">
      <formula>0</formula>
    </cfRule>
    <cfRule type="cellIs" dxfId="1596" priority="3302" operator="lessThan">
      <formula>0</formula>
    </cfRule>
    <cfRule type="cellIs" dxfId="1595" priority="3305" operator="lessThan">
      <formula>0</formula>
    </cfRule>
  </conditionalFormatting>
  <conditionalFormatting sqref="K96:L99">
    <cfRule type="cellIs" dxfId="1594" priority="255" operator="lessThan">
      <formula>0</formula>
    </cfRule>
  </conditionalFormatting>
  <conditionalFormatting sqref="K111:L113">
    <cfRule type="cellIs" dxfId="1593" priority="174" operator="lessThan">
      <formula>0</formula>
    </cfRule>
  </conditionalFormatting>
  <conditionalFormatting sqref="K122:L134">
    <cfRule type="cellIs" dxfId="1592" priority="147" operator="lessThan">
      <formula>0</formula>
    </cfRule>
  </conditionalFormatting>
  <conditionalFormatting sqref="K142:L142">
    <cfRule type="cellIs" dxfId="1591" priority="2876" operator="greaterThan">
      <formula>0</formula>
    </cfRule>
    <cfRule type="cellIs" dxfId="1590" priority="2878" operator="lessThan">
      <formula>0</formula>
    </cfRule>
    <cfRule type="cellIs" dxfId="1589" priority="2879" operator="lessThan">
      <formula>0</formula>
    </cfRule>
    <cfRule type="cellIs" dxfId="1588" priority="2875" operator="greaterThan">
      <formula>0</formula>
    </cfRule>
    <cfRule type="cellIs" dxfId="1587" priority="2880" operator="lessThan">
      <formula>0</formula>
    </cfRule>
    <cfRule type="cellIs" dxfId="1586" priority="2874" operator="lessThan">
      <formula>0</formula>
    </cfRule>
    <cfRule type="cellIs" dxfId="1585" priority="2877" operator="lessThan">
      <formula>0</formula>
    </cfRule>
    <cfRule type="cellIs" dxfId="1584" priority="2883" operator="lessThan">
      <formula>0</formula>
    </cfRule>
    <cfRule type="cellIs" dxfId="1583" priority="2885" operator="lessThan">
      <formula>0</formula>
    </cfRule>
    <cfRule type="cellIs" dxfId="1582" priority="2884" operator="lessThan">
      <formula>0</formula>
    </cfRule>
  </conditionalFormatting>
  <conditionalFormatting sqref="K145:L145">
    <cfRule type="cellIs" dxfId="1581" priority="2873" operator="lessThan">
      <formula>0</formula>
    </cfRule>
    <cfRule type="cellIs" dxfId="1580" priority="2864" operator="greaterThan">
      <formula>0</formula>
    </cfRule>
    <cfRule type="cellIs" dxfId="1579" priority="2872" operator="lessThan">
      <formula>0</formula>
    </cfRule>
    <cfRule type="cellIs" dxfId="1578" priority="2871" operator="lessThan">
      <formula>0</formula>
    </cfRule>
    <cfRule type="cellIs" dxfId="1577" priority="2867" operator="lessThan">
      <formula>0</formula>
    </cfRule>
    <cfRule type="cellIs" dxfId="1576" priority="2862" operator="lessThan">
      <formula>0</formula>
    </cfRule>
    <cfRule type="cellIs" dxfId="1575" priority="2868" operator="lessThan">
      <formula>0</formula>
    </cfRule>
    <cfRule type="cellIs" dxfId="1574" priority="2863" operator="greaterThan">
      <formula>0</formula>
    </cfRule>
    <cfRule type="cellIs" dxfId="1573" priority="2866" operator="lessThan">
      <formula>0</formula>
    </cfRule>
    <cfRule type="cellIs" dxfId="1572" priority="2865" operator="lessThan">
      <formula>0</formula>
    </cfRule>
  </conditionalFormatting>
  <conditionalFormatting sqref="K149:L151">
    <cfRule type="cellIs" dxfId="1571" priority="120" operator="lessThan">
      <formula>0</formula>
    </cfRule>
  </conditionalFormatting>
  <conditionalFormatting sqref="K161:L162">
    <cfRule type="cellIs" dxfId="1570" priority="93" operator="lessThan">
      <formula>0</formula>
    </cfRule>
  </conditionalFormatting>
  <conditionalFormatting sqref="K169:L169">
    <cfRule type="cellIs" priority="3863" operator="lessThan">
      <formula>0</formula>
    </cfRule>
    <cfRule type="cellIs" dxfId="1569" priority="3862" operator="lessThan">
      <formula>0</formula>
    </cfRule>
    <cfRule type="cellIs" dxfId="1568" priority="3858" operator="greaterThan">
      <formula>0</formula>
    </cfRule>
    <cfRule type="cellIs" dxfId="1567" priority="3859" operator="lessThan">
      <formula>0</formula>
    </cfRule>
    <cfRule type="cellIs" dxfId="1566" priority="3860" operator="equal">
      <formula>0</formula>
    </cfRule>
    <cfRule type="cellIs" dxfId="1565" priority="3861" operator="greaterThan">
      <formula>0</formula>
    </cfRule>
  </conditionalFormatting>
  <conditionalFormatting sqref="K182:L184">
    <cfRule type="cellIs" dxfId="1564" priority="66" operator="lessThan">
      <formula>0</formula>
    </cfRule>
  </conditionalFormatting>
  <conditionalFormatting sqref="K188:L190">
    <cfRule type="cellIs" dxfId="1563" priority="39" operator="lessThan">
      <formula>0</formula>
    </cfRule>
  </conditionalFormatting>
  <conditionalFormatting sqref="K29:M29">
    <cfRule type="cellIs" dxfId="1562" priority="4348" operator="lessThan">
      <formula>0</formula>
    </cfRule>
    <cfRule type="cellIs" dxfId="1561" priority="4352" operator="lessThan">
      <formula>0</formula>
    </cfRule>
    <cfRule type="cellIs" dxfId="1560" priority="4353" operator="lessThan">
      <formula>0</formula>
    </cfRule>
    <cfRule type="cellIs" dxfId="1559" priority="4351" operator="lessThan">
      <formula>0</formula>
    </cfRule>
    <cfRule type="cellIs" dxfId="1558" priority="4350" operator="greaterThan">
      <formula>0</formula>
    </cfRule>
    <cfRule type="cellIs" dxfId="1557" priority="4349" operator="greaterThan">
      <formula>0</formula>
    </cfRule>
  </conditionalFormatting>
  <conditionalFormatting sqref="K45:M45">
    <cfRule type="cellIs" dxfId="1556" priority="1692" operator="lessThan">
      <formula>0</formula>
    </cfRule>
    <cfRule type="cellIs" dxfId="1555" priority="1688" operator="lessThan">
      <formula>0</formula>
    </cfRule>
    <cfRule type="cellIs" dxfId="1554" priority="1693" operator="lessThan">
      <formula>0</formula>
    </cfRule>
    <cfRule type="cellIs" dxfId="1553" priority="1689" operator="greaterThan">
      <formula>0</formula>
    </cfRule>
    <cfRule type="cellIs" dxfId="1552" priority="1691" operator="lessThan">
      <formula>0</formula>
    </cfRule>
    <cfRule type="cellIs" dxfId="1551" priority="1690" operator="greaterThan">
      <formula>0</formula>
    </cfRule>
  </conditionalFormatting>
  <conditionalFormatting sqref="K49:M53">
    <cfRule type="cellIs" dxfId="1550" priority="363" operator="lessThan">
      <formula>0</formula>
    </cfRule>
  </conditionalFormatting>
  <conditionalFormatting sqref="K53:M53">
    <cfRule type="cellIs" dxfId="1549" priority="3684" operator="greaterThan">
      <formula>0</formula>
    </cfRule>
    <cfRule type="cellIs" dxfId="1548" priority="3683" operator="greaterThan">
      <formula>0</formula>
    </cfRule>
    <cfRule type="cellIs" dxfId="1547" priority="3685" operator="lessThan">
      <formula>0</formula>
    </cfRule>
    <cfRule type="cellIs" dxfId="1546" priority="3686" operator="lessThan">
      <formula>0</formula>
    </cfRule>
    <cfRule type="cellIs" dxfId="1545" priority="3687" operator="lessThan">
      <formula>0</formula>
    </cfRule>
  </conditionalFormatting>
  <conditionalFormatting sqref="K56:M65">
    <cfRule type="cellIs" dxfId="1544" priority="336" operator="lessThan">
      <formula>0</formula>
    </cfRule>
  </conditionalFormatting>
  <conditionalFormatting sqref="K65:M65">
    <cfRule type="cellIs" dxfId="1543" priority="3611" operator="lessThan">
      <formula>0</formula>
    </cfRule>
    <cfRule type="cellIs" dxfId="1542" priority="3607" operator="greaterThan">
      <formula>0</formula>
    </cfRule>
    <cfRule type="cellIs" dxfId="1541" priority="3609" operator="lessThan">
      <formula>0</formula>
    </cfRule>
    <cfRule type="cellIs" dxfId="1540" priority="3610" operator="lessThan">
      <formula>0</formula>
    </cfRule>
    <cfRule type="cellIs" dxfId="1539" priority="3608" operator="greaterThan">
      <formula>0</formula>
    </cfRule>
  </conditionalFormatting>
  <conditionalFormatting sqref="K68:M68">
    <cfRule type="cellIs" dxfId="1538" priority="309" operator="lessThan">
      <formula>0</formula>
    </cfRule>
  </conditionalFormatting>
  <conditionalFormatting sqref="K73:M73 G73:I73">
    <cfRule type="cellIs" dxfId="1537" priority="7964" operator="lessThan">
      <formula>0</formula>
    </cfRule>
  </conditionalFormatting>
  <conditionalFormatting sqref="K73:M73 K75:M75 G75:I75 G73:I73">
    <cfRule type="cellIs" dxfId="1536" priority="3514" operator="lessThan">
      <formula>0</formula>
    </cfRule>
  </conditionalFormatting>
  <conditionalFormatting sqref="K75:M75 G75:I75">
    <cfRule type="cellIs" dxfId="1535" priority="3432" operator="lessThan">
      <formula>0</formula>
    </cfRule>
  </conditionalFormatting>
  <conditionalFormatting sqref="K75:M75">
    <cfRule type="cellIs" dxfId="1534" priority="3428" operator="greaterThan">
      <formula>0</formula>
    </cfRule>
    <cfRule type="cellIs" dxfId="1533" priority="3427" operator="greaterThan">
      <formula>0</formula>
    </cfRule>
  </conditionalFormatting>
  <conditionalFormatting sqref="K81:M81">
    <cfRule type="cellIs" dxfId="1532" priority="3371" operator="lessThan">
      <formula>0</formula>
    </cfRule>
    <cfRule type="cellIs" dxfId="1531" priority="3370" operator="greaterThan">
      <formula>0</formula>
    </cfRule>
    <cfRule type="cellIs" dxfId="1530" priority="3369" operator="greaterThan">
      <formula>0</formula>
    </cfRule>
    <cfRule type="cellIs" dxfId="1529" priority="3368" operator="lessThan">
      <formula>0</formula>
    </cfRule>
    <cfRule type="cellIs" dxfId="1528" priority="3379" operator="lessThan">
      <formula>0</formula>
    </cfRule>
    <cfRule type="cellIs" dxfId="1527" priority="3378" operator="lessThan">
      <formula>0</formula>
    </cfRule>
    <cfRule type="cellIs" dxfId="1526" priority="3374" operator="lessThan">
      <formula>0</formula>
    </cfRule>
    <cfRule type="cellIs" dxfId="1525" priority="3373" operator="lessThan">
      <formula>0</formula>
    </cfRule>
    <cfRule type="cellIs" dxfId="1524" priority="3372" operator="lessThan">
      <formula>0</formula>
    </cfRule>
    <cfRule type="cellIs" dxfId="1523" priority="3377" operator="lessThan">
      <formula>0</formula>
    </cfRule>
  </conditionalFormatting>
  <conditionalFormatting sqref="K100:M100 L96:L99">
    <cfRule type="cellIs" dxfId="1522" priority="3251" operator="lessThan">
      <formula>0</formula>
    </cfRule>
  </conditionalFormatting>
  <conditionalFormatting sqref="K100:M100">
    <cfRule type="cellIs" dxfId="1521" priority="3248" operator="lessThan">
      <formula>0</formula>
    </cfRule>
  </conditionalFormatting>
  <conditionalFormatting sqref="K116:M118">
    <cfRule type="cellIs" dxfId="1520" priority="3050" operator="lessThan">
      <formula>0</formula>
    </cfRule>
    <cfRule type="cellIs" dxfId="1519" priority="3046" operator="lessThan">
      <formula>0</formula>
    </cfRule>
    <cfRule type="cellIs" dxfId="1518" priority="3041" operator="greaterThan">
      <formula>0</formula>
    </cfRule>
    <cfRule type="cellIs" dxfId="1517" priority="3042" operator="greaterThan">
      <formula>0</formula>
    </cfRule>
    <cfRule type="cellIs" dxfId="1516" priority="3045" operator="lessThan">
      <formula>0</formula>
    </cfRule>
    <cfRule type="cellIs" dxfId="1515" priority="3040" operator="lessThan">
      <formula>0</formula>
    </cfRule>
    <cfRule type="cellIs" dxfId="1514" priority="3051" operator="lessThan">
      <formula>0</formula>
    </cfRule>
    <cfRule type="cellIs" dxfId="1513" priority="3044" operator="lessThan">
      <formula>0</formula>
    </cfRule>
    <cfRule type="cellIs" dxfId="1512" priority="3049" operator="lessThan">
      <formula>0</formula>
    </cfRule>
    <cfRule type="cellIs" dxfId="1511" priority="3043" operator="lessThan">
      <formula>0</formula>
    </cfRule>
  </conditionalFormatting>
  <conditionalFormatting sqref="K135:M135">
    <cfRule type="cellIs" dxfId="1510" priority="2983" operator="lessThan">
      <formula>0</formula>
    </cfRule>
    <cfRule type="cellIs" dxfId="1509" priority="2977" operator="lessThan">
      <formula>0</formula>
    </cfRule>
    <cfRule type="cellIs" dxfId="1508" priority="2984" operator="lessThan">
      <formula>0</formula>
    </cfRule>
    <cfRule type="cellIs" dxfId="1507" priority="2985" operator="lessThan">
      <formula>0</formula>
    </cfRule>
    <cfRule type="cellIs" dxfId="1506" priority="2978" operator="lessThan">
      <formula>0</formula>
    </cfRule>
    <cfRule type="cellIs" dxfId="1505" priority="2974" operator="lessThan">
      <formula>0</formula>
    </cfRule>
    <cfRule type="cellIs" dxfId="1504" priority="2976" operator="greaterThan">
      <formula>0</formula>
    </cfRule>
    <cfRule type="cellIs" dxfId="1503" priority="2975" operator="greaterThan">
      <formula>0</formula>
    </cfRule>
    <cfRule type="cellIs" dxfId="1502" priority="2979" operator="lessThan">
      <formula>0</formula>
    </cfRule>
    <cfRule type="cellIs" dxfId="1501" priority="2980" operator="lessThan">
      <formula>0</formula>
    </cfRule>
  </conditionalFormatting>
  <conditionalFormatting sqref="K139:M139">
    <cfRule type="cellIs" dxfId="1500" priority="2922" operator="lessThan">
      <formula>0</formula>
    </cfRule>
    <cfRule type="cellIs" dxfId="1499" priority="2920" operator="lessThan">
      <formula>0</formula>
    </cfRule>
    <cfRule type="cellIs" dxfId="1498" priority="2919" operator="lessThan">
      <formula>0</formula>
    </cfRule>
    <cfRule type="cellIs" dxfId="1497" priority="2918" operator="greaterThan">
      <formula>0</formula>
    </cfRule>
    <cfRule type="cellIs" dxfId="1496" priority="2917" operator="greaterThan">
      <formula>0</formula>
    </cfRule>
    <cfRule type="cellIs" dxfId="1495" priority="2921" operator="lessThan">
      <formula>0</formula>
    </cfRule>
    <cfRule type="cellIs" dxfId="1494" priority="2916" operator="lessThan">
      <formula>0</formula>
    </cfRule>
    <cfRule type="cellIs" dxfId="1493" priority="2927" operator="lessThan">
      <formula>0</formula>
    </cfRule>
    <cfRule type="cellIs" dxfId="1492" priority="2926" operator="lessThan">
      <formula>0</formula>
    </cfRule>
    <cfRule type="cellIs" dxfId="1491" priority="2925" operator="lessThan">
      <formula>0</formula>
    </cfRule>
  </conditionalFormatting>
  <conditionalFormatting sqref="K156:M157">
    <cfRule type="cellIs" dxfId="1490" priority="3871" operator="lessThan">
      <formula>0</formula>
    </cfRule>
    <cfRule type="cellIs" dxfId="1489" priority="3870" operator="greaterThan">
      <formula>0</formula>
    </cfRule>
    <cfRule type="cellIs" dxfId="1488" priority="3874" operator="lessThan">
      <formula>0</formula>
    </cfRule>
    <cfRule type="cellIs" priority="3875" operator="lessThan">
      <formula>0</formula>
    </cfRule>
    <cfRule type="cellIs" dxfId="1487" priority="3873" operator="greaterThan">
      <formula>0</formula>
    </cfRule>
    <cfRule type="cellIs" dxfId="1486" priority="3872" operator="equal">
      <formula>0</formula>
    </cfRule>
  </conditionalFormatting>
  <conditionalFormatting sqref="K167:M167">
    <cfRule type="cellIs" priority="3869" operator="lessThan">
      <formula>0</formula>
    </cfRule>
    <cfRule type="cellIs" dxfId="1485" priority="3868" operator="lessThan">
      <formula>0</formula>
    </cfRule>
    <cfRule type="cellIs" dxfId="1484" priority="3866" operator="equal">
      <formula>0</formula>
    </cfRule>
    <cfRule type="cellIs" dxfId="1483" priority="3865" operator="lessThan">
      <formula>0</formula>
    </cfRule>
    <cfRule type="cellIs" dxfId="1482" priority="3864" operator="greaterThan">
      <formula>0</formula>
    </cfRule>
    <cfRule type="cellIs" dxfId="1481" priority="3867" operator="greaterThan">
      <formula>0</formula>
    </cfRule>
  </conditionalFormatting>
  <conditionalFormatting sqref="K174:M174">
    <cfRule type="cellIs" dxfId="1480" priority="2711" operator="lessThan">
      <formula>0</formula>
    </cfRule>
    <cfRule type="cellIs" dxfId="1479" priority="2707" operator="lessThan">
      <formula>0</formula>
    </cfRule>
    <cfRule type="cellIs" dxfId="1478" priority="2705" operator="lessThan">
      <formula>0</formula>
    </cfRule>
    <cfRule type="cellIs" dxfId="1477" priority="2704" operator="greaterThan">
      <formula>0</formula>
    </cfRule>
    <cfRule type="cellIs" dxfId="1476" priority="2703" operator="greaterThan">
      <formula>0</formula>
    </cfRule>
    <cfRule type="cellIs" dxfId="1475" priority="2713" operator="lessThan">
      <formula>0</formula>
    </cfRule>
    <cfRule type="cellIs" dxfId="1474" priority="2702" operator="lessThan">
      <formula>0</formula>
    </cfRule>
    <cfRule type="cellIs" dxfId="1473" priority="2712" operator="lessThan">
      <formula>0</formula>
    </cfRule>
    <cfRule type="cellIs" dxfId="1472" priority="2706" operator="lessThan">
      <formula>0</formula>
    </cfRule>
    <cfRule type="cellIs" dxfId="1471" priority="2708" operator="lessThan">
      <formula>0</formula>
    </cfRule>
  </conditionalFormatting>
  <conditionalFormatting sqref="K176:M176">
    <cfRule type="cellIs" priority="6765" operator="lessThan">
      <formula>0</formula>
    </cfRule>
    <cfRule type="cellIs" dxfId="1470" priority="6764" operator="lessThan">
      <formula>0</formula>
    </cfRule>
    <cfRule type="cellIs" dxfId="1469" priority="6763" operator="greaterThan">
      <formula>0</formula>
    </cfRule>
    <cfRule type="cellIs" dxfId="1468" priority="6762" operator="equal">
      <formula>0</formula>
    </cfRule>
    <cfRule type="cellIs" dxfId="1467" priority="6761" operator="lessThan">
      <formula>0</formula>
    </cfRule>
    <cfRule type="cellIs" dxfId="1466" priority="6760" operator="greaterThan">
      <formula>0</formula>
    </cfRule>
  </conditionalFormatting>
  <conditionalFormatting sqref="K178:M178">
    <cfRule type="cellIs" dxfId="1465" priority="2662" operator="lessThan">
      <formula>0</formula>
    </cfRule>
    <cfRule type="cellIs" dxfId="1464" priority="2665" operator="lessThan">
      <formula>0</formula>
    </cfRule>
    <cfRule type="cellIs" dxfId="1463" priority="2666" operator="lessThan">
      <formula>0</formula>
    </cfRule>
    <cfRule type="cellIs" dxfId="1462" priority="2673" operator="lessThan">
      <formula>0</formula>
    </cfRule>
    <cfRule type="cellIs" dxfId="1461" priority="2672" operator="lessThan">
      <formula>0</formula>
    </cfRule>
    <cfRule type="cellIs" dxfId="1460" priority="2671" operator="lessThan">
      <formula>0</formula>
    </cfRule>
    <cfRule type="cellIs" dxfId="1459" priority="2664" operator="greaterThan">
      <formula>0</formula>
    </cfRule>
    <cfRule type="cellIs" dxfId="1458" priority="2663" operator="greaterThan">
      <formula>0</formula>
    </cfRule>
    <cfRule type="cellIs" dxfId="1457" priority="2668" operator="lessThan">
      <formula>0</formula>
    </cfRule>
    <cfRule type="cellIs" dxfId="1456" priority="2667" operator="lessThan">
      <formula>0</formula>
    </cfRule>
  </conditionalFormatting>
  <conditionalFormatting sqref="K191:M191">
    <cfRule type="cellIs" dxfId="1455" priority="2566" operator="lessThan">
      <formula>0</formula>
    </cfRule>
    <cfRule type="cellIs" dxfId="1454" priority="2565" operator="lessThan">
      <formula>0</formula>
    </cfRule>
    <cfRule type="cellIs" dxfId="1453" priority="2560" operator="lessThan">
      <formula>0</formula>
    </cfRule>
    <cfRule type="cellIs" dxfId="1452" priority="2561" operator="greaterThan">
      <formula>0</formula>
    </cfRule>
    <cfRule type="cellIs" dxfId="1451" priority="2562" operator="greaterThan">
      <formula>0</formula>
    </cfRule>
    <cfRule type="cellIs" dxfId="1450" priority="2563" operator="lessThan">
      <formula>0</formula>
    </cfRule>
    <cfRule type="cellIs" dxfId="1449" priority="2564" operator="lessThan">
      <formula>0</formula>
    </cfRule>
    <cfRule type="cellIs" dxfId="1448" priority="2571" operator="lessThan">
      <formula>0</formula>
    </cfRule>
    <cfRule type="cellIs" dxfId="1447" priority="2570" operator="lessThan">
      <formula>0</formula>
    </cfRule>
    <cfRule type="cellIs" dxfId="1446" priority="2569" operator="lessThan">
      <formula>0</formula>
    </cfRule>
  </conditionalFormatting>
  <conditionalFormatting sqref="K196:M196">
    <cfRule type="cellIs" dxfId="1445" priority="2552" operator="lessThan">
      <formula>0</formula>
    </cfRule>
    <cfRule type="cellIs" dxfId="1444" priority="2545" operator="lessThan">
      <formula>0</formula>
    </cfRule>
    <cfRule type="cellIs" dxfId="1443" priority="2546" operator="lessThan">
      <formula>0</formula>
    </cfRule>
    <cfRule type="cellIs" dxfId="1442" priority="2547" operator="lessThan">
      <formula>0</formula>
    </cfRule>
    <cfRule type="cellIs" dxfId="1441" priority="2551" operator="lessThan">
      <formula>0</formula>
    </cfRule>
    <cfRule type="cellIs" dxfId="1440" priority="2548" operator="lessThan">
      <formula>0</formula>
    </cfRule>
    <cfRule type="cellIs" dxfId="1439" priority="2542" operator="lessThan">
      <formula>0</formula>
    </cfRule>
    <cfRule type="cellIs" dxfId="1438" priority="2543" operator="greaterThan">
      <formula>0</formula>
    </cfRule>
    <cfRule type="cellIs" dxfId="1437" priority="2559" operator="lessThan">
      <formula>0</formula>
    </cfRule>
    <cfRule type="cellIs" dxfId="1436" priority="2558" operator="lessThan">
      <formula>0</formula>
    </cfRule>
    <cfRule type="cellIs" dxfId="1435" priority="2557" operator="lessThan">
      <formula>0</formula>
    </cfRule>
    <cfRule type="cellIs" dxfId="1434" priority="2554" operator="lessThan">
      <formula>0</formula>
    </cfRule>
    <cfRule type="cellIs" dxfId="1433" priority="2553" operator="lessThan">
      <formula>0</formula>
    </cfRule>
    <cfRule type="cellIs" dxfId="1432" priority="2544" operator="greaterThan">
      <formula>0</formula>
    </cfRule>
  </conditionalFormatting>
  <conditionalFormatting sqref="K197:M198">
    <cfRule type="cellIs" dxfId="1431" priority="5616" operator="greaterThan">
      <formula>0</formula>
    </cfRule>
    <cfRule type="cellIs" dxfId="1430" priority="5615" operator="equal">
      <formula>0</formula>
    </cfRule>
    <cfRule type="cellIs" dxfId="1429" priority="5614" operator="lessThan">
      <formula>0</formula>
    </cfRule>
    <cfRule type="cellIs" dxfId="1428" priority="5613" operator="greaterThan">
      <formula>0</formula>
    </cfRule>
    <cfRule type="cellIs" dxfId="1427" priority="5617" operator="lessThan">
      <formula>0</formula>
    </cfRule>
    <cfRule type="cellIs" priority="5618" operator="lessThan">
      <formula>0</formula>
    </cfRule>
  </conditionalFormatting>
  <conditionalFormatting sqref="K205:M294">
    <cfRule type="cellIs" priority="2063" operator="lessThan">
      <formula>0</formula>
    </cfRule>
    <cfRule type="cellIs" dxfId="1426" priority="2062" operator="lessThan">
      <formula>0</formula>
    </cfRule>
    <cfRule type="cellIs" dxfId="1425" priority="2061" operator="greaterThan">
      <formula>0</formula>
    </cfRule>
    <cfRule type="cellIs" dxfId="1424" priority="2060" operator="equal">
      <formula>0</formula>
    </cfRule>
  </conditionalFormatting>
  <conditionalFormatting sqref="L11">
    <cfRule type="cellIs" dxfId="1423" priority="1666" operator="lessThan">
      <formula>0</formula>
    </cfRule>
    <cfRule type="cellIs" dxfId="1422" priority="1665" operator="greaterThan">
      <formula>0</formula>
    </cfRule>
    <cfRule type="cellIs" dxfId="1421" priority="1662" operator="greaterThan">
      <formula>0</formula>
    </cfRule>
    <cfRule type="cellIs" dxfId="1420" priority="1663" operator="lessThan">
      <formula>0</formula>
    </cfRule>
    <cfRule type="cellIs" dxfId="1419" priority="1664" operator="equal">
      <formula>0</formula>
    </cfRule>
    <cfRule type="cellIs" priority="1667" operator="lessThan">
      <formula>0</formula>
    </cfRule>
  </conditionalFormatting>
  <conditionalFormatting sqref="L18:L28">
    <cfRule type="cellIs" dxfId="1418" priority="4430" operator="greaterThan">
      <formula>0</formula>
    </cfRule>
    <cfRule type="cellIs" dxfId="1417" priority="4431" operator="greaterThan">
      <formula>0</formula>
    </cfRule>
    <cfRule type="cellIs" dxfId="1416" priority="4432" operator="lessThan">
      <formula>0</formula>
    </cfRule>
    <cfRule type="cellIs" dxfId="1415" priority="4433" operator="lessThan">
      <formula>0</formula>
    </cfRule>
    <cfRule type="cellIs" dxfId="1414" priority="4429" operator="lessThan">
      <formula>0</formula>
    </cfRule>
    <cfRule type="cellIs" dxfId="1413" priority="4434" operator="lessThan">
      <formula>0</formula>
    </cfRule>
  </conditionalFormatting>
  <conditionalFormatting sqref="L32:L37">
    <cfRule type="cellIs" dxfId="1412" priority="4369" operator="lessThan">
      <formula>0</formula>
    </cfRule>
    <cfRule type="cellIs" dxfId="1411" priority="4370" operator="lessThan">
      <formula>0</formula>
    </cfRule>
    <cfRule type="cellIs" dxfId="1410" priority="4371" operator="lessThan">
      <formula>0</formula>
    </cfRule>
    <cfRule type="cellIs" dxfId="1409" priority="4368" operator="greaterThan">
      <formula>0</formula>
    </cfRule>
    <cfRule type="cellIs" dxfId="1408" priority="4367" operator="greaterThan">
      <formula>0</formula>
    </cfRule>
  </conditionalFormatting>
  <conditionalFormatting sqref="L40:L44 K42:M43">
    <cfRule type="cellIs" dxfId="1407" priority="3792" operator="lessThan">
      <formula>0</formula>
    </cfRule>
    <cfRule type="cellIs" dxfId="1406" priority="3789" operator="lessThan">
      <formula>0</formula>
    </cfRule>
    <cfRule type="cellIs" dxfId="1405" priority="3790" operator="greaterThan">
      <formula>0</formula>
    </cfRule>
    <cfRule type="cellIs" dxfId="1404" priority="3791" operator="greaterThan">
      <formula>0</formula>
    </cfRule>
    <cfRule type="cellIs" dxfId="1403" priority="3793" operator="lessThan">
      <formula>0</formula>
    </cfRule>
    <cfRule type="cellIs" dxfId="1402" priority="3794" operator="lessThan">
      <formula>0</formula>
    </cfRule>
  </conditionalFormatting>
  <conditionalFormatting sqref="L49:L52">
    <cfRule type="cellIs" dxfId="1401" priority="3714" operator="lessThan">
      <formula>0</formula>
    </cfRule>
    <cfRule type="cellIs" dxfId="1400" priority="3712" operator="greaterThan">
      <formula>0</formula>
    </cfRule>
    <cfRule type="cellIs" dxfId="1399" priority="3713" operator="lessThan">
      <formula>0</formula>
    </cfRule>
    <cfRule type="cellIs" dxfId="1398" priority="3711" operator="greaterThan">
      <formula>0</formula>
    </cfRule>
    <cfRule type="cellIs" dxfId="1397" priority="3715" operator="lessThan">
      <formula>0</formula>
    </cfRule>
  </conditionalFormatting>
  <conditionalFormatting sqref="L56:L64">
    <cfRule type="cellIs" dxfId="1396" priority="3642" operator="lessThan">
      <formula>0</formula>
    </cfRule>
    <cfRule type="cellIs" dxfId="1395" priority="3643" operator="lessThan">
      <formula>0</formula>
    </cfRule>
    <cfRule type="cellIs" dxfId="1394" priority="3641" operator="lessThan">
      <formula>0</formula>
    </cfRule>
    <cfRule type="cellIs" dxfId="1393" priority="3640" operator="greaterThan">
      <formula>0</formula>
    </cfRule>
    <cfRule type="cellIs" dxfId="1392" priority="3639" operator="greaterThan">
      <formula>0</formula>
    </cfRule>
  </conditionalFormatting>
  <conditionalFormatting sqref="L68">
    <cfRule type="cellIs" dxfId="1391" priority="3565" operator="lessThan">
      <formula>0</formula>
    </cfRule>
    <cfRule type="cellIs" dxfId="1390" priority="3566" operator="lessThan">
      <formula>0</formula>
    </cfRule>
    <cfRule type="cellIs" dxfId="1389" priority="3567" operator="lessThan">
      <formula>0</formula>
    </cfRule>
    <cfRule type="cellIs" dxfId="1388" priority="3563" operator="greaterThan">
      <formula>0</formula>
    </cfRule>
    <cfRule type="cellIs" dxfId="1387" priority="3564" operator="greaterThan">
      <formula>0</formula>
    </cfRule>
  </conditionalFormatting>
  <conditionalFormatting sqref="L71:L75">
    <cfRule type="cellIs" dxfId="1386" priority="3491" operator="lessThan">
      <formula>0</formula>
    </cfRule>
    <cfRule type="cellIs" dxfId="1385" priority="3481" operator="greaterThan">
      <formula>0</formula>
    </cfRule>
    <cfRule type="cellIs" dxfId="1384" priority="3489" operator="lessThan">
      <formula>0</formula>
    </cfRule>
    <cfRule type="cellIs" dxfId="1383" priority="3482" operator="greaterThan">
      <formula>0</formula>
    </cfRule>
    <cfRule type="cellIs" dxfId="1382" priority="3480" operator="lessThan">
      <formula>0</formula>
    </cfRule>
    <cfRule type="cellIs" dxfId="1381" priority="3483" operator="lessThan">
      <formula>0</formula>
    </cfRule>
    <cfRule type="cellIs" dxfId="1380" priority="3484" operator="lessThan">
      <formula>0</formula>
    </cfRule>
    <cfRule type="cellIs" dxfId="1379" priority="3485" operator="lessThan">
      <formula>0</formula>
    </cfRule>
    <cfRule type="cellIs" dxfId="1378" priority="3486" operator="lessThan">
      <formula>0</formula>
    </cfRule>
    <cfRule type="cellIs" dxfId="1377" priority="3490" operator="lessThan">
      <formula>0</formula>
    </cfRule>
  </conditionalFormatting>
  <conditionalFormatting sqref="L96:L99 K100:M100">
    <cfRule type="cellIs" dxfId="1376" priority="3252" operator="lessThan">
      <formula>0</formula>
    </cfRule>
    <cfRule type="cellIs" dxfId="1375" priority="3253" operator="lessThan">
      <formula>0</formula>
    </cfRule>
    <cfRule type="cellIs" dxfId="1374" priority="3254" operator="lessThan">
      <formula>0</formula>
    </cfRule>
    <cfRule type="cellIs" dxfId="1373" priority="3257" operator="lessThan">
      <formula>0</formula>
    </cfRule>
    <cfRule type="cellIs" dxfId="1372" priority="3258" operator="lessThan">
      <formula>0</formula>
    </cfRule>
    <cfRule type="cellIs" dxfId="1371" priority="3259" operator="lessThan">
      <formula>0</formula>
    </cfRule>
    <cfRule type="cellIs" dxfId="1370" priority="3250" operator="greaterThan">
      <formula>0</formula>
    </cfRule>
    <cfRule type="cellIs" dxfId="1369" priority="3249" operator="greaterThan">
      <formula>0</formula>
    </cfRule>
  </conditionalFormatting>
  <conditionalFormatting sqref="L103:L108 K108:M108">
    <cfRule type="cellIs" dxfId="1368" priority="3210" operator="lessThan">
      <formula>0</formula>
    </cfRule>
    <cfRule type="cellIs" dxfId="1367" priority="3206" operator="lessThan">
      <formula>0</formula>
    </cfRule>
    <cfRule type="cellIs" dxfId="1366" priority="3202" operator="greaterThan">
      <formula>0</formula>
    </cfRule>
    <cfRule type="cellIs" dxfId="1365" priority="3211" operator="lessThan">
      <formula>0</formula>
    </cfRule>
    <cfRule type="cellIs" dxfId="1364" priority="3203" operator="lessThan">
      <formula>0</formula>
    </cfRule>
    <cfRule type="cellIs" dxfId="1363" priority="3205" operator="lessThan">
      <formula>0</formula>
    </cfRule>
    <cfRule type="cellIs" dxfId="1362" priority="3204" operator="lessThan">
      <formula>0</formula>
    </cfRule>
    <cfRule type="cellIs" dxfId="1361" priority="3200" operator="lessThan">
      <formula>0</formula>
    </cfRule>
    <cfRule type="cellIs" dxfId="1360" priority="3209" operator="lessThan">
      <formula>0</formula>
    </cfRule>
    <cfRule type="cellIs" dxfId="1359" priority="3201" operator="greaterThan">
      <formula>0</formula>
    </cfRule>
  </conditionalFormatting>
  <conditionalFormatting sqref="L111:L113 K113 M113">
    <cfRule type="cellIs" dxfId="1358" priority="3106" operator="lessThan">
      <formula>0</formula>
    </cfRule>
    <cfRule type="cellIs" dxfId="1357" priority="3105" operator="lessThan">
      <formula>0</formula>
    </cfRule>
    <cfRule type="cellIs" dxfId="1356" priority="3101" operator="greaterThan">
      <formula>0</formula>
    </cfRule>
    <cfRule type="cellIs" dxfId="1355" priority="3102" operator="greaterThan">
      <formula>0</formula>
    </cfRule>
    <cfRule type="cellIs" dxfId="1354" priority="3104" operator="lessThan">
      <formula>0</formula>
    </cfRule>
    <cfRule type="cellIs" dxfId="1353" priority="3109" operator="lessThan">
      <formula>0</formula>
    </cfRule>
    <cfRule type="cellIs" dxfId="1352" priority="3110" operator="lessThan">
      <formula>0</formula>
    </cfRule>
    <cfRule type="cellIs" dxfId="1351" priority="3111" operator="lessThan">
      <formula>0</formula>
    </cfRule>
  </conditionalFormatting>
  <conditionalFormatting sqref="L122:L134">
    <cfRule type="cellIs" dxfId="1350" priority="3009" operator="lessThan">
      <formula>0</formula>
    </cfRule>
    <cfRule type="cellIs" dxfId="1349" priority="3008" operator="lessThan">
      <formula>0</formula>
    </cfRule>
    <cfRule type="cellIs" dxfId="1348" priority="3005" operator="greaterThan">
      <formula>0</formula>
    </cfRule>
    <cfRule type="cellIs" dxfId="1347" priority="3006" operator="greaterThan">
      <formula>0</formula>
    </cfRule>
    <cfRule type="cellIs" dxfId="1346" priority="3007" operator="lessThan">
      <formula>0</formula>
    </cfRule>
    <cfRule type="cellIs" dxfId="1345" priority="3015" operator="lessThan">
      <formula>0</formula>
    </cfRule>
    <cfRule type="cellIs" dxfId="1344" priority="3014" operator="lessThan">
      <formula>0</formula>
    </cfRule>
    <cfRule type="cellIs" dxfId="1343" priority="3013" operator="lessThan">
      <formula>0</formula>
    </cfRule>
    <cfRule type="cellIs" dxfId="1342" priority="3010" operator="lessThan">
      <formula>0</formula>
    </cfRule>
  </conditionalFormatting>
  <conditionalFormatting sqref="L149:L151">
    <cfRule type="cellIs" dxfId="1341" priority="2830" operator="lessThan">
      <formula>0</formula>
    </cfRule>
    <cfRule type="cellIs" dxfId="1340" priority="2832" operator="lessThan">
      <formula>0</formula>
    </cfRule>
    <cfRule type="cellIs" dxfId="1339" priority="2837" operator="lessThan">
      <formula>0</formula>
    </cfRule>
    <cfRule type="cellIs" dxfId="1338" priority="2831" operator="lessThan">
      <formula>0</formula>
    </cfRule>
    <cfRule type="cellIs" dxfId="1337" priority="2827" operator="greaterThan">
      <formula>0</formula>
    </cfRule>
    <cfRule type="cellIs" dxfId="1336" priority="2836" operator="lessThan">
      <formula>0</formula>
    </cfRule>
    <cfRule type="cellIs" dxfId="1335" priority="2835" operator="lessThan">
      <formula>0</formula>
    </cfRule>
    <cfRule type="cellIs" dxfId="1334" priority="2828" operator="greaterThan">
      <formula>0</formula>
    </cfRule>
    <cfRule type="cellIs" dxfId="1333" priority="2829" operator="lessThan">
      <formula>0</formula>
    </cfRule>
  </conditionalFormatting>
  <conditionalFormatting sqref="L161:L162">
    <cfRule type="cellIs" dxfId="1332" priority="2753" operator="lessThan">
      <formula>0</formula>
    </cfRule>
    <cfRule type="cellIs" dxfId="1331" priority="2752" operator="greaterThan">
      <formula>0</formula>
    </cfRule>
    <cfRule type="cellIs" dxfId="1330" priority="2751" operator="greaterThan">
      <formula>0</formula>
    </cfRule>
    <cfRule type="cellIs" dxfId="1329" priority="2754" operator="lessThan">
      <formula>0</formula>
    </cfRule>
    <cfRule type="cellIs" dxfId="1328" priority="2761" operator="lessThan">
      <formula>0</formula>
    </cfRule>
    <cfRule type="cellIs" dxfId="1327" priority="2760" operator="lessThan">
      <formula>0</formula>
    </cfRule>
    <cfRule type="cellIs" dxfId="1326" priority="2759" operator="lessThan">
      <formula>0</formula>
    </cfRule>
    <cfRule type="cellIs" dxfId="1325" priority="2756" operator="lessThan">
      <formula>0</formula>
    </cfRule>
    <cfRule type="cellIs" dxfId="1324" priority="2755" operator="lessThan">
      <formula>0</formula>
    </cfRule>
  </conditionalFormatting>
  <conditionalFormatting sqref="L182:L184">
    <cfRule type="cellIs" dxfId="1323" priority="2631" operator="lessThan">
      <formula>0</formula>
    </cfRule>
    <cfRule type="cellIs" dxfId="1322" priority="2632" operator="lessThan">
      <formula>0</formula>
    </cfRule>
    <cfRule type="cellIs" dxfId="1321" priority="2635" operator="lessThan">
      <formula>0</formula>
    </cfRule>
    <cfRule type="cellIs" dxfId="1320" priority="2636" operator="lessThan">
      <formula>0</formula>
    </cfRule>
    <cfRule type="cellIs" dxfId="1319" priority="2637" operator="lessThan">
      <formula>0</formula>
    </cfRule>
    <cfRule type="cellIs" dxfId="1318" priority="2627" operator="greaterThan">
      <formula>0</formula>
    </cfRule>
    <cfRule type="cellIs" dxfId="1317" priority="2628" operator="greaterThan">
      <formula>0</formula>
    </cfRule>
    <cfRule type="cellIs" dxfId="1316" priority="2629" operator="lessThan">
      <formula>0</formula>
    </cfRule>
    <cfRule type="cellIs" dxfId="1315" priority="2630" operator="lessThan">
      <formula>0</formula>
    </cfRule>
  </conditionalFormatting>
  <conditionalFormatting sqref="L188:L190">
    <cfRule type="cellIs" dxfId="1314" priority="2594" operator="lessThan">
      <formula>0</formula>
    </cfRule>
    <cfRule type="cellIs" dxfId="1313" priority="2595" operator="lessThan">
      <formula>0</formula>
    </cfRule>
    <cfRule type="cellIs" dxfId="1312" priority="2592" operator="greaterThan">
      <formula>0</formula>
    </cfRule>
    <cfRule type="cellIs" dxfId="1311" priority="2596" operator="lessThan">
      <formula>0</formula>
    </cfRule>
    <cfRule type="cellIs" dxfId="1310" priority="2599" operator="lessThan">
      <formula>0</formula>
    </cfRule>
    <cfRule type="cellIs" dxfId="1309" priority="2600" operator="lessThan">
      <formula>0</formula>
    </cfRule>
    <cfRule type="cellIs" dxfId="1308" priority="2591" operator="greaterThan">
      <formula>0</formula>
    </cfRule>
    <cfRule type="cellIs" dxfId="1307" priority="2593" operator="lessThan">
      <formula>0</formula>
    </cfRule>
    <cfRule type="cellIs" dxfId="1306" priority="2601" operator="lessThan">
      <formula>0</formula>
    </cfRule>
  </conditionalFormatting>
  <conditionalFormatting sqref="L205:M294">
    <cfRule type="cellIs" dxfId="1305" priority="2058" operator="greaterThan">
      <formula>0</formula>
    </cfRule>
    <cfRule type="cellIs" dxfId="1304" priority="2059" operator="lessThan">
      <formula>0</formula>
    </cfRule>
  </conditionalFormatting>
  <conditionalFormatting sqref="M10:M11">
    <cfRule type="cellIs" dxfId="1303" priority="1659" operator="equal">
      <formula>"Check Validation"</formula>
    </cfRule>
    <cfRule type="cellIs" dxfId="1302" priority="1660" operator="equal">
      <formula>"Check Validations"</formula>
    </cfRule>
    <cfRule type="cellIs" dxfId="1301" priority="1661" operator="equal">
      <formula>"Check"</formula>
    </cfRule>
  </conditionalFormatting>
  <conditionalFormatting sqref="M18:M28">
    <cfRule type="cellIs" dxfId="1300" priority="7362" operator="greaterThan">
      <formula>0</formula>
    </cfRule>
    <cfRule type="cellIs" dxfId="1299" priority="7363" operator="lessThan">
      <formula>0</formula>
    </cfRule>
    <cfRule type="cellIs" dxfId="1298" priority="7364" operator="equal">
      <formula>0</formula>
    </cfRule>
    <cfRule type="cellIs" dxfId="1297" priority="7365" operator="greaterThan">
      <formula>0</formula>
    </cfRule>
    <cfRule type="cellIs" dxfId="1296" priority="7366" operator="lessThan">
      <formula>0</formula>
    </cfRule>
    <cfRule type="cellIs" priority="7367" operator="lessThan">
      <formula>0</formula>
    </cfRule>
  </conditionalFormatting>
  <conditionalFormatting sqref="M32:M37">
    <cfRule type="cellIs" dxfId="1295" priority="4391" operator="lessThan">
      <formula>0</formula>
    </cfRule>
    <cfRule type="cellIs" dxfId="1294" priority="4392" operator="equal">
      <formula>0</formula>
    </cfRule>
    <cfRule type="cellIs" dxfId="1293" priority="4393" operator="greaterThan">
      <formula>0</formula>
    </cfRule>
    <cfRule type="cellIs" dxfId="1292" priority="4394" operator="lessThan">
      <formula>0</formula>
    </cfRule>
    <cfRule type="cellIs" priority="4395" operator="lessThan">
      <formula>0</formula>
    </cfRule>
    <cfRule type="cellIs" dxfId="1291" priority="4390" operator="greaterThan">
      <formula>0</formula>
    </cfRule>
  </conditionalFormatting>
  <conditionalFormatting sqref="M40:M41">
    <cfRule type="cellIs" priority="8748" operator="lessThan">
      <formula>0</formula>
    </cfRule>
    <cfRule type="cellIs" dxfId="1290" priority="8745" operator="equal">
      <formula>0</formula>
    </cfRule>
    <cfRule type="cellIs" dxfId="1289" priority="8746" operator="greaterThan">
      <formula>0</formula>
    </cfRule>
  </conditionalFormatting>
  <conditionalFormatting sqref="M40:M44">
    <cfRule type="cellIs" dxfId="1288" priority="5905" operator="lessThan">
      <formula>0</formula>
    </cfRule>
  </conditionalFormatting>
  <conditionalFormatting sqref="M42:M43 K42:K43">
    <cfRule type="cellIs" dxfId="1287" priority="8033" operator="lessThan">
      <formula>0</formula>
    </cfRule>
  </conditionalFormatting>
  <conditionalFormatting sqref="M44">
    <cfRule type="cellIs" dxfId="1286" priority="468" operator="equal">
      <formula>0</formula>
    </cfRule>
    <cfRule type="cellIs" dxfId="1285" priority="469" operator="greaterThan">
      <formula>0</formula>
    </cfRule>
    <cfRule type="cellIs" priority="470" operator="lessThan">
      <formula>0</formula>
    </cfRule>
  </conditionalFormatting>
  <conditionalFormatting sqref="M45">
    <cfRule type="cellIs" dxfId="1284" priority="1698" operator="lessThan">
      <formula>0</formula>
    </cfRule>
    <cfRule type="cellIs" dxfId="1283" priority="1696" operator="lessThan">
      <formula>0</formula>
    </cfRule>
    <cfRule type="cellIs" dxfId="1282" priority="1695" operator="lessThan">
      <formula>0</formula>
    </cfRule>
    <cfRule type="cellIs" dxfId="1281" priority="1697" operator="lessThan">
      <formula>0</formula>
    </cfRule>
  </conditionalFormatting>
  <conditionalFormatting sqref="M49:M52">
    <cfRule type="cellIs" priority="3743" operator="lessThan">
      <formula>0</formula>
    </cfRule>
    <cfRule type="cellIs" dxfId="1280" priority="3742" operator="greaterThan">
      <formula>0</formula>
    </cfRule>
    <cfRule type="cellIs" dxfId="1279" priority="3741" operator="equal">
      <formula>0</formula>
    </cfRule>
  </conditionalFormatting>
  <conditionalFormatting sqref="M56:M64">
    <cfRule type="cellIs" dxfId="1278" priority="3669" operator="equal">
      <formula>0</formula>
    </cfRule>
    <cfRule type="cellIs" dxfId="1277" priority="3670" operator="greaterThan">
      <formula>0</formula>
    </cfRule>
    <cfRule type="cellIs" priority="3671" operator="lessThan">
      <formula>0</formula>
    </cfRule>
  </conditionalFormatting>
  <conditionalFormatting sqref="M68">
    <cfRule type="cellIs" dxfId="1276" priority="3593" operator="equal">
      <formula>0</formula>
    </cfRule>
    <cfRule type="cellIs" priority="3595" operator="lessThan">
      <formula>0</formula>
    </cfRule>
    <cfRule type="cellIs" dxfId="1275" priority="3594" operator="greaterThan">
      <formula>0</formula>
    </cfRule>
  </conditionalFormatting>
  <conditionalFormatting sqref="M71">
    <cfRule type="cellIs" dxfId="1274" priority="7108" operator="greaterThan">
      <formula>0</formula>
    </cfRule>
    <cfRule type="cellIs" dxfId="1273" priority="7109" operator="lessThan">
      <formula>0</formula>
    </cfRule>
    <cfRule type="cellIs" dxfId="1272" priority="7112" operator="lessThan">
      <formula>0</formula>
    </cfRule>
    <cfRule type="cellIs" dxfId="1271" priority="7111" operator="greaterThan">
      <formula>0</formula>
    </cfRule>
  </conditionalFormatting>
  <conditionalFormatting sqref="M71:M72">
    <cfRule type="cellIs" dxfId="1270" priority="3539" operator="equal">
      <formula>0</formula>
    </cfRule>
    <cfRule type="cellIs" priority="3541" operator="lessThan">
      <formula>0</formula>
    </cfRule>
  </conditionalFormatting>
  <conditionalFormatting sqref="M72">
    <cfRule type="cellIs" dxfId="1269" priority="3540" operator="greaterThan">
      <formula>0</formula>
    </cfRule>
    <cfRule type="cellIs" dxfId="1268" priority="3532" operator="lessThan">
      <formula>0</formula>
    </cfRule>
  </conditionalFormatting>
  <conditionalFormatting sqref="M73:M74">
    <cfRule type="cellIs" dxfId="1267" priority="7082" operator="lessThan">
      <formula>0</formula>
    </cfRule>
  </conditionalFormatting>
  <conditionalFormatting sqref="M74">
    <cfRule type="cellIs" dxfId="1266" priority="7081" operator="greaterThan">
      <formula>0</formula>
    </cfRule>
    <cfRule type="cellIs" dxfId="1265" priority="7080" operator="equal">
      <formula>0</formula>
    </cfRule>
    <cfRule type="cellIs" priority="7083" operator="lessThan">
      <formula>0</formula>
    </cfRule>
    <cfRule type="cellIs" dxfId="1264" priority="7079" operator="lessThan">
      <formula>0</formula>
    </cfRule>
    <cfRule type="cellIs" dxfId="1263" priority="7078" operator="greaterThan">
      <formula>0</formula>
    </cfRule>
  </conditionalFormatting>
  <conditionalFormatting sqref="M75 K75">
    <cfRule type="cellIs" dxfId="1262" priority="3429" operator="lessThan">
      <formula>0</formula>
    </cfRule>
  </conditionalFormatting>
  <conditionalFormatting sqref="M75">
    <cfRule type="cellIs" dxfId="1261" priority="3426" operator="lessThan">
      <formula>0</formula>
    </cfRule>
  </conditionalFormatting>
  <conditionalFormatting sqref="M96:M99">
    <cfRule type="cellIs" dxfId="1260" priority="3267" operator="lessThan">
      <formula>0</formula>
    </cfRule>
    <cfRule type="cellIs" dxfId="1259" priority="3266" operator="greaterThan">
      <formula>0</formula>
    </cfRule>
    <cfRule type="cellIs" dxfId="1258" priority="3269" operator="greaterThan">
      <formula>0</formula>
    </cfRule>
    <cfRule type="cellIs" priority="3271" operator="lessThan">
      <formula>0</formula>
    </cfRule>
    <cfRule type="cellIs" dxfId="1257" priority="3270" operator="lessThan">
      <formula>0</formula>
    </cfRule>
    <cfRule type="cellIs" dxfId="1256" priority="3268" operator="equal">
      <formula>0</formula>
    </cfRule>
  </conditionalFormatting>
  <conditionalFormatting sqref="M103:M107">
    <cfRule type="cellIs" dxfId="1255" priority="6994" operator="greaterThan">
      <formula>0</formula>
    </cfRule>
    <cfRule type="cellIs" dxfId="1254" priority="6995" operator="lessThan">
      <formula>0</formula>
    </cfRule>
    <cfRule type="cellIs" dxfId="1253" priority="6996" operator="equal">
      <formula>0</formula>
    </cfRule>
    <cfRule type="cellIs" dxfId="1252" priority="6997" operator="greaterThan">
      <formula>0</formula>
    </cfRule>
    <cfRule type="cellIs" priority="6999" operator="lessThan">
      <formula>0</formula>
    </cfRule>
  </conditionalFormatting>
  <conditionalFormatting sqref="M103:M108">
    <cfRule type="cellIs" dxfId="1251" priority="6998" operator="lessThan">
      <formula>0</formula>
    </cfRule>
  </conditionalFormatting>
  <conditionalFormatting sqref="M108 K108">
    <cfRule type="cellIs" dxfId="1250" priority="7865" operator="lessThan">
      <formula>0</formula>
    </cfRule>
  </conditionalFormatting>
  <conditionalFormatting sqref="M111:M112">
    <cfRule type="cellIs" dxfId="1249" priority="3144" operator="equal">
      <formula>0</formula>
    </cfRule>
    <cfRule type="cellIs" dxfId="1248" priority="3143" operator="lessThan">
      <formula>0</formula>
    </cfRule>
    <cfRule type="cellIs" priority="3147" operator="lessThan">
      <formula>0</formula>
    </cfRule>
    <cfRule type="cellIs" dxfId="1247" priority="3142" operator="greaterThan">
      <formula>0</formula>
    </cfRule>
    <cfRule type="cellIs" dxfId="1246" priority="3145" operator="greaterThan">
      <formula>0</formula>
    </cfRule>
  </conditionalFormatting>
  <conditionalFormatting sqref="M111:M113">
    <cfRule type="cellIs" dxfId="1245" priority="3146" operator="lessThan">
      <formula>0</formula>
    </cfRule>
  </conditionalFormatting>
  <conditionalFormatting sqref="M113 K113">
    <cfRule type="cellIs" dxfId="1244" priority="3151" operator="lessThan">
      <formula>0</formula>
    </cfRule>
  </conditionalFormatting>
  <conditionalFormatting sqref="M113 L111:L113 K113">
    <cfRule type="cellIs" dxfId="1243" priority="3103" operator="lessThan">
      <formula>0</formula>
    </cfRule>
  </conditionalFormatting>
  <conditionalFormatting sqref="M113">
    <cfRule type="cellIs" dxfId="1242" priority="3100" operator="lessThan">
      <formula>0</formula>
    </cfRule>
  </conditionalFormatting>
  <conditionalFormatting sqref="M122:M134">
    <cfRule type="cellIs" dxfId="1241" priority="6926" operator="lessThan">
      <formula>0</formula>
    </cfRule>
    <cfRule type="cellIs" dxfId="1240" priority="6924" operator="equal">
      <formula>0</formula>
    </cfRule>
    <cfRule type="cellIs" priority="6927" operator="lessThan">
      <formula>0</formula>
    </cfRule>
    <cfRule type="cellIs" dxfId="1239" priority="6925" operator="greaterThan">
      <formula>0</formula>
    </cfRule>
    <cfRule type="cellIs" dxfId="1238" priority="6922" operator="greaterThan">
      <formula>0</formula>
    </cfRule>
    <cfRule type="cellIs" dxfId="1237" priority="6923" operator="lessThan">
      <formula>0</formula>
    </cfRule>
  </conditionalFormatting>
  <conditionalFormatting sqref="M149:M151">
    <cfRule type="cellIs" priority="6885" operator="lessThan">
      <formula>0</formula>
    </cfRule>
    <cfRule type="cellIs" dxfId="1236" priority="6882" operator="equal">
      <formula>0</formula>
    </cfRule>
    <cfRule type="cellIs" dxfId="1235" priority="6884" operator="lessThan">
      <formula>0</formula>
    </cfRule>
    <cfRule type="cellIs" dxfId="1234" priority="6880" operator="greaterThan">
      <formula>0</formula>
    </cfRule>
    <cfRule type="cellIs" dxfId="1233" priority="6883" operator="greaterThan">
      <formula>0</formula>
    </cfRule>
    <cfRule type="cellIs" dxfId="1232" priority="6881" operator="lessThan">
      <formula>0</formula>
    </cfRule>
  </conditionalFormatting>
  <conditionalFormatting sqref="M161:M162">
    <cfRule type="cellIs" dxfId="1231" priority="2799" operator="greaterThan">
      <formula>0</formula>
    </cfRule>
    <cfRule type="cellIs" dxfId="1230" priority="2798" operator="equal">
      <formula>0</formula>
    </cfRule>
    <cfRule type="cellIs" dxfId="1229" priority="2797" operator="lessThan">
      <formula>0</formula>
    </cfRule>
    <cfRule type="cellIs" dxfId="1228" priority="2796" operator="greaterThan">
      <formula>0</formula>
    </cfRule>
    <cfRule type="cellIs" priority="2801" operator="lessThan">
      <formula>0</formula>
    </cfRule>
    <cfRule type="cellIs" dxfId="1227" priority="2800" operator="lessThan">
      <formula>0</formula>
    </cfRule>
  </conditionalFormatting>
  <conditionalFormatting sqref="M182:M184">
    <cfRule type="cellIs" dxfId="1226" priority="6730" operator="greaterThan">
      <formula>0</formula>
    </cfRule>
    <cfRule type="cellIs" dxfId="1225" priority="6731" operator="lessThan">
      <formula>0</formula>
    </cfRule>
    <cfRule type="cellIs" dxfId="1224" priority="6734" operator="lessThan">
      <formula>0</formula>
    </cfRule>
    <cfRule type="cellIs" dxfId="1223" priority="6733" operator="greaterThan">
      <formula>0</formula>
    </cfRule>
    <cfRule type="cellIs" dxfId="1222" priority="6732" operator="equal">
      <formula>0</formula>
    </cfRule>
    <cfRule type="cellIs" priority="6735" operator="lessThan">
      <formula>0</formula>
    </cfRule>
  </conditionalFormatting>
  <conditionalFormatting sqref="M188:M190">
    <cfRule type="cellIs" dxfId="1221" priority="6696" operator="equal">
      <formula>0</formula>
    </cfRule>
    <cfRule type="cellIs" dxfId="1220" priority="6697" operator="greaterThan">
      <formula>0</formula>
    </cfRule>
    <cfRule type="cellIs" priority="6699" operator="lessThan">
      <formula>0</formula>
    </cfRule>
    <cfRule type="cellIs" dxfId="1219" priority="6698" operator="lessThan">
      <formula>0</formula>
    </cfRule>
    <cfRule type="cellIs" dxfId="1218" priority="6695" operator="lessThan">
      <formula>0</formula>
    </cfRule>
    <cfRule type="cellIs" dxfId="1217" priority="6694" operator="greaterThan">
      <formula>0</formula>
    </cfRule>
  </conditionalFormatting>
  <conditionalFormatting sqref="O18:O28">
    <cfRule type="cellIs" priority="7361" operator="lessThan">
      <formula>0</formula>
    </cfRule>
    <cfRule type="cellIs" dxfId="1216" priority="7360" operator="lessThan">
      <formula>0</formula>
    </cfRule>
    <cfRule type="cellIs" dxfId="1215" priority="7359" operator="greaterThan">
      <formula>0</formula>
    </cfRule>
    <cfRule type="cellIs" dxfId="1214" priority="7358" operator="equal">
      <formula>0</formula>
    </cfRule>
    <cfRule type="cellIs" dxfId="1213" priority="7357" operator="lessThan">
      <formula>0</formula>
    </cfRule>
    <cfRule type="cellIs" dxfId="1212" priority="7356" operator="greaterThan">
      <formula>0</formula>
    </cfRule>
  </conditionalFormatting>
  <conditionalFormatting sqref="O32:O37">
    <cfRule type="cellIs" dxfId="1211" priority="4388" operator="lessThan">
      <formula>0</formula>
    </cfRule>
    <cfRule type="cellIs" dxfId="1210" priority="4387" operator="greaterThan">
      <formula>0</formula>
    </cfRule>
    <cfRule type="cellIs" dxfId="1209" priority="4386" operator="equal">
      <formula>0</formula>
    </cfRule>
    <cfRule type="cellIs" dxfId="1208" priority="4385" operator="lessThan">
      <formula>0</formula>
    </cfRule>
    <cfRule type="cellIs" dxfId="1207" priority="4384" operator="greaterThan">
      <formula>0</formula>
    </cfRule>
    <cfRule type="cellIs" priority="4389" operator="lessThan">
      <formula>0</formula>
    </cfRule>
  </conditionalFormatting>
  <conditionalFormatting sqref="O40:O41">
    <cfRule type="cellIs" dxfId="1206" priority="3765" operator="greaterThan">
      <formula>0</formula>
    </cfRule>
    <cfRule type="cellIs" dxfId="1205" priority="3767" operator="equal">
      <formula>0</formula>
    </cfRule>
    <cfRule type="cellIs" dxfId="1204" priority="3768" operator="greaterThan">
      <formula>0</formula>
    </cfRule>
    <cfRule type="cellIs" priority="3770" operator="lessThan">
      <formula>0</formula>
    </cfRule>
    <cfRule type="cellIs" dxfId="1203" priority="3766" operator="lessThan">
      <formula>0</formula>
    </cfRule>
  </conditionalFormatting>
  <conditionalFormatting sqref="O40:O43">
    <cfRule type="cellIs" dxfId="1202" priority="3769" operator="lessThan">
      <formula>0</formula>
    </cfRule>
  </conditionalFormatting>
  <conditionalFormatting sqref="O42:O43 Q42:Q43">
    <cfRule type="cellIs" dxfId="1201" priority="3780" operator="lessThan">
      <formula>0</formula>
    </cfRule>
    <cfRule type="cellIs" dxfId="1200" priority="3779" operator="lessThan">
      <formula>0</formula>
    </cfRule>
  </conditionalFormatting>
  <conditionalFormatting sqref="O44">
    <cfRule type="cellIs" priority="3764" operator="lessThan">
      <formula>0</formula>
    </cfRule>
    <cfRule type="cellIs" dxfId="1199" priority="3763" operator="lessThan">
      <formula>0</formula>
    </cfRule>
    <cfRule type="cellIs" dxfId="1198" priority="3762" operator="greaterThan">
      <formula>0</formula>
    </cfRule>
    <cfRule type="cellIs" dxfId="1197" priority="3761" operator="equal">
      <formula>0</formula>
    </cfRule>
    <cfRule type="cellIs" dxfId="1196" priority="3760" operator="lessThan">
      <formula>0</formula>
    </cfRule>
    <cfRule type="cellIs" dxfId="1195" priority="3759" operator="greaterThan">
      <formula>0</formula>
    </cfRule>
  </conditionalFormatting>
  <conditionalFormatting sqref="O45">
    <cfRule type="cellIs" dxfId="1194" priority="1687" operator="lessThan">
      <formula>0</formula>
    </cfRule>
    <cfRule type="cellIs" dxfId="1193" priority="1686" operator="lessThan">
      <formula>0</formula>
    </cfRule>
    <cfRule type="cellIs" dxfId="1192" priority="1685" operator="lessThan">
      <formula>0</formula>
    </cfRule>
    <cfRule type="cellIs" dxfId="1191" priority="1680" operator="lessThan">
      <formula>0</formula>
    </cfRule>
  </conditionalFormatting>
  <conditionalFormatting sqref="O49:O52">
    <cfRule type="cellIs" dxfId="1190" priority="3703" operator="greaterThan">
      <formula>0</formula>
    </cfRule>
    <cfRule type="cellIs" priority="3705" operator="lessThan">
      <formula>0</formula>
    </cfRule>
    <cfRule type="cellIs" dxfId="1189" priority="3704" operator="lessThan">
      <formula>0</formula>
    </cfRule>
    <cfRule type="cellIs" dxfId="1188" priority="3700" operator="greaterThan">
      <formula>0</formula>
    </cfRule>
    <cfRule type="cellIs" dxfId="1187" priority="3701" operator="lessThan">
      <formula>0</formula>
    </cfRule>
    <cfRule type="cellIs" dxfId="1186" priority="3702" operator="equal">
      <formula>0</formula>
    </cfRule>
  </conditionalFormatting>
  <conditionalFormatting sqref="O56:O64">
    <cfRule type="cellIs" dxfId="1185" priority="3628" operator="greaterThan">
      <formula>0</formula>
    </cfRule>
    <cfRule type="cellIs" dxfId="1184" priority="3629" operator="lessThan">
      <formula>0</formula>
    </cfRule>
    <cfRule type="cellIs" dxfId="1183" priority="3630" operator="equal">
      <formula>0</formula>
    </cfRule>
    <cfRule type="cellIs" dxfId="1182" priority="3632" operator="lessThan">
      <formula>0</formula>
    </cfRule>
    <cfRule type="cellIs" priority="3633" operator="lessThan">
      <formula>0</formula>
    </cfRule>
    <cfRule type="cellIs" dxfId="1181" priority="3631" operator="greaterThan">
      <formula>0</formula>
    </cfRule>
  </conditionalFormatting>
  <conditionalFormatting sqref="O68">
    <cfRule type="cellIs" priority="3557" operator="lessThan">
      <formula>0</formula>
    </cfRule>
    <cfRule type="cellIs" dxfId="1180" priority="3553" operator="lessThan">
      <formula>0</formula>
    </cfRule>
    <cfRule type="cellIs" dxfId="1179" priority="3554" operator="equal">
      <formula>0</formula>
    </cfRule>
    <cfRule type="cellIs" dxfId="1178" priority="3555" operator="greaterThan">
      <formula>0</formula>
    </cfRule>
    <cfRule type="cellIs" dxfId="1177" priority="3552" operator="greaterThan">
      <formula>0</formula>
    </cfRule>
    <cfRule type="cellIs" dxfId="1176" priority="3556" operator="lessThan">
      <formula>0</formula>
    </cfRule>
  </conditionalFormatting>
  <conditionalFormatting sqref="O71:O72">
    <cfRule type="cellIs" dxfId="1175" priority="3499" operator="lessThan">
      <formula>0</formula>
    </cfRule>
    <cfRule type="cellIs" dxfId="1174" priority="3501" operator="greaterThan">
      <formula>0</formula>
    </cfRule>
    <cfRule type="cellIs" dxfId="1173" priority="3502" operator="lessThan">
      <formula>0</formula>
    </cfRule>
    <cfRule type="cellIs" dxfId="1172" priority="3498" operator="greaterThan">
      <formula>0</formula>
    </cfRule>
    <cfRule type="cellIs" dxfId="1171" priority="3500" operator="equal">
      <formula>0</formula>
    </cfRule>
    <cfRule type="cellIs" priority="3503" operator="lessThan">
      <formula>0</formula>
    </cfRule>
  </conditionalFormatting>
  <conditionalFormatting sqref="O73 Q73">
    <cfRule type="cellIs" dxfId="1170" priority="3456" operator="lessThan">
      <formula>0</formula>
    </cfRule>
    <cfRule type="cellIs" dxfId="1169" priority="3460" operator="lessThan">
      <formula>0</formula>
    </cfRule>
    <cfRule type="cellIs" dxfId="1168" priority="3461" operator="lessThan">
      <formula>0</formula>
    </cfRule>
    <cfRule type="cellIs" dxfId="1167" priority="3459" operator="lessThan">
      <formula>0</formula>
    </cfRule>
  </conditionalFormatting>
  <conditionalFormatting sqref="O74">
    <cfRule type="cellIs" dxfId="1166" priority="7075" operator="greaterThan">
      <formula>0</formula>
    </cfRule>
    <cfRule type="cellIs" dxfId="1165" priority="7076" operator="lessThan">
      <formula>0</formula>
    </cfRule>
    <cfRule type="cellIs" dxfId="1164" priority="7072" operator="greaterThan">
      <formula>0</formula>
    </cfRule>
    <cfRule type="cellIs" dxfId="1163" priority="7073" operator="lessThan">
      <formula>0</formula>
    </cfRule>
    <cfRule type="cellIs" dxfId="1162" priority="7074" operator="equal">
      <formula>0</formula>
    </cfRule>
    <cfRule type="cellIs" priority="7077" operator="lessThan">
      <formula>0</formula>
    </cfRule>
  </conditionalFormatting>
  <conditionalFormatting sqref="O75 Q75">
    <cfRule type="cellIs" dxfId="1161" priority="3414" operator="lessThan">
      <formula>0</formula>
    </cfRule>
    <cfRule type="cellIs" dxfId="1160" priority="3415" operator="lessThan">
      <formula>0</formula>
    </cfRule>
    <cfRule type="cellIs" dxfId="1159" priority="3410" operator="lessThan">
      <formula>0</formula>
    </cfRule>
    <cfRule type="cellIs" dxfId="1158" priority="3413" operator="lessThan">
      <formula>0</formula>
    </cfRule>
  </conditionalFormatting>
  <conditionalFormatting sqref="O96:O99">
    <cfRule type="cellIs" dxfId="1157" priority="3238" operator="lessThan">
      <formula>0</formula>
    </cfRule>
    <cfRule type="cellIs" dxfId="1156" priority="3239" operator="equal">
      <formula>0</formula>
    </cfRule>
    <cfRule type="cellIs" priority="3241" operator="lessThan">
      <formula>0</formula>
    </cfRule>
    <cfRule type="cellIs" dxfId="1155" priority="3236" operator="greaterThan">
      <formula>0</formula>
    </cfRule>
    <cfRule type="cellIs" dxfId="1154" priority="3237" operator="lessThan">
      <formula>0</formula>
    </cfRule>
    <cfRule type="cellIs" dxfId="1153" priority="3240" operator="greaterThan">
      <formula>0</formula>
    </cfRule>
  </conditionalFormatting>
  <conditionalFormatting sqref="O103:O107">
    <cfRule type="cellIs" priority="3175" operator="lessThan">
      <formula>0</formula>
    </cfRule>
    <cfRule type="cellIs" dxfId="1152" priority="3170" operator="greaterThan">
      <formula>0</formula>
    </cfRule>
    <cfRule type="cellIs" dxfId="1151" priority="3171" operator="lessThan">
      <formula>0</formula>
    </cfRule>
    <cfRule type="cellIs" dxfId="1150" priority="3172" operator="equal">
      <formula>0</formula>
    </cfRule>
    <cfRule type="cellIs" dxfId="1149" priority="3173" operator="greaterThan">
      <formula>0</formula>
    </cfRule>
  </conditionalFormatting>
  <conditionalFormatting sqref="O103:O108">
    <cfRule type="cellIs" dxfId="1148" priority="3174" operator="lessThan">
      <formula>0</formula>
    </cfRule>
  </conditionalFormatting>
  <conditionalFormatting sqref="O108 P103:P108 Q108">
    <cfRule type="cellIs" dxfId="1147" priority="3161" operator="lessThan">
      <formula>0</formula>
    </cfRule>
  </conditionalFormatting>
  <conditionalFormatting sqref="O108 Q108">
    <cfRule type="cellIs" dxfId="1146" priority="3198" operator="lessThan">
      <formula>0</formula>
    </cfRule>
    <cfRule type="cellIs" dxfId="1145" priority="3199" operator="lessThan">
      <formula>0</formula>
    </cfRule>
  </conditionalFormatting>
  <conditionalFormatting sqref="O108">
    <cfRule type="cellIs" dxfId="1144" priority="3158" operator="lessThan">
      <formula>0</formula>
    </cfRule>
  </conditionalFormatting>
  <conditionalFormatting sqref="O111:O112">
    <cfRule type="cellIs" dxfId="1143" priority="3077" operator="lessThan">
      <formula>0</formula>
    </cfRule>
    <cfRule type="cellIs" priority="3081" operator="lessThan">
      <formula>0</formula>
    </cfRule>
    <cfRule type="cellIs" dxfId="1142" priority="3078" operator="equal">
      <formula>0</formula>
    </cfRule>
    <cfRule type="cellIs" dxfId="1141" priority="3079" operator="greaterThan">
      <formula>0</formula>
    </cfRule>
    <cfRule type="cellIs" dxfId="1140" priority="3076" operator="greaterThan">
      <formula>0</formula>
    </cfRule>
  </conditionalFormatting>
  <conditionalFormatting sqref="O111:O113">
    <cfRule type="cellIs" dxfId="1139" priority="3080" operator="lessThan">
      <formula>0</formula>
    </cfRule>
  </conditionalFormatting>
  <conditionalFormatting sqref="O113 P111:P113 Q113">
    <cfRule type="cellIs" dxfId="1138" priority="3067" operator="lessThan">
      <formula>0</formula>
    </cfRule>
  </conditionalFormatting>
  <conditionalFormatting sqref="O113 Q113">
    <cfRule type="cellIs" dxfId="1137" priority="3099" operator="lessThan">
      <formula>0</formula>
    </cfRule>
    <cfRule type="cellIs" dxfId="1136" priority="3098" operator="lessThan">
      <formula>0</formula>
    </cfRule>
  </conditionalFormatting>
  <conditionalFormatting sqref="O113">
    <cfRule type="cellIs" dxfId="1135" priority="3064" operator="lessThan">
      <formula>0</formula>
    </cfRule>
  </conditionalFormatting>
  <conditionalFormatting sqref="O122:O134">
    <cfRule type="cellIs" dxfId="1134" priority="6916" operator="greaterThan">
      <formula>0</formula>
    </cfRule>
    <cfRule type="cellIs" dxfId="1133" priority="6917" operator="lessThan">
      <formula>0</formula>
    </cfRule>
    <cfRule type="cellIs" dxfId="1132" priority="6919" operator="greaterThan">
      <formula>0</formula>
    </cfRule>
    <cfRule type="cellIs" dxfId="1131" priority="6918" operator="equal">
      <formula>0</formula>
    </cfRule>
    <cfRule type="cellIs" priority="6921" operator="lessThan">
      <formula>0</formula>
    </cfRule>
    <cfRule type="cellIs" dxfId="1130" priority="6920" operator="lessThan">
      <formula>0</formula>
    </cfRule>
  </conditionalFormatting>
  <conditionalFormatting sqref="O135 Q135">
    <cfRule type="cellIs" dxfId="1129" priority="2968" operator="lessThan">
      <formula>0</formula>
    </cfRule>
    <cfRule type="cellIs" dxfId="1128" priority="2973" operator="lessThan">
      <formula>0</formula>
    </cfRule>
    <cfRule type="cellIs" dxfId="1127" priority="2972" operator="lessThan">
      <formula>0</formula>
    </cfRule>
    <cfRule type="cellIs" dxfId="1126" priority="2971" operator="lessThan">
      <formula>0</formula>
    </cfRule>
  </conditionalFormatting>
  <conditionalFormatting sqref="O139 Q139">
    <cfRule type="cellIs" dxfId="1125" priority="2910" operator="lessThan">
      <formula>0</formula>
    </cfRule>
    <cfRule type="cellIs" dxfId="1124" priority="2913" operator="lessThan">
      <formula>0</formula>
    </cfRule>
    <cfRule type="cellIs" dxfId="1123" priority="2914" operator="lessThan">
      <formula>0</formula>
    </cfRule>
    <cfRule type="cellIs" dxfId="1122" priority="2915" operator="lessThan">
      <formula>0</formula>
    </cfRule>
  </conditionalFormatting>
  <conditionalFormatting sqref="O149:O151">
    <cfRule type="cellIs" dxfId="1121" priority="6878" operator="lessThan">
      <formula>0</formula>
    </cfRule>
    <cfRule type="cellIs" priority="6879" operator="lessThan">
      <formula>0</formula>
    </cfRule>
    <cfRule type="cellIs" dxfId="1120" priority="6877" operator="greaterThan">
      <formula>0</formula>
    </cfRule>
    <cfRule type="cellIs" dxfId="1119" priority="6876" operator="equal">
      <formula>0</formula>
    </cfRule>
    <cfRule type="cellIs" dxfId="1118" priority="6875" operator="lessThan">
      <formula>0</formula>
    </cfRule>
    <cfRule type="cellIs" dxfId="1117" priority="6874" operator="greaterThan">
      <formula>0</formula>
    </cfRule>
  </conditionalFormatting>
  <conditionalFormatting sqref="O161:O162">
    <cfRule type="cellIs" dxfId="1116" priority="2794" operator="lessThan">
      <formula>0</formula>
    </cfRule>
    <cfRule type="cellIs" dxfId="1115" priority="2793" operator="greaterThan">
      <formula>0</formula>
    </cfRule>
    <cfRule type="cellIs" dxfId="1114" priority="2792" operator="equal">
      <formula>0</formula>
    </cfRule>
    <cfRule type="cellIs" priority="2795" operator="lessThan">
      <formula>0</formula>
    </cfRule>
    <cfRule type="cellIs" dxfId="1113" priority="2790" operator="greaterThan">
      <formula>0</formula>
    </cfRule>
    <cfRule type="cellIs" dxfId="1112" priority="2791" operator="lessThan">
      <formula>0</formula>
    </cfRule>
  </conditionalFormatting>
  <conditionalFormatting sqref="O174">
    <cfRule type="cellIs" dxfId="1111" priority="2692" operator="greaterThan">
      <formula>0</formula>
    </cfRule>
    <cfRule type="cellIs" dxfId="1110" priority="2693" operator="lessThan">
      <formula>0</formula>
    </cfRule>
    <cfRule type="cellIs" dxfId="1109" priority="2694" operator="lessThan">
      <formula>0</formula>
    </cfRule>
    <cfRule type="cellIs" dxfId="1108" priority="2695" operator="lessThan">
      <formula>0</formula>
    </cfRule>
    <cfRule type="cellIs" dxfId="1107" priority="2696" operator="lessThan">
      <formula>0</formula>
    </cfRule>
    <cfRule type="cellIs" dxfId="1106" priority="2700" operator="lessThan">
      <formula>0</formula>
    </cfRule>
    <cfRule type="cellIs" dxfId="1105" priority="2701" operator="lessThan">
      <formula>0</formula>
    </cfRule>
    <cfRule type="cellIs" dxfId="1104" priority="2699" operator="lessThan">
      <formula>0</formula>
    </cfRule>
    <cfRule type="cellIs" dxfId="1103" priority="2691" operator="greaterThan">
      <formula>0</formula>
    </cfRule>
    <cfRule type="cellIs" dxfId="1102" priority="2690" operator="lessThan">
      <formula>0</formula>
    </cfRule>
  </conditionalFormatting>
  <conditionalFormatting sqref="O176">
    <cfRule type="cellIs" dxfId="1101" priority="6758" operator="lessThan">
      <formula>0</formula>
    </cfRule>
    <cfRule type="cellIs" dxfId="1100" priority="6754" operator="greaterThan">
      <formula>0</formula>
    </cfRule>
    <cfRule type="cellIs" dxfId="1099" priority="6757" operator="greaterThan">
      <formula>0</formula>
    </cfRule>
    <cfRule type="cellIs" dxfId="1098" priority="6756" operator="equal">
      <formula>0</formula>
    </cfRule>
    <cfRule type="cellIs" priority="6759" operator="lessThan">
      <formula>0</formula>
    </cfRule>
    <cfRule type="cellIs" dxfId="1097" priority="6755" operator="lessThan">
      <formula>0</formula>
    </cfRule>
  </conditionalFormatting>
  <conditionalFormatting sqref="O178">
    <cfRule type="cellIs" dxfId="1096" priority="2655" operator="lessThan">
      <formula>0</formula>
    </cfRule>
    <cfRule type="cellIs" dxfId="1095" priority="2654" operator="lessThan">
      <formula>0</formula>
    </cfRule>
    <cfRule type="cellIs" dxfId="1094" priority="2653" operator="lessThan">
      <formula>0</formula>
    </cfRule>
    <cfRule type="cellIs" dxfId="1093" priority="2652" operator="greaterThan">
      <formula>0</formula>
    </cfRule>
    <cfRule type="cellIs" dxfId="1092" priority="2651" operator="greaterThan">
      <formula>0</formula>
    </cfRule>
    <cfRule type="cellIs" dxfId="1091" priority="2650" operator="lessThan">
      <formula>0</formula>
    </cfRule>
    <cfRule type="cellIs" dxfId="1090" priority="2660" operator="lessThan">
      <formula>0</formula>
    </cfRule>
    <cfRule type="cellIs" dxfId="1089" priority="2661" operator="lessThan">
      <formula>0</formula>
    </cfRule>
    <cfRule type="cellIs" dxfId="1088" priority="2659" operator="lessThan">
      <formula>0</formula>
    </cfRule>
    <cfRule type="cellIs" dxfId="1087" priority="2656" operator="lessThan">
      <formula>0</formula>
    </cfRule>
  </conditionalFormatting>
  <conditionalFormatting sqref="O182:O184">
    <cfRule type="cellIs" dxfId="1086" priority="6725" operator="lessThan">
      <formula>0</formula>
    </cfRule>
    <cfRule type="cellIs" dxfId="1085" priority="6724" operator="greaterThan">
      <formula>0</formula>
    </cfRule>
    <cfRule type="cellIs" dxfId="1084" priority="6726" operator="equal">
      <formula>0</formula>
    </cfRule>
    <cfRule type="cellIs" dxfId="1083" priority="6727" operator="greaterThan">
      <formula>0</formula>
    </cfRule>
    <cfRule type="cellIs" dxfId="1082" priority="6728" operator="lessThan">
      <formula>0</formula>
    </cfRule>
    <cfRule type="cellIs" priority="6729" operator="lessThan">
      <formula>0</formula>
    </cfRule>
  </conditionalFormatting>
  <conditionalFormatting sqref="O188:O190">
    <cfRule type="cellIs" priority="6693" operator="lessThan">
      <formula>0</formula>
    </cfRule>
    <cfRule type="cellIs" dxfId="1081" priority="6689" operator="lessThan">
      <formula>0</formula>
    </cfRule>
    <cfRule type="cellIs" dxfId="1080" priority="6691" operator="greaterThan">
      <formula>0</formula>
    </cfRule>
    <cfRule type="cellIs" dxfId="1079" priority="6688" operator="greaterThan">
      <formula>0</formula>
    </cfRule>
    <cfRule type="cellIs" dxfId="1078" priority="6690" operator="equal">
      <formula>0</formula>
    </cfRule>
  </conditionalFormatting>
  <conditionalFormatting sqref="O188:O191">
    <cfRule type="cellIs" dxfId="1077" priority="6692" operator="lessThan">
      <formula>0</formula>
    </cfRule>
  </conditionalFormatting>
  <conditionalFormatting sqref="O191 Q191">
    <cfRule type="cellIs" dxfId="1076" priority="7741" operator="lessThan">
      <formula>0</formula>
    </cfRule>
    <cfRule type="cellIs" dxfId="1075" priority="7739" operator="lessThan">
      <formula>0</formula>
    </cfRule>
    <cfRule type="cellIs" dxfId="1074" priority="7740" operator="lessThan">
      <formula>0</formula>
    </cfRule>
  </conditionalFormatting>
  <conditionalFormatting sqref="O84:P84">
    <cfRule type="cellIs" dxfId="1073" priority="3331" operator="lessThan">
      <formula>0</formula>
    </cfRule>
    <cfRule type="cellIs" dxfId="1072" priority="3330" operator="lessThan">
      <formula>0</formula>
    </cfRule>
    <cfRule type="cellIs" dxfId="1071" priority="3329" operator="lessThan">
      <formula>0</formula>
    </cfRule>
    <cfRule type="cellIs" dxfId="1070" priority="3326" operator="lessThan">
      <formula>0</formula>
    </cfRule>
    <cfRule type="cellIs" dxfId="1069" priority="3325" operator="lessThan">
      <formula>0</formula>
    </cfRule>
    <cfRule type="cellIs" dxfId="1068" priority="3324" operator="lessThan">
      <formula>0</formula>
    </cfRule>
    <cfRule type="cellIs" dxfId="1067" priority="3323" operator="lessThan">
      <formula>0</formula>
    </cfRule>
    <cfRule type="cellIs" dxfId="1066" priority="3322" operator="greaterThan">
      <formula>0</formula>
    </cfRule>
    <cfRule type="cellIs" dxfId="1065" priority="3321" operator="greaterThan">
      <formula>0</formula>
    </cfRule>
    <cfRule type="cellIs" dxfId="1064" priority="3320" operator="lessThan">
      <formula>0</formula>
    </cfRule>
  </conditionalFormatting>
  <conditionalFormatting sqref="O88:P88">
    <cfRule type="cellIs" dxfId="1063" priority="3293" operator="lessThan">
      <formula>0</formula>
    </cfRule>
    <cfRule type="cellIs" dxfId="1062" priority="3290" operator="lessThan">
      <formula>0</formula>
    </cfRule>
    <cfRule type="cellIs" dxfId="1061" priority="3294" operator="lessThan">
      <formula>0</formula>
    </cfRule>
    <cfRule type="cellIs" dxfId="1060" priority="3295" operator="lessThan">
      <formula>0</formula>
    </cfRule>
    <cfRule type="cellIs" dxfId="1059" priority="3287" operator="lessThan">
      <formula>0</formula>
    </cfRule>
    <cfRule type="cellIs" dxfId="1058" priority="3288" operator="lessThan">
      <formula>0</formula>
    </cfRule>
    <cfRule type="cellIs" dxfId="1057" priority="3289" operator="lessThan">
      <formula>0</formula>
    </cfRule>
    <cfRule type="cellIs" dxfId="1056" priority="3286" operator="greaterThan">
      <formula>0</formula>
    </cfRule>
    <cfRule type="cellIs" dxfId="1055" priority="3285" operator="greaterThan">
      <formula>0</formula>
    </cfRule>
    <cfRule type="cellIs" dxfId="1054" priority="3284" operator="lessThan">
      <formula>0</formula>
    </cfRule>
  </conditionalFormatting>
  <conditionalFormatting sqref="O142:P142">
    <cfRule type="cellIs" dxfId="1053" priority="2861" operator="lessThan">
      <formula>0</formula>
    </cfRule>
    <cfRule type="cellIs" dxfId="1052" priority="2860" operator="lessThan">
      <formula>0</formula>
    </cfRule>
    <cfRule type="cellIs" dxfId="1051" priority="2859" operator="lessThan">
      <formula>0</formula>
    </cfRule>
    <cfRule type="cellIs" dxfId="1050" priority="2856" operator="lessThan">
      <formula>0</formula>
    </cfRule>
    <cfRule type="cellIs" dxfId="1049" priority="2855" operator="lessThan">
      <formula>0</formula>
    </cfRule>
    <cfRule type="cellIs" dxfId="1048" priority="2854" operator="lessThan">
      <formula>0</formula>
    </cfRule>
    <cfRule type="cellIs" dxfId="1047" priority="2853" operator="lessThan">
      <formula>0</formula>
    </cfRule>
    <cfRule type="cellIs" dxfId="1046" priority="2852" operator="greaterThan">
      <formula>0</formula>
    </cfRule>
    <cfRule type="cellIs" dxfId="1045" priority="2851" operator="greaterThan">
      <formula>0</formula>
    </cfRule>
    <cfRule type="cellIs" dxfId="1044" priority="2850" operator="lessThan">
      <formula>0</formula>
    </cfRule>
  </conditionalFormatting>
  <conditionalFormatting sqref="O145:P145">
    <cfRule type="cellIs" dxfId="1043" priority="2843" operator="lessThan">
      <formula>0</formula>
    </cfRule>
    <cfRule type="cellIs" dxfId="1042" priority="2839" operator="greaterThan">
      <formula>0</formula>
    </cfRule>
    <cfRule type="cellIs" dxfId="1041" priority="2842" operator="lessThan">
      <formula>0</formula>
    </cfRule>
    <cfRule type="cellIs" dxfId="1040" priority="2838" operator="lessThan">
      <formula>0</formula>
    </cfRule>
    <cfRule type="cellIs" dxfId="1039" priority="2849" operator="lessThan">
      <formula>0</formula>
    </cfRule>
    <cfRule type="cellIs" dxfId="1038" priority="2848" operator="lessThan">
      <formula>0</formula>
    </cfRule>
    <cfRule type="cellIs" dxfId="1037" priority="2847" operator="lessThan">
      <formula>0</formula>
    </cfRule>
    <cfRule type="cellIs" dxfId="1036" priority="2844" operator="lessThan">
      <formula>0</formula>
    </cfRule>
    <cfRule type="cellIs" dxfId="1035" priority="2841" operator="lessThan">
      <formula>0</formula>
    </cfRule>
    <cfRule type="cellIs" dxfId="1034" priority="2840" operator="greaterThan">
      <formula>0</formula>
    </cfRule>
  </conditionalFormatting>
  <conditionalFormatting sqref="O156:P157">
    <cfRule type="cellIs" dxfId="1033" priority="6854" operator="lessThan">
      <formula>0</formula>
    </cfRule>
    <cfRule type="cellIs" dxfId="1032" priority="6850" operator="greaterThan">
      <formula>0</formula>
    </cfRule>
    <cfRule type="cellIs" dxfId="1031" priority="6851" operator="lessThan">
      <formula>0</formula>
    </cfRule>
    <cfRule type="cellIs" dxfId="1030" priority="6852" operator="equal">
      <formula>0</formula>
    </cfRule>
    <cfRule type="cellIs" priority="6855" operator="lessThan">
      <formula>0</formula>
    </cfRule>
    <cfRule type="cellIs" dxfId="1029" priority="6853" operator="greaterThan">
      <formula>0</formula>
    </cfRule>
  </conditionalFormatting>
  <conditionalFormatting sqref="O167:P167">
    <cfRule type="cellIs" dxfId="1028" priority="6788" operator="lessThan">
      <formula>0</formula>
    </cfRule>
    <cfRule type="cellIs" dxfId="1027" priority="6784" operator="greaterThan">
      <formula>0</formula>
    </cfRule>
    <cfRule type="cellIs" dxfId="1026" priority="6785" operator="lessThan">
      <formula>0</formula>
    </cfRule>
    <cfRule type="cellIs" dxfId="1025" priority="6787" operator="greaterThan">
      <formula>0</formula>
    </cfRule>
    <cfRule type="cellIs" dxfId="1024" priority="6786" operator="equal">
      <formula>0</formula>
    </cfRule>
    <cfRule type="cellIs" priority="6789" operator="lessThan">
      <formula>0</formula>
    </cfRule>
  </conditionalFormatting>
  <conditionalFormatting sqref="O169:P169">
    <cfRule type="cellIs" dxfId="1023" priority="6778" operator="greaterThan">
      <formula>0</formula>
    </cfRule>
    <cfRule type="cellIs" dxfId="1022" priority="6779" operator="lessThan">
      <formula>0</formula>
    </cfRule>
    <cfRule type="cellIs" dxfId="1021" priority="6780" operator="equal">
      <formula>0</formula>
    </cfRule>
    <cfRule type="cellIs" dxfId="1020" priority="6781" operator="greaterThan">
      <formula>0</formula>
    </cfRule>
    <cfRule type="cellIs" dxfId="1019" priority="6782" operator="lessThan">
      <formula>0</formula>
    </cfRule>
    <cfRule type="cellIs" priority="6783" operator="lessThan">
      <formula>0</formula>
    </cfRule>
  </conditionalFormatting>
  <conditionalFormatting sqref="O196:P196">
    <cfRule type="cellIs" dxfId="1018" priority="2540" operator="lessThan">
      <formula>0</formula>
    </cfRule>
    <cfRule type="cellIs" dxfId="1017" priority="2541" operator="lessThan">
      <formula>0</formula>
    </cfRule>
    <cfRule type="cellIs" dxfId="1016" priority="2539" operator="lessThan">
      <formula>0</formula>
    </cfRule>
    <cfRule type="cellIs" dxfId="1015" priority="2536" operator="lessThan">
      <formula>0</formula>
    </cfRule>
    <cfRule type="cellIs" dxfId="1014" priority="2535" operator="lessThan">
      <formula>0</formula>
    </cfRule>
    <cfRule type="cellIs" dxfId="1013" priority="2534" operator="lessThan">
      <formula>0</formula>
    </cfRule>
    <cfRule type="cellIs" dxfId="1012" priority="2533" operator="lessThan">
      <formula>0</formula>
    </cfRule>
    <cfRule type="cellIs" dxfId="1011" priority="2530" operator="lessThan">
      <formula>0</formula>
    </cfRule>
    <cfRule type="cellIs" dxfId="1010" priority="2529" operator="lessThan">
      <formula>0</formula>
    </cfRule>
    <cfRule type="cellIs" dxfId="1009" priority="2528" operator="lessThan">
      <formula>0</formula>
    </cfRule>
    <cfRule type="cellIs" dxfId="1008" priority="2527" operator="lessThan">
      <formula>0</formula>
    </cfRule>
    <cfRule type="cellIs" dxfId="1007" priority="2526" operator="greaterThan">
      <formula>0</formula>
    </cfRule>
    <cfRule type="cellIs" dxfId="1006" priority="2525" operator="greaterThan">
      <formula>0</formula>
    </cfRule>
    <cfRule type="cellIs" dxfId="1005" priority="2524" operator="lessThan">
      <formula>0</formula>
    </cfRule>
  </conditionalFormatting>
  <conditionalFormatting sqref="O197:P198">
    <cfRule type="cellIs" dxfId="1004" priority="6659" operator="lessThan">
      <formula>0</formula>
    </cfRule>
    <cfRule type="cellIs" priority="6663" operator="lessThan">
      <formula>0</formula>
    </cfRule>
    <cfRule type="cellIs" dxfId="1003" priority="6658" operator="greaterThan">
      <formula>0</formula>
    </cfRule>
    <cfRule type="cellIs" dxfId="1002" priority="6662" operator="lessThan">
      <formula>0</formula>
    </cfRule>
    <cfRule type="cellIs" dxfId="1001" priority="6661" operator="greaterThan">
      <formula>0</formula>
    </cfRule>
    <cfRule type="cellIs" dxfId="1000" priority="6660" operator="equal">
      <formula>0</formula>
    </cfRule>
  </conditionalFormatting>
  <conditionalFormatting sqref="O205:P294">
    <cfRule type="cellIs" priority="11105" operator="lessThan">
      <formula>0</formula>
    </cfRule>
    <cfRule type="cellIs" dxfId="999" priority="11102" operator="equal">
      <formula>0</formula>
    </cfRule>
    <cfRule type="cellIs" dxfId="998" priority="11103" operator="greaterThan">
      <formula>0</formula>
    </cfRule>
    <cfRule type="cellIs" dxfId="997" priority="11104" operator="lessThan">
      <formula>0</formula>
    </cfRule>
  </conditionalFormatting>
  <conditionalFormatting sqref="O29:Q29">
    <cfRule type="cellIs" dxfId="996" priority="4346" operator="lessThan">
      <formula>0</formula>
    </cfRule>
    <cfRule type="cellIs" dxfId="995" priority="4347" operator="lessThan">
      <formula>0</formula>
    </cfRule>
    <cfRule type="cellIs" dxfId="994" priority="4342" operator="lessThan">
      <formula>0</formula>
    </cfRule>
    <cfRule type="cellIs" dxfId="993" priority="4343" operator="greaterThan">
      <formula>0</formula>
    </cfRule>
    <cfRule type="cellIs" dxfId="992" priority="4344" operator="greaterThan">
      <formula>0</formula>
    </cfRule>
    <cfRule type="cellIs" dxfId="991" priority="4345" operator="lessThan">
      <formula>0</formula>
    </cfRule>
  </conditionalFormatting>
  <conditionalFormatting sqref="O45:Q45">
    <cfRule type="cellIs" dxfId="990" priority="1674" operator="lessThan">
      <formula>0</formula>
    </cfRule>
    <cfRule type="cellIs" dxfId="989" priority="1675" operator="greaterThan">
      <formula>0</formula>
    </cfRule>
    <cfRule type="cellIs" dxfId="988" priority="1676" operator="greaterThan">
      <formula>0</formula>
    </cfRule>
    <cfRule type="cellIs" dxfId="987" priority="1677" operator="lessThan">
      <formula>0</formula>
    </cfRule>
    <cfRule type="cellIs" dxfId="986" priority="1678" operator="lessThan">
      <formula>0</formula>
    </cfRule>
    <cfRule type="cellIs" dxfId="985" priority="1679" operator="lessThan">
      <formula>0</formula>
    </cfRule>
  </conditionalFormatting>
  <conditionalFormatting sqref="O53:Q53">
    <cfRule type="cellIs" dxfId="984" priority="3677" operator="greaterThan">
      <formula>0</formula>
    </cfRule>
    <cfRule type="cellIs" dxfId="983" priority="3676" operator="lessThan">
      <formula>0</formula>
    </cfRule>
    <cfRule type="cellIs" dxfId="982" priority="3678" operator="greaterThan">
      <formula>0</formula>
    </cfRule>
    <cfRule type="cellIs" dxfId="981" priority="3679" operator="lessThan">
      <formula>0</formula>
    </cfRule>
    <cfRule type="cellIs" dxfId="980" priority="3680" operator="lessThan">
      <formula>0</formula>
    </cfRule>
    <cfRule type="cellIs" dxfId="979" priority="3681" operator="lessThan">
      <formula>0</formula>
    </cfRule>
  </conditionalFormatting>
  <conditionalFormatting sqref="O65:Q65">
    <cfRule type="cellIs" dxfId="978" priority="3603" operator="lessThan">
      <formula>0</formula>
    </cfRule>
    <cfRule type="cellIs" dxfId="977" priority="3601" operator="greaterThan">
      <formula>0</formula>
    </cfRule>
    <cfRule type="cellIs" dxfId="976" priority="3600" operator="lessThan">
      <formula>0</formula>
    </cfRule>
    <cfRule type="cellIs" dxfId="975" priority="3605" operator="lessThan">
      <formula>0</formula>
    </cfRule>
    <cfRule type="cellIs" dxfId="974" priority="3602" operator="greaterThan">
      <formula>0</formula>
    </cfRule>
    <cfRule type="cellIs" dxfId="973" priority="3604" operator="lessThan">
      <formula>0</formula>
    </cfRule>
  </conditionalFormatting>
  <conditionalFormatting sqref="O73:Q73">
    <cfRule type="cellIs" dxfId="972" priority="3465" operator="lessThan">
      <formula>0</formula>
    </cfRule>
    <cfRule type="cellIs" dxfId="971" priority="3454" operator="lessThan">
      <formula>0</formula>
    </cfRule>
    <cfRule type="cellIs" dxfId="970" priority="3451" operator="greaterThan">
      <formula>0</formula>
    </cfRule>
    <cfRule type="cellIs" dxfId="969" priority="3466" operator="lessThan">
      <formula>0</formula>
    </cfRule>
    <cfRule type="cellIs" dxfId="968" priority="3453" operator="lessThan">
      <formula>0</formula>
    </cfRule>
    <cfRule type="cellIs" dxfId="967" priority="3462" operator="lessThan">
      <formula>0</formula>
    </cfRule>
    <cfRule type="cellIs" dxfId="966" priority="3467" operator="lessThan">
      <formula>0</formula>
    </cfRule>
    <cfRule type="cellIs" dxfId="965" priority="3455" operator="lessThan">
      <formula>0</formula>
    </cfRule>
    <cfRule type="cellIs" dxfId="964" priority="3452" operator="greaterThan">
      <formula>0</formula>
    </cfRule>
    <cfRule type="cellIs" dxfId="963" priority="3450" operator="lessThan">
      <formula>0</formula>
    </cfRule>
  </conditionalFormatting>
  <conditionalFormatting sqref="O75:Q75">
    <cfRule type="cellIs" dxfId="962" priority="3421" operator="lessThan">
      <formula>0</formula>
    </cfRule>
    <cfRule type="cellIs" dxfId="961" priority="3406" operator="greaterThan">
      <formula>0</formula>
    </cfRule>
    <cfRule type="cellIs" dxfId="960" priority="3404" operator="lessThan">
      <formula>0</formula>
    </cfRule>
    <cfRule type="cellIs" dxfId="959" priority="3407" operator="lessThan">
      <formula>0</formula>
    </cfRule>
    <cfRule type="cellIs" dxfId="958" priority="3405" operator="greaterThan">
      <formula>0</formula>
    </cfRule>
    <cfRule type="cellIs" dxfId="957" priority="3408" operator="lessThan">
      <formula>0</formula>
    </cfRule>
    <cfRule type="cellIs" dxfId="956" priority="3409" operator="lessThan">
      <formula>0</formula>
    </cfRule>
    <cfRule type="cellIs" dxfId="955" priority="3419" operator="lessThan">
      <formula>0</formula>
    </cfRule>
    <cfRule type="cellIs" dxfId="954" priority="3416" operator="lessThan">
      <formula>0</formula>
    </cfRule>
    <cfRule type="cellIs" dxfId="953" priority="3420" operator="lessThan">
      <formula>0</formula>
    </cfRule>
  </conditionalFormatting>
  <conditionalFormatting sqref="O81:Q81">
    <cfRule type="cellIs" dxfId="952" priority="3356" operator="lessThan">
      <formula>0</formula>
    </cfRule>
    <cfRule type="cellIs" dxfId="951" priority="3357" operator="greaterThan">
      <formula>0</formula>
    </cfRule>
    <cfRule type="cellIs" dxfId="950" priority="3358" operator="greaterThan">
      <formula>0</formula>
    </cfRule>
    <cfRule type="cellIs" dxfId="949" priority="3359" operator="lessThan">
      <formula>0</formula>
    </cfRule>
    <cfRule type="cellIs" dxfId="948" priority="3361" operator="lessThan">
      <formula>0</formula>
    </cfRule>
    <cfRule type="cellIs" dxfId="947" priority="3362" operator="lessThan">
      <formula>0</formula>
    </cfRule>
    <cfRule type="cellIs" dxfId="946" priority="3365" operator="lessThan">
      <formula>0</formula>
    </cfRule>
    <cfRule type="cellIs" dxfId="945" priority="3366" operator="lessThan">
      <formula>0</formula>
    </cfRule>
    <cfRule type="cellIs" dxfId="944" priority="3367" operator="lessThan">
      <formula>0</formula>
    </cfRule>
    <cfRule type="cellIs" dxfId="943" priority="3360" operator="lessThan">
      <formula>0</formula>
    </cfRule>
  </conditionalFormatting>
  <conditionalFormatting sqref="O100:Q100 P96:P99">
    <cfRule type="cellIs" dxfId="942" priority="3227" operator="lessThan">
      <formula>0</formula>
    </cfRule>
  </conditionalFormatting>
  <conditionalFormatting sqref="O100:Q100">
    <cfRule type="cellIs" dxfId="941" priority="3224" operator="lessThan">
      <formula>0</formula>
    </cfRule>
  </conditionalFormatting>
  <conditionalFormatting sqref="O116:Q118">
    <cfRule type="cellIs" dxfId="940" priority="3033" operator="lessThan">
      <formula>0</formula>
    </cfRule>
    <cfRule type="cellIs" dxfId="939" priority="3032" operator="lessThan">
      <formula>0</formula>
    </cfRule>
    <cfRule type="cellIs" dxfId="938" priority="3031" operator="lessThan">
      <formula>0</formula>
    </cfRule>
    <cfRule type="cellIs" dxfId="937" priority="3028" operator="lessThan">
      <formula>0</formula>
    </cfRule>
    <cfRule type="cellIs" dxfId="936" priority="3039" operator="lessThan">
      <formula>0</formula>
    </cfRule>
    <cfRule type="cellIs" dxfId="935" priority="3038" operator="lessThan">
      <formula>0</formula>
    </cfRule>
    <cfRule type="cellIs" dxfId="934" priority="3037" operator="lessThan">
      <formula>0</formula>
    </cfRule>
    <cfRule type="cellIs" dxfId="933" priority="3034" operator="lessThan">
      <formula>0</formula>
    </cfRule>
    <cfRule type="cellIs" dxfId="932" priority="3029" operator="greaterThan">
      <formula>0</formula>
    </cfRule>
    <cfRule type="cellIs" dxfId="931" priority="3030" operator="greaterThan">
      <formula>0</formula>
    </cfRule>
  </conditionalFormatting>
  <conditionalFormatting sqref="O135:Q135">
    <cfRule type="cellIs" dxfId="930" priority="2956" operator="lessThan">
      <formula>0</formula>
    </cfRule>
    <cfRule type="cellIs" dxfId="929" priority="2960" operator="lessThan">
      <formula>0</formula>
    </cfRule>
    <cfRule type="cellIs" dxfId="928" priority="2959" operator="lessThan">
      <formula>0</formula>
    </cfRule>
    <cfRule type="cellIs" dxfId="927" priority="2958" operator="greaterThan">
      <formula>0</formula>
    </cfRule>
    <cfRule type="cellIs" dxfId="926" priority="2957" operator="greaterThan">
      <formula>0</formula>
    </cfRule>
    <cfRule type="cellIs" dxfId="925" priority="2967" operator="lessThan">
      <formula>0</formula>
    </cfRule>
    <cfRule type="cellIs" dxfId="924" priority="2966" operator="lessThan">
      <formula>0</formula>
    </cfRule>
    <cfRule type="cellIs" dxfId="923" priority="2965" operator="lessThan">
      <formula>0</formula>
    </cfRule>
    <cfRule type="cellIs" dxfId="922" priority="2962" operator="lessThan">
      <formula>0</formula>
    </cfRule>
    <cfRule type="cellIs" dxfId="921" priority="2961" operator="lessThan">
      <formula>0</formula>
    </cfRule>
  </conditionalFormatting>
  <conditionalFormatting sqref="O139:Q139">
    <cfRule type="cellIs" dxfId="920" priority="2898" operator="lessThan">
      <formula>0</formula>
    </cfRule>
    <cfRule type="cellIs" dxfId="919" priority="2899" operator="greaterThan">
      <formula>0</formula>
    </cfRule>
    <cfRule type="cellIs" dxfId="918" priority="2901" operator="lessThan">
      <formula>0</formula>
    </cfRule>
    <cfRule type="cellIs" dxfId="917" priority="2902" operator="lessThan">
      <formula>0</formula>
    </cfRule>
    <cfRule type="cellIs" dxfId="916" priority="2900" operator="greaterThan">
      <formula>0</formula>
    </cfRule>
    <cfRule type="cellIs" dxfId="915" priority="2903" operator="lessThan">
      <formula>0</formula>
    </cfRule>
    <cfRule type="cellIs" dxfId="914" priority="2904" operator="lessThan">
      <formula>0</formula>
    </cfRule>
    <cfRule type="cellIs" dxfId="913" priority="2907" operator="lessThan">
      <formula>0</formula>
    </cfRule>
    <cfRule type="cellIs" dxfId="912" priority="2908" operator="lessThan">
      <formula>0</formula>
    </cfRule>
    <cfRule type="cellIs" dxfId="911" priority="2909" operator="lessThan">
      <formula>0</formula>
    </cfRule>
  </conditionalFormatting>
  <conditionalFormatting sqref="P18:P28">
    <cfRule type="cellIs" dxfId="910" priority="4422" operator="lessThan">
      <formula>0</formula>
    </cfRule>
    <cfRule type="cellIs" dxfId="909" priority="4421" operator="lessThan">
      <formula>0</formula>
    </cfRule>
    <cfRule type="cellIs" dxfId="908" priority="4420" operator="lessThan">
      <formula>0</formula>
    </cfRule>
    <cfRule type="cellIs" dxfId="907" priority="4419" operator="greaterThan">
      <formula>0</formula>
    </cfRule>
    <cfRule type="cellIs" dxfId="906" priority="4418" operator="greaterThan">
      <formula>0</formula>
    </cfRule>
  </conditionalFormatting>
  <conditionalFormatting sqref="P32:P37">
    <cfRule type="cellIs" dxfId="905" priority="4362" operator="greaterThan">
      <formula>0</formula>
    </cfRule>
    <cfRule type="cellIs" dxfId="904" priority="4364" operator="lessThan">
      <formula>0</formula>
    </cfRule>
    <cfRule type="cellIs" dxfId="903" priority="4363" operator="lessThan">
      <formula>0</formula>
    </cfRule>
    <cfRule type="cellIs" dxfId="902" priority="4365" operator="lessThan">
      <formula>0</formula>
    </cfRule>
    <cfRule type="cellIs" dxfId="901" priority="4361" operator="greaterThan">
      <formula>0</formula>
    </cfRule>
  </conditionalFormatting>
  <conditionalFormatting sqref="P40:P44 O42:O43 Q42:Q43">
    <cfRule type="cellIs" dxfId="900" priority="3756" operator="lessThan">
      <formula>0</formula>
    </cfRule>
    <cfRule type="cellIs" dxfId="899" priority="3757" operator="lessThan">
      <formula>0</formula>
    </cfRule>
    <cfRule type="cellIs" dxfId="898" priority="3755" operator="greaterThan">
      <formula>0</formula>
    </cfRule>
    <cfRule type="cellIs" dxfId="897" priority="3754" operator="greaterThan">
      <formula>0</formula>
    </cfRule>
    <cfRule type="cellIs" dxfId="896" priority="3758" operator="lessThan">
      <formula>0</formula>
    </cfRule>
  </conditionalFormatting>
  <conditionalFormatting sqref="P40:P44 O42:O43">
    <cfRule type="cellIs" dxfId="895" priority="3753" operator="lessThan">
      <formula>0</formula>
    </cfRule>
  </conditionalFormatting>
  <conditionalFormatting sqref="P49:P52">
    <cfRule type="cellIs" dxfId="894" priority="3695" operator="greaterThan">
      <formula>0</formula>
    </cfRule>
    <cfRule type="cellIs" dxfId="893" priority="3699" operator="lessThan">
      <formula>0</formula>
    </cfRule>
    <cfRule type="cellIs" dxfId="892" priority="3698" operator="lessThan">
      <formula>0</formula>
    </cfRule>
    <cfRule type="cellIs" dxfId="891" priority="3697" operator="lessThan">
      <formula>0</formula>
    </cfRule>
    <cfRule type="cellIs" dxfId="890" priority="3696" operator="greaterThan">
      <formula>0</formula>
    </cfRule>
  </conditionalFormatting>
  <conditionalFormatting sqref="P56:P64">
    <cfRule type="cellIs" dxfId="889" priority="3624" operator="greaterThan">
      <formula>0</formula>
    </cfRule>
    <cfRule type="cellIs" dxfId="888" priority="3626" operator="lessThan">
      <formula>0</formula>
    </cfRule>
    <cfRule type="cellIs" dxfId="887" priority="3627" operator="lessThan">
      <formula>0</formula>
    </cfRule>
    <cfRule type="cellIs" dxfId="886" priority="3625" operator="lessThan">
      <formula>0</formula>
    </cfRule>
    <cfRule type="cellIs" dxfId="885" priority="3623" operator="greaterThan">
      <formula>0</formula>
    </cfRule>
  </conditionalFormatting>
  <conditionalFormatting sqref="P68">
    <cfRule type="cellIs" dxfId="884" priority="3551" operator="lessThan">
      <formula>0</formula>
    </cfRule>
    <cfRule type="cellIs" dxfId="883" priority="3550" operator="lessThan">
      <formula>0</formula>
    </cfRule>
    <cfRule type="cellIs" dxfId="882" priority="3549" operator="lessThan">
      <formula>0</formula>
    </cfRule>
    <cfRule type="cellIs" dxfId="881" priority="3547" operator="greaterThan">
      <formula>0</formula>
    </cfRule>
    <cfRule type="cellIs" dxfId="880" priority="3548" operator="greaterThan">
      <formula>0</formula>
    </cfRule>
  </conditionalFormatting>
  <conditionalFormatting sqref="P71:P72 P74">
    <cfRule type="cellIs" dxfId="879" priority="3479" operator="lessThan">
      <formula>0</formula>
    </cfRule>
    <cfRule type="cellIs" dxfId="878" priority="3478" operator="lessThan">
      <formula>0</formula>
    </cfRule>
    <cfRule type="cellIs" dxfId="877" priority="3477" operator="lessThan">
      <formula>0</formula>
    </cfRule>
    <cfRule type="cellIs" dxfId="876" priority="3474" operator="lessThan">
      <formula>0</formula>
    </cfRule>
  </conditionalFormatting>
  <conditionalFormatting sqref="P71:P74">
    <cfRule type="cellIs" dxfId="875" priority="3448" operator="lessThan">
      <formula>0</formula>
    </cfRule>
    <cfRule type="cellIs" dxfId="874" priority="3449" operator="lessThan">
      <formula>0</formula>
    </cfRule>
    <cfRule type="cellIs" dxfId="873" priority="3447" operator="lessThan">
      <formula>0</formula>
    </cfRule>
    <cfRule type="cellIs" dxfId="872" priority="3444" operator="lessThan">
      <formula>0</formula>
    </cfRule>
  </conditionalFormatting>
  <conditionalFormatting sqref="P71:P75">
    <cfRule type="cellIs" dxfId="871" priority="3393" operator="greaterThan">
      <formula>0</formula>
    </cfRule>
    <cfRule type="cellIs" dxfId="870" priority="3394" operator="greaterThan">
      <formula>0</formula>
    </cfRule>
  </conditionalFormatting>
  <conditionalFormatting sqref="P73">
    <cfRule type="cellIs" dxfId="869" priority="3438" operator="lessThan">
      <formula>0</formula>
    </cfRule>
    <cfRule type="cellIs" dxfId="868" priority="3441" operator="lessThan">
      <formula>0</formula>
    </cfRule>
    <cfRule type="cellIs" dxfId="867" priority="3442" operator="lessThan">
      <formula>0</formula>
    </cfRule>
    <cfRule type="cellIs" dxfId="866" priority="3443" operator="lessThan">
      <formula>0</formula>
    </cfRule>
  </conditionalFormatting>
  <conditionalFormatting sqref="P75">
    <cfRule type="cellIs" dxfId="865" priority="3392" operator="lessThan">
      <formula>0</formula>
    </cfRule>
    <cfRule type="cellIs" dxfId="864" priority="3396" operator="lessThan">
      <formula>0</formula>
    </cfRule>
    <cfRule type="cellIs" dxfId="863" priority="3398" operator="lessThan">
      <formula>0</formula>
    </cfRule>
    <cfRule type="cellIs" dxfId="862" priority="3401" operator="lessThan">
      <formula>0</formula>
    </cfRule>
    <cfRule type="cellIs" dxfId="861" priority="3402" operator="lessThan">
      <formula>0</formula>
    </cfRule>
    <cfRule type="cellIs" dxfId="860" priority="3403" operator="lessThan">
      <formula>0</formula>
    </cfRule>
    <cfRule type="cellIs" dxfId="859" priority="3397" operator="lessThan">
      <formula>0</formula>
    </cfRule>
    <cfRule type="cellIs" dxfId="858" priority="3395" operator="lessThan">
      <formula>0</formula>
    </cfRule>
  </conditionalFormatting>
  <conditionalFormatting sqref="P96:P99 O100:Q100">
    <cfRule type="cellIs" dxfId="857" priority="3233" operator="lessThan">
      <formula>0</formula>
    </cfRule>
    <cfRule type="cellIs" dxfId="856" priority="3234" operator="lessThan">
      <formula>0</formula>
    </cfRule>
    <cfRule type="cellIs" dxfId="855" priority="3235" operator="lessThan">
      <formula>0</formula>
    </cfRule>
    <cfRule type="cellIs" dxfId="854" priority="3230" operator="lessThan">
      <formula>0</formula>
    </cfRule>
    <cfRule type="cellIs" dxfId="853" priority="3225" operator="greaterThan">
      <formula>0</formula>
    </cfRule>
    <cfRule type="cellIs" dxfId="852" priority="3226" operator="greaterThan">
      <formula>0</formula>
    </cfRule>
    <cfRule type="cellIs" dxfId="851" priority="3228" operator="lessThan">
      <formula>0</formula>
    </cfRule>
    <cfRule type="cellIs" dxfId="850" priority="3229" operator="lessThan">
      <formula>0</formula>
    </cfRule>
  </conditionalFormatting>
  <conditionalFormatting sqref="P103:P108 O108 Q108">
    <cfRule type="cellIs" dxfId="849" priority="3167" operator="lessThan">
      <formula>0</formula>
    </cfRule>
    <cfRule type="cellIs" dxfId="848" priority="3162" operator="lessThan">
      <formula>0</formula>
    </cfRule>
    <cfRule type="cellIs" dxfId="847" priority="3168" operator="lessThan">
      <formula>0</formula>
    </cfRule>
    <cfRule type="cellIs" dxfId="846" priority="3169" operator="lessThan">
      <formula>0</formula>
    </cfRule>
    <cfRule type="cellIs" dxfId="845" priority="3160" operator="greaterThan">
      <formula>0</formula>
    </cfRule>
    <cfRule type="cellIs" dxfId="844" priority="3163" operator="lessThan">
      <formula>0</formula>
    </cfRule>
    <cfRule type="cellIs" dxfId="843" priority="3164" operator="lessThan">
      <formula>0</formula>
    </cfRule>
    <cfRule type="cellIs" dxfId="842" priority="3159" operator="greaterThan">
      <formula>0</formula>
    </cfRule>
  </conditionalFormatting>
  <conditionalFormatting sqref="P111:P113 O113 Q113">
    <cfRule type="cellIs" dxfId="841" priority="3066" operator="greaterThan">
      <formula>0</formula>
    </cfRule>
    <cfRule type="cellIs" dxfId="840" priority="3068" operator="lessThan">
      <formula>0</formula>
    </cfRule>
    <cfRule type="cellIs" dxfId="839" priority="3069" operator="lessThan">
      <formula>0</formula>
    </cfRule>
    <cfRule type="cellIs" dxfId="838" priority="3073" operator="lessThan">
      <formula>0</formula>
    </cfRule>
    <cfRule type="cellIs" dxfId="837" priority="3074" operator="lessThan">
      <formula>0</formula>
    </cfRule>
    <cfRule type="cellIs" dxfId="836" priority="3075" operator="lessThan">
      <formula>0</formula>
    </cfRule>
    <cfRule type="cellIs" dxfId="835" priority="3070" operator="lessThan">
      <formula>0</formula>
    </cfRule>
    <cfRule type="cellIs" dxfId="834" priority="3065" operator="greaterThan">
      <formula>0</formula>
    </cfRule>
  </conditionalFormatting>
  <conditionalFormatting sqref="P122:P134">
    <cfRule type="cellIs" dxfId="833" priority="3003" operator="lessThan">
      <formula>0</formula>
    </cfRule>
    <cfRule type="cellIs" dxfId="832" priority="2994" operator="greaterThan">
      <formula>0</formula>
    </cfRule>
    <cfRule type="cellIs" dxfId="831" priority="2998" operator="lessThan">
      <formula>0</formula>
    </cfRule>
    <cfRule type="cellIs" dxfId="830" priority="3001" operator="lessThan">
      <formula>0</formula>
    </cfRule>
    <cfRule type="cellIs" dxfId="829" priority="3002" operator="lessThan">
      <formula>0</formula>
    </cfRule>
    <cfRule type="cellIs" dxfId="828" priority="2993" operator="greaterThan">
      <formula>0</formula>
    </cfRule>
    <cfRule type="cellIs" dxfId="827" priority="2997" operator="lessThan">
      <formula>0</formula>
    </cfRule>
    <cfRule type="cellIs" dxfId="826" priority="2996" operator="lessThan">
      <formula>0</formula>
    </cfRule>
    <cfRule type="cellIs" dxfId="825" priority="2995" operator="lessThan">
      <formula>0</formula>
    </cfRule>
  </conditionalFormatting>
  <conditionalFormatting sqref="P149:P151">
    <cfRule type="cellIs" dxfId="824" priority="2814" operator="lessThan">
      <formula>0</formula>
    </cfRule>
    <cfRule type="cellIs" dxfId="823" priority="2823" operator="lessThan">
      <formula>0</formula>
    </cfRule>
    <cfRule type="cellIs" dxfId="822" priority="2824" operator="lessThan">
      <formula>0</formula>
    </cfRule>
    <cfRule type="cellIs" dxfId="821" priority="2817" operator="lessThan">
      <formula>0</formula>
    </cfRule>
    <cfRule type="cellIs" dxfId="820" priority="2816" operator="greaterThan">
      <formula>0</formula>
    </cfRule>
    <cfRule type="cellIs" dxfId="819" priority="2825" operator="lessThan">
      <formula>0</formula>
    </cfRule>
    <cfRule type="cellIs" dxfId="818" priority="2819" operator="lessThan">
      <formula>0</formula>
    </cfRule>
    <cfRule type="cellIs" dxfId="817" priority="2815" operator="greaterThan">
      <formula>0</formula>
    </cfRule>
    <cfRule type="cellIs" dxfId="816" priority="2820" operator="lessThan">
      <formula>0</formula>
    </cfRule>
    <cfRule type="cellIs" dxfId="815" priority="2818" operator="lessThan">
      <formula>0</formula>
    </cfRule>
  </conditionalFormatting>
  <conditionalFormatting sqref="P161:P162">
    <cfRule type="cellIs" dxfId="814" priority="2747" operator="lessThan">
      <formula>0</formula>
    </cfRule>
    <cfRule type="cellIs" dxfId="813" priority="2748" operator="lessThan">
      <formula>0</formula>
    </cfRule>
    <cfRule type="cellIs" dxfId="812" priority="2749" operator="lessThan">
      <formula>0</formula>
    </cfRule>
    <cfRule type="cellIs" dxfId="811" priority="2743" operator="lessThan">
      <formula>0</formula>
    </cfRule>
    <cfRule type="cellIs" dxfId="810" priority="2744" operator="lessThan">
      <formula>0</formula>
    </cfRule>
    <cfRule type="cellIs" dxfId="809" priority="2740" operator="greaterThan">
      <formula>0</formula>
    </cfRule>
    <cfRule type="cellIs" dxfId="808" priority="2741" operator="lessThan">
      <formula>0</formula>
    </cfRule>
    <cfRule type="cellIs" dxfId="807" priority="2738" operator="lessThan">
      <formula>0</formula>
    </cfRule>
    <cfRule type="cellIs" dxfId="806" priority="2742" operator="lessThan">
      <formula>0</formula>
    </cfRule>
    <cfRule type="cellIs" dxfId="805" priority="2739" operator="greaterThan">
      <formula>0</formula>
    </cfRule>
  </conditionalFormatting>
  <conditionalFormatting sqref="P182:P184">
    <cfRule type="cellIs" dxfId="804" priority="2623" operator="lessThan">
      <formula>0</formula>
    </cfRule>
    <cfRule type="cellIs" dxfId="803" priority="2624" operator="lessThan">
      <formula>0</formula>
    </cfRule>
    <cfRule type="cellIs" dxfId="802" priority="2625" operator="lessThan">
      <formula>0</formula>
    </cfRule>
    <cfRule type="cellIs" dxfId="801" priority="2614" operator="lessThan">
      <formula>0</formula>
    </cfRule>
    <cfRule type="cellIs" dxfId="800" priority="2615" operator="greaterThan">
      <formula>0</formula>
    </cfRule>
    <cfRule type="cellIs" dxfId="799" priority="2616" operator="greaterThan">
      <formula>0</formula>
    </cfRule>
    <cfRule type="cellIs" dxfId="798" priority="2617" operator="lessThan">
      <formula>0</formula>
    </cfRule>
    <cfRule type="cellIs" dxfId="797" priority="2619" operator="lessThan">
      <formula>0</formula>
    </cfRule>
    <cfRule type="cellIs" dxfId="796" priority="2620" operator="lessThan">
      <formula>0</formula>
    </cfRule>
    <cfRule type="cellIs" dxfId="795" priority="2618" operator="lessThan">
      <formula>0</formula>
    </cfRule>
  </conditionalFormatting>
  <conditionalFormatting sqref="P188:P191 O191:Q191">
    <cfRule type="cellIs" dxfId="794" priority="2587" operator="lessThan">
      <formula>0</formula>
    </cfRule>
    <cfRule type="cellIs" dxfId="793" priority="2578" operator="lessThan">
      <formula>0</formula>
    </cfRule>
    <cfRule type="cellIs" dxfId="792" priority="2584" operator="lessThan">
      <formula>0</formula>
    </cfRule>
    <cfRule type="cellIs" dxfId="791" priority="2583" operator="lessThan">
      <formula>0</formula>
    </cfRule>
    <cfRule type="cellIs" dxfId="790" priority="2582" operator="lessThan">
      <formula>0</formula>
    </cfRule>
    <cfRule type="cellIs" dxfId="789" priority="2581" operator="lessThan">
      <formula>0</formula>
    </cfRule>
    <cfRule type="cellIs" dxfId="788" priority="2579" operator="greaterThan">
      <formula>0</formula>
    </cfRule>
    <cfRule type="cellIs" dxfId="787" priority="2589" operator="lessThan">
      <formula>0</formula>
    </cfRule>
    <cfRule type="cellIs" dxfId="786" priority="2580" operator="greaterThan">
      <formula>0</formula>
    </cfRule>
    <cfRule type="cellIs" dxfId="785" priority="2588" operator="lessThan">
      <formula>0</formula>
    </cfRule>
  </conditionalFormatting>
  <conditionalFormatting sqref="P18:Q28">
    <cfRule type="cellIs" dxfId="784" priority="2146" operator="lessThan">
      <formula>0</formula>
    </cfRule>
  </conditionalFormatting>
  <conditionalFormatting sqref="P32:Q37">
    <cfRule type="cellIs" dxfId="783" priority="2140" operator="lessThan">
      <formula>0</formula>
    </cfRule>
  </conditionalFormatting>
  <conditionalFormatting sqref="P49:Q52">
    <cfRule type="cellIs" dxfId="782" priority="2122" operator="lessThan">
      <formula>0</formula>
    </cfRule>
  </conditionalFormatting>
  <conditionalFormatting sqref="P56:Q64">
    <cfRule type="cellIs" dxfId="781" priority="2116" operator="lessThan">
      <formula>0</formula>
    </cfRule>
  </conditionalFormatting>
  <conditionalFormatting sqref="P68:Q68">
    <cfRule type="cellIs" dxfId="780" priority="2110" operator="lessThan">
      <formula>0</formula>
    </cfRule>
  </conditionalFormatting>
  <conditionalFormatting sqref="P96:Q99">
    <cfRule type="cellIs" dxfId="779" priority="2092" operator="lessThan">
      <formula>0</formula>
    </cfRule>
  </conditionalFormatting>
  <conditionalFormatting sqref="P103:Q108">
    <cfRule type="cellIs" dxfId="778" priority="2086" operator="lessThan">
      <formula>0</formula>
    </cfRule>
  </conditionalFormatting>
  <conditionalFormatting sqref="P111:Q113">
    <cfRule type="cellIs" dxfId="777" priority="2080" operator="lessThan">
      <formula>0</formula>
    </cfRule>
  </conditionalFormatting>
  <conditionalFormatting sqref="P122:Q134">
    <cfRule type="cellIs" dxfId="776" priority="2074" operator="lessThan">
      <formula>0</formula>
    </cfRule>
  </conditionalFormatting>
  <conditionalFormatting sqref="Q10:Q11">
    <cfRule type="cellIs" dxfId="775" priority="1658" operator="equal">
      <formula>"Check"</formula>
    </cfRule>
    <cfRule type="cellIs" dxfId="774" priority="1656" operator="equal">
      <formula>"Check Validation"</formula>
    </cfRule>
    <cfRule type="cellIs" dxfId="773" priority="1657" operator="equal">
      <formula>"Check Validations"</formula>
    </cfRule>
  </conditionalFormatting>
  <conditionalFormatting sqref="Q18:Q28">
    <cfRule type="cellIs" dxfId="772" priority="2144" operator="equal">
      <formula>0</formula>
    </cfRule>
    <cfRule type="cellIs" dxfId="771" priority="2143" operator="lessThan">
      <formula>0</formula>
    </cfRule>
    <cfRule type="cellIs" dxfId="770" priority="2142" operator="greaterThan">
      <formula>0</formula>
    </cfRule>
    <cfRule type="cellIs" priority="2147" operator="lessThan">
      <formula>0</formula>
    </cfRule>
    <cfRule type="cellIs" dxfId="769" priority="2145" operator="greaterThan">
      <formula>0</formula>
    </cfRule>
  </conditionalFormatting>
  <conditionalFormatting sqref="Q32:Q37">
    <cfRule type="cellIs" dxfId="768" priority="2137" operator="lessThan">
      <formula>0</formula>
    </cfRule>
    <cfRule type="cellIs" dxfId="767" priority="2138" operator="equal">
      <formula>0</formula>
    </cfRule>
    <cfRule type="cellIs" dxfId="766" priority="2139" operator="greaterThan">
      <formula>0</formula>
    </cfRule>
    <cfRule type="cellIs" priority="2141" operator="lessThan">
      <formula>0</formula>
    </cfRule>
    <cfRule type="cellIs" dxfId="765" priority="2136" operator="greaterThan">
      <formula>0</formula>
    </cfRule>
  </conditionalFormatting>
  <conditionalFormatting sqref="Q40:Q41">
    <cfRule type="cellIs" dxfId="764" priority="2132" operator="equal">
      <formula>0</formula>
    </cfRule>
    <cfRule type="cellIs" dxfId="763" priority="2133" operator="greaterThan">
      <formula>0</formula>
    </cfRule>
    <cfRule type="cellIs" priority="2135" operator="lessThan">
      <formula>0</formula>
    </cfRule>
    <cfRule type="cellIs" dxfId="762" priority="2131" operator="lessThan">
      <formula>0</formula>
    </cfRule>
    <cfRule type="cellIs" dxfId="761" priority="2130" operator="greaterThan">
      <formula>0</formula>
    </cfRule>
  </conditionalFormatting>
  <conditionalFormatting sqref="Q40:Q43">
    <cfRule type="cellIs" dxfId="760" priority="2134" operator="lessThan">
      <formula>0</formula>
    </cfRule>
  </conditionalFormatting>
  <conditionalFormatting sqref="Q42:Q43 O42:O43">
    <cfRule type="cellIs" dxfId="759" priority="3778" operator="lessThan">
      <formula>0</formula>
    </cfRule>
  </conditionalFormatting>
  <conditionalFormatting sqref="Q42:Q43">
    <cfRule type="cellIs" dxfId="758" priority="3771" operator="lessThan">
      <formula>0</formula>
    </cfRule>
  </conditionalFormatting>
  <conditionalFormatting sqref="Q44">
    <cfRule type="cellIs" dxfId="757" priority="2127" operator="greaterThan">
      <formula>0</formula>
    </cfRule>
    <cfRule type="cellIs" dxfId="756" priority="2126" operator="equal">
      <formula>0</formula>
    </cfRule>
    <cfRule type="cellIs" dxfId="755" priority="2128" operator="lessThan">
      <formula>0</formula>
    </cfRule>
    <cfRule type="cellIs" dxfId="754" priority="2124" operator="greaterThan">
      <formula>0</formula>
    </cfRule>
    <cfRule type="cellIs" priority="2129" operator="lessThan">
      <formula>0</formula>
    </cfRule>
    <cfRule type="cellIs" dxfId="753" priority="2125" operator="lessThan">
      <formula>0</formula>
    </cfRule>
  </conditionalFormatting>
  <conditionalFormatting sqref="Q45">
    <cfRule type="cellIs" dxfId="752" priority="1684" operator="lessThan">
      <formula>0</formula>
    </cfRule>
    <cfRule type="cellIs" dxfId="751" priority="1683" operator="lessThan">
      <formula>0</formula>
    </cfRule>
    <cfRule type="cellIs" dxfId="750" priority="1682" operator="lessThan">
      <formula>0</formula>
    </cfRule>
    <cfRule type="cellIs" dxfId="749" priority="1681" operator="lessThan">
      <formula>0</formula>
    </cfRule>
  </conditionalFormatting>
  <conditionalFormatting sqref="Q49:Q52">
    <cfRule type="cellIs" dxfId="748" priority="2119" operator="lessThan">
      <formula>0</formula>
    </cfRule>
    <cfRule type="cellIs" priority="2123" operator="lessThan">
      <formula>0</formula>
    </cfRule>
    <cfRule type="cellIs" dxfId="747" priority="2118" operator="greaterThan">
      <formula>0</formula>
    </cfRule>
    <cfRule type="cellIs" dxfId="746" priority="2121" operator="greaterThan">
      <formula>0</formula>
    </cfRule>
    <cfRule type="cellIs" dxfId="745" priority="2120" operator="equal">
      <formula>0</formula>
    </cfRule>
  </conditionalFormatting>
  <conditionalFormatting sqref="Q56:Q64">
    <cfRule type="cellIs" dxfId="744" priority="2113" operator="lessThan">
      <formula>0</formula>
    </cfRule>
    <cfRule type="cellIs" dxfId="743" priority="2112" operator="greaterThan">
      <formula>0</formula>
    </cfRule>
    <cfRule type="cellIs" dxfId="742" priority="2114" operator="equal">
      <formula>0</formula>
    </cfRule>
    <cfRule type="cellIs" priority="2117" operator="lessThan">
      <formula>0</formula>
    </cfRule>
    <cfRule type="cellIs" dxfId="741" priority="2115" operator="greaterThan">
      <formula>0</formula>
    </cfRule>
  </conditionalFormatting>
  <conditionalFormatting sqref="Q68">
    <cfRule type="cellIs" dxfId="740" priority="2106" operator="greaterThan">
      <formula>0</formula>
    </cfRule>
    <cfRule type="cellIs" dxfId="739" priority="2109" operator="greaterThan">
      <formula>0</formula>
    </cfRule>
    <cfRule type="cellIs" dxfId="738" priority="2107" operator="lessThan">
      <formula>0</formula>
    </cfRule>
    <cfRule type="cellIs" dxfId="737" priority="2108" operator="equal">
      <formula>0</formula>
    </cfRule>
    <cfRule type="cellIs" priority="2111" operator="lessThan">
      <formula>0</formula>
    </cfRule>
  </conditionalFormatting>
  <conditionalFormatting sqref="Q71:Q72">
    <cfRule type="cellIs" priority="2105" operator="lessThan">
      <formula>0</formula>
    </cfRule>
    <cfRule type="cellIs" dxfId="736" priority="2103" operator="greaterThan">
      <formula>0</formula>
    </cfRule>
    <cfRule type="cellIs" dxfId="735" priority="2102" operator="equal">
      <formula>0</formula>
    </cfRule>
    <cfRule type="cellIs" dxfId="734" priority="2101" operator="lessThan">
      <formula>0</formula>
    </cfRule>
    <cfRule type="cellIs" dxfId="733" priority="2100" operator="greaterThan">
      <formula>0</formula>
    </cfRule>
    <cfRule type="cellIs" dxfId="732" priority="2104" operator="lessThan">
      <formula>0</formula>
    </cfRule>
  </conditionalFormatting>
  <conditionalFormatting sqref="Q74">
    <cfRule type="cellIs" dxfId="731" priority="2094" operator="greaterThan">
      <formula>0</formula>
    </cfRule>
    <cfRule type="cellIs" dxfId="730" priority="2095" operator="lessThan">
      <formula>0</formula>
    </cfRule>
    <cfRule type="cellIs" dxfId="729" priority="2096" operator="equal">
      <formula>0</formula>
    </cfRule>
    <cfRule type="cellIs" dxfId="728" priority="2097" operator="greaterThan">
      <formula>0</formula>
    </cfRule>
    <cfRule type="cellIs" priority="2099" operator="lessThan">
      <formula>0</formula>
    </cfRule>
    <cfRule type="cellIs" dxfId="727" priority="2098" operator="lessThan">
      <formula>0</formula>
    </cfRule>
  </conditionalFormatting>
  <conditionalFormatting sqref="Q96:Q99">
    <cfRule type="cellIs" dxfId="726" priority="2088" operator="greaterThan">
      <formula>0</formula>
    </cfRule>
    <cfRule type="cellIs" dxfId="725" priority="2090" operator="equal">
      <formula>0</formula>
    </cfRule>
    <cfRule type="cellIs" dxfId="724" priority="2091" operator="greaterThan">
      <formula>0</formula>
    </cfRule>
    <cfRule type="cellIs" dxfId="723" priority="2089" operator="lessThan">
      <formula>0</formula>
    </cfRule>
    <cfRule type="cellIs" priority="2093" operator="lessThan">
      <formula>0</formula>
    </cfRule>
  </conditionalFormatting>
  <conditionalFormatting sqref="Q103:Q107">
    <cfRule type="cellIs" dxfId="722" priority="2084" operator="equal">
      <formula>0</formula>
    </cfRule>
    <cfRule type="cellIs" dxfId="721" priority="2085" operator="greaterThan">
      <formula>0</formula>
    </cfRule>
    <cfRule type="cellIs" priority="2087" operator="lessThan">
      <formula>0</formula>
    </cfRule>
    <cfRule type="cellIs" dxfId="720" priority="2082" operator="greaterThan">
      <formula>0</formula>
    </cfRule>
    <cfRule type="cellIs" dxfId="719" priority="2083" operator="lessThan">
      <formula>0</formula>
    </cfRule>
  </conditionalFormatting>
  <conditionalFormatting sqref="Q108 O108">
    <cfRule type="cellIs" dxfId="718" priority="3197" operator="lessThan">
      <formula>0</formula>
    </cfRule>
  </conditionalFormatting>
  <conditionalFormatting sqref="Q108">
    <cfRule type="cellIs" dxfId="717" priority="3192" operator="lessThan">
      <formula>0</formula>
    </cfRule>
  </conditionalFormatting>
  <conditionalFormatting sqref="Q111:Q112">
    <cfRule type="cellIs" priority="2081" operator="lessThan">
      <formula>0</formula>
    </cfRule>
    <cfRule type="cellIs" dxfId="716" priority="2077" operator="lessThan">
      <formula>0</formula>
    </cfRule>
    <cfRule type="cellIs" dxfId="715" priority="2076" operator="greaterThan">
      <formula>0</formula>
    </cfRule>
    <cfRule type="cellIs" dxfId="714" priority="2078" operator="equal">
      <formula>0</formula>
    </cfRule>
    <cfRule type="cellIs" dxfId="713" priority="2079" operator="greaterThan">
      <formula>0</formula>
    </cfRule>
  </conditionalFormatting>
  <conditionalFormatting sqref="Q113 O113">
    <cfRule type="cellIs" dxfId="712" priority="3097" operator="lessThan">
      <formula>0</formula>
    </cfRule>
  </conditionalFormatting>
  <conditionalFormatting sqref="Q113">
    <cfRule type="cellIs" dxfId="711" priority="3092" operator="lessThan">
      <formula>0</formula>
    </cfRule>
  </conditionalFormatting>
  <conditionalFormatting sqref="Q122:Q134">
    <cfRule type="cellIs" dxfId="710" priority="2073" operator="greaterThan">
      <formula>0</formula>
    </cfRule>
    <cfRule type="cellIs" priority="2075" operator="lessThan">
      <formula>0</formula>
    </cfRule>
    <cfRule type="cellIs" dxfId="709" priority="2071" operator="lessThan">
      <formula>0</formula>
    </cfRule>
    <cfRule type="cellIs" dxfId="708" priority="2070" operator="greaterThan">
      <formula>0</formula>
    </cfRule>
    <cfRule type="cellIs" dxfId="707" priority="2072" operator="equal">
      <formula>0</formula>
    </cfRule>
  </conditionalFormatting>
  <conditionalFormatting sqref="Q149:Q151">
    <cfRule type="cellIs" dxfId="706" priority="6871" operator="greaterThan">
      <formula>0</formula>
    </cfRule>
    <cfRule type="cellIs" priority="6873" operator="lessThan">
      <formula>0</formula>
    </cfRule>
    <cfRule type="cellIs" dxfId="705" priority="6870" operator="equal">
      <formula>0</formula>
    </cfRule>
    <cfRule type="cellIs" dxfId="704" priority="6872" operator="lessThan">
      <formula>0</formula>
    </cfRule>
    <cfRule type="cellIs" dxfId="703" priority="6869" operator="lessThan">
      <formula>0</formula>
    </cfRule>
    <cfRule type="cellIs" dxfId="702" priority="6868" operator="greaterThan">
      <formula>0</formula>
    </cfRule>
  </conditionalFormatting>
  <conditionalFormatting sqref="Q161:Q162">
    <cfRule type="cellIs" priority="2789" operator="lessThan">
      <formula>0</formula>
    </cfRule>
    <cfRule type="cellIs" dxfId="701" priority="2788" operator="lessThan">
      <formula>0</formula>
    </cfRule>
    <cfRule type="cellIs" dxfId="700" priority="2787" operator="greaterThan">
      <formula>0</formula>
    </cfRule>
    <cfRule type="cellIs" dxfId="699" priority="2786" operator="equal">
      <formula>0</formula>
    </cfRule>
    <cfRule type="cellIs" dxfId="698" priority="2785" operator="lessThan">
      <formula>0</formula>
    </cfRule>
    <cfRule type="cellIs" dxfId="697" priority="2784" operator="greaterThan">
      <formula>0</formula>
    </cfRule>
  </conditionalFormatting>
  <conditionalFormatting sqref="Q182:Q184">
    <cfRule type="cellIs" dxfId="696" priority="6719" operator="lessThan">
      <formula>0</formula>
    </cfRule>
    <cfRule type="cellIs" dxfId="695" priority="6721" operator="greaterThan">
      <formula>0</formula>
    </cfRule>
    <cfRule type="cellIs" priority="6723" operator="lessThan">
      <formula>0</formula>
    </cfRule>
    <cfRule type="cellIs" dxfId="694" priority="6718" operator="greaterThan">
      <formula>0</formula>
    </cfRule>
    <cfRule type="cellIs" dxfId="693" priority="6720" operator="equal">
      <formula>0</formula>
    </cfRule>
    <cfRule type="cellIs" dxfId="692" priority="6722" operator="lessThan">
      <formula>0</formula>
    </cfRule>
  </conditionalFormatting>
  <conditionalFormatting sqref="Q188:Q190">
    <cfRule type="cellIs" dxfId="691" priority="6682" operator="greaterThan">
      <formula>0</formula>
    </cfRule>
    <cfRule type="cellIs" dxfId="690" priority="6683" operator="lessThan">
      <formula>0</formula>
    </cfRule>
    <cfRule type="cellIs" dxfId="689" priority="6684" operator="equal">
      <formula>0</formula>
    </cfRule>
    <cfRule type="cellIs" dxfId="688" priority="6685" operator="greaterThan">
      <formula>0</formula>
    </cfRule>
    <cfRule type="cellIs" priority="6687" operator="lessThan">
      <formula>0</formula>
    </cfRule>
  </conditionalFormatting>
  <conditionalFormatting sqref="Q188:Q191">
    <cfRule type="cellIs" dxfId="687" priority="6686" operator="lessThan">
      <formula>0</formula>
    </cfRule>
  </conditionalFormatting>
  <conditionalFormatting sqref="R6 U6:Y6">
    <cfRule type="cellIs" dxfId="686" priority="14727" operator="notEqual">
      <formula>""""""</formula>
    </cfRule>
  </conditionalFormatting>
  <conditionalFormatting sqref="R73">
    <cfRule type="cellIs" dxfId="685" priority="20787" operator="notEqual">
      <formula>""""""</formula>
    </cfRule>
  </conditionalFormatting>
  <conditionalFormatting sqref="R158">
    <cfRule type="cellIs" dxfId="684" priority="20062" operator="notEqual">
      <formula>""""""</formula>
    </cfRule>
  </conditionalFormatting>
  <conditionalFormatting sqref="R13:S13">
    <cfRule type="containsText" dxfId="683" priority="14704" operator="containsText" text="Input value is above the maximum value allowed">
      <formula>NOT(ISERROR(SEARCH("Input value is above the maximum value allowed",R13)))</formula>
    </cfRule>
  </conditionalFormatting>
  <conditionalFormatting sqref="R29:T29 R30:U30 R38:U38 R46:U47 R91:U92 R94:U94 R100:U101 R113:T113 R117:U119 R135:T135 R136:U137 R152:U153 R163:U163 R168:U168 R170:U170 R175:U175 R177:U177 R179:U179 R185:U185 R191:T191 R192:U192 R194:U194 S305:V305 Q315:Q316 R340">
    <cfRule type="cellIs" dxfId="682" priority="21509" operator="notEqual">
      <formula>""""""</formula>
    </cfRule>
  </conditionalFormatting>
  <conditionalFormatting sqref="R65:T65">
    <cfRule type="cellIs" dxfId="681" priority="20794" operator="notEqual">
      <formula>""""""</formula>
    </cfRule>
  </conditionalFormatting>
  <conditionalFormatting sqref="R86:T86">
    <cfRule type="containsText" dxfId="680" priority="14672" operator="containsText" text="Input value is below the minimum value allowed">
      <formula>NOT(ISERROR(SEARCH("Input value is below the minimum value allowed",R86)))</formula>
    </cfRule>
  </conditionalFormatting>
  <conditionalFormatting sqref="R53:U54">
    <cfRule type="cellIs" dxfId="679" priority="20802" operator="notEqual">
      <formula>""""""</formula>
    </cfRule>
  </conditionalFormatting>
  <conditionalFormatting sqref="R66:U66">
    <cfRule type="cellIs" dxfId="678" priority="20392" operator="notEqual">
      <formula>""""""</formula>
    </cfRule>
  </conditionalFormatting>
  <conditionalFormatting sqref="R69:U69">
    <cfRule type="cellIs" dxfId="677" priority="20399" operator="notEqual">
      <formula>""""""</formula>
    </cfRule>
  </conditionalFormatting>
  <conditionalFormatting sqref="R108:U109">
    <cfRule type="cellIs" dxfId="676" priority="20074" operator="notEqual">
      <formula>""""""</formula>
    </cfRule>
  </conditionalFormatting>
  <conditionalFormatting sqref="R114:U114">
    <cfRule type="cellIs" dxfId="675" priority="20068" operator="notEqual">
      <formula>""""""</formula>
    </cfRule>
  </conditionalFormatting>
  <conditionalFormatting sqref="R199:U199">
    <cfRule type="cellIs" dxfId="674" priority="14541" operator="notEqual">
      <formula>""""""</formula>
    </cfRule>
  </conditionalFormatting>
  <conditionalFormatting sqref="R312:U312">
    <cfRule type="cellIs" dxfId="673" priority="1736" operator="notEqual">
      <formula>""""""</formula>
    </cfRule>
  </conditionalFormatting>
  <conditionalFormatting sqref="R16:Z16">
    <cfRule type="cellIs" dxfId="672" priority="14732" operator="notEqual">
      <formula>""""""</formula>
    </cfRule>
  </conditionalFormatting>
  <conditionalFormatting sqref="R93:Z93">
    <cfRule type="cellIs" dxfId="671" priority="4286" operator="notEqual">
      <formula>""""""</formula>
    </cfRule>
  </conditionalFormatting>
  <conditionalFormatting sqref="S11:S12 S308:S311">
    <cfRule type="containsText" dxfId="670" priority="2247" operator="containsText" text="No decimal places, letters &amp; odd characters allowed">
      <formula>NOT(ISERROR(SEARCH("No decimal places, letters &amp; odd characters allowed",S11)))</formula>
    </cfRule>
    <cfRule type="containsText" dxfId="669" priority="2244" operator="containsText" text="No decimal places, letters &amp; odd characters allowed">
      <formula>NOT(ISERROR(SEARCH("No decimal places, letters &amp; odd characters allowed",S11)))</formula>
    </cfRule>
  </conditionalFormatting>
  <conditionalFormatting sqref="S18:S28">
    <cfRule type="containsText" dxfId="668" priority="2223" operator="containsText" text="No decimal places, letters &amp; odd characters allowed">
      <formula>NOT(ISERROR(SEARCH("No decimal places, letters &amp; odd characters allowed",S18)))</formula>
    </cfRule>
    <cfRule type="containsText" dxfId="667" priority="2220" operator="containsText" text="No decimal places, letters &amp; odd characters allowed">
      <formula>NOT(ISERROR(SEARCH("No decimal places, letters &amp; odd characters allowed",S18)))</formula>
    </cfRule>
  </conditionalFormatting>
  <conditionalFormatting sqref="S32:S37">
    <cfRule type="containsText" dxfId="666" priority="2205" operator="containsText" text="No decimal places, letters &amp; odd characters allowed">
      <formula>NOT(ISERROR(SEARCH("No decimal places, letters &amp; odd characters allowed",S32)))</formula>
    </cfRule>
    <cfRule type="containsText" dxfId="665" priority="2208" operator="containsText" text="No decimal places, letters &amp; odd characters allowed">
      <formula>NOT(ISERROR(SEARCH("No decimal places, letters &amp; odd characters allowed",S32)))</formula>
    </cfRule>
  </conditionalFormatting>
  <conditionalFormatting sqref="S40:S41">
    <cfRule type="containsText" dxfId="664" priority="2190" operator="containsText" text="No decimal places, letters &amp; odd characters allowed">
      <formula>NOT(ISERROR(SEARCH("No decimal places, letters &amp; odd characters allowed",S40)))</formula>
    </cfRule>
    <cfRule type="containsText" dxfId="663" priority="2193" operator="containsText" text="No decimal places, letters &amp; odd characters allowed">
      <formula>NOT(ISERROR(SEARCH("No decimal places, letters &amp; odd characters allowed",S40)))</formula>
    </cfRule>
  </conditionalFormatting>
  <conditionalFormatting sqref="S44">
    <cfRule type="containsText" dxfId="662" priority="2175" operator="containsText" text="No decimal places, letters &amp; odd characters allowed">
      <formula>NOT(ISERROR(SEARCH("No decimal places, letters &amp; odd characters allowed",S44)))</formula>
    </cfRule>
    <cfRule type="containsText" dxfId="661" priority="2178" operator="containsText" text="No decimal places, letters &amp; odd characters allowed">
      <formula>NOT(ISERROR(SEARCH("No decimal places, letters &amp; odd characters allowed",S44)))</formula>
    </cfRule>
  </conditionalFormatting>
  <conditionalFormatting sqref="S49:S52">
    <cfRule type="containsText" dxfId="660" priority="2039" operator="containsText" text="No decimal places, letters &amp; odd characters allowed">
      <formula>NOT(ISERROR(SEARCH("No decimal places, letters &amp; odd characters allowed",S49)))</formula>
    </cfRule>
    <cfRule type="containsText" dxfId="659" priority="2042" operator="containsText" text="No decimal places, letters &amp; odd characters allowed">
      <formula>NOT(ISERROR(SEARCH("No decimal places, letters &amp; odd characters allowed",S49)))</formula>
    </cfRule>
  </conditionalFormatting>
  <conditionalFormatting sqref="S56:S64">
    <cfRule type="containsText" dxfId="658" priority="2031" operator="containsText" text="No decimal places, letters &amp; odd characters allowed">
      <formula>NOT(ISERROR(SEARCH("No decimal places, letters &amp; odd characters allowed",S56)))</formula>
    </cfRule>
    <cfRule type="containsText" dxfId="657" priority="2034" operator="containsText" text="No decimal places, letters &amp; odd characters allowed">
      <formula>NOT(ISERROR(SEARCH("No decimal places, letters &amp; odd characters allowed",S56)))</formula>
    </cfRule>
  </conditionalFormatting>
  <conditionalFormatting sqref="S68">
    <cfRule type="containsText" dxfId="656" priority="2026" operator="containsText" text="No decimal places, letters &amp; odd characters allowed">
      <formula>NOT(ISERROR(SEARCH("No decimal places, letters &amp; odd characters allowed",S68)))</formula>
    </cfRule>
    <cfRule type="containsText" dxfId="655" priority="2023" operator="containsText" text="No decimal places, letters &amp; odd characters allowed">
      <formula>NOT(ISERROR(SEARCH("No decimal places, letters &amp; odd characters allowed",S68)))</formula>
    </cfRule>
  </conditionalFormatting>
  <conditionalFormatting sqref="S71:S77">
    <cfRule type="containsText" dxfId="654" priority="2018" operator="containsText" text="No decimal places, letters &amp; odd characters allowed">
      <formula>NOT(ISERROR(SEARCH("No decimal places, letters &amp; odd characters allowed",S71)))</formula>
    </cfRule>
    <cfRule type="containsText" dxfId="653" priority="2015" operator="containsText" text="No decimal places, letters &amp; odd characters allowed">
      <formula>NOT(ISERROR(SEARCH("No decimal places, letters &amp; odd characters allowed",S71)))</formula>
    </cfRule>
  </conditionalFormatting>
  <conditionalFormatting sqref="S81">
    <cfRule type="containsText" dxfId="652" priority="2010" operator="containsText" text="No decimal places, letters &amp; odd characters allowed">
      <formula>NOT(ISERROR(SEARCH("No decimal places, letters &amp; odd characters allowed",S81)))</formula>
    </cfRule>
    <cfRule type="containsText" dxfId="651" priority="2007" operator="containsText" text="No decimal places, letters &amp; odd characters allowed">
      <formula>NOT(ISERROR(SEARCH("No decimal places, letters &amp; odd characters allowed",S81)))</formula>
    </cfRule>
  </conditionalFormatting>
  <conditionalFormatting sqref="S84">
    <cfRule type="containsText" dxfId="650" priority="1997" operator="containsText" text="No decimal places, letters &amp; odd characters allowed">
      <formula>NOT(ISERROR(SEARCH("No decimal places, letters &amp; odd characters allowed",S84)))</formula>
    </cfRule>
    <cfRule type="containsText" dxfId="649" priority="1994" operator="containsText" text="No decimal places, letters &amp; odd characters allowed">
      <formula>NOT(ISERROR(SEARCH("No decimal places, letters &amp; odd characters allowed",S84)))</formula>
    </cfRule>
  </conditionalFormatting>
  <conditionalFormatting sqref="S88:S90">
    <cfRule type="containsText" dxfId="648" priority="1989" operator="containsText" text="No decimal places, letters &amp; odd characters allowed">
      <formula>NOT(ISERROR(SEARCH("No decimal places, letters &amp; odd characters allowed",S88)))</formula>
    </cfRule>
    <cfRule type="containsText" dxfId="647" priority="1986" operator="containsText" text="No decimal places, letters &amp; odd characters allowed">
      <formula>NOT(ISERROR(SEARCH("No decimal places, letters &amp; odd characters allowed",S88)))</formula>
    </cfRule>
  </conditionalFormatting>
  <conditionalFormatting sqref="S96:S99">
    <cfRule type="containsText" dxfId="646" priority="1978" operator="containsText" text="No decimal places, letters &amp; odd characters allowed">
      <formula>NOT(ISERROR(SEARCH("No decimal places, letters &amp; odd characters allowed",S96)))</formula>
    </cfRule>
    <cfRule type="containsText" dxfId="645" priority="1981" operator="containsText" text="No decimal places, letters &amp; odd characters allowed">
      <formula>NOT(ISERROR(SEARCH("No decimal places, letters &amp; odd characters allowed",S96)))</formula>
    </cfRule>
  </conditionalFormatting>
  <conditionalFormatting sqref="S103:S107">
    <cfRule type="containsText" dxfId="644" priority="1973" operator="containsText" text="No decimal places, letters &amp; odd characters allowed">
      <formula>NOT(ISERROR(SEARCH("No decimal places, letters &amp; odd characters allowed",S103)))</formula>
    </cfRule>
    <cfRule type="containsText" dxfId="643" priority="1970" operator="containsText" text="No decimal places, letters &amp; odd characters allowed">
      <formula>NOT(ISERROR(SEARCH("No decimal places, letters &amp; odd characters allowed",S103)))</formula>
    </cfRule>
  </conditionalFormatting>
  <conditionalFormatting sqref="S111:S112">
    <cfRule type="containsText" dxfId="642" priority="1965" operator="containsText" text="No decimal places, letters &amp; odd characters allowed">
      <formula>NOT(ISERROR(SEARCH("No decimal places, letters &amp; odd characters allowed",S111)))</formula>
    </cfRule>
    <cfRule type="containsText" dxfId="641" priority="1962" operator="containsText" text="No decimal places, letters &amp; odd characters allowed">
      <formula>NOT(ISERROR(SEARCH("No decimal places, letters &amp; odd characters allowed",S111)))</formula>
    </cfRule>
  </conditionalFormatting>
  <conditionalFormatting sqref="S116">
    <cfRule type="containsText" dxfId="640" priority="1957" operator="containsText" text="No decimal places, letters &amp; odd characters allowed">
      <formula>NOT(ISERROR(SEARCH("No decimal places, letters &amp; odd characters allowed",S116)))</formula>
    </cfRule>
    <cfRule type="containsText" dxfId="639" priority="1954" operator="containsText" text="No decimal places, letters &amp; odd characters allowed">
      <formula>NOT(ISERROR(SEARCH("No decimal places, letters &amp; odd characters allowed",S116)))</formula>
    </cfRule>
  </conditionalFormatting>
  <conditionalFormatting sqref="S122:S134">
    <cfRule type="containsText" dxfId="638" priority="1946" operator="containsText" text="No decimal places, letters &amp; odd characters allowed">
      <formula>NOT(ISERROR(SEARCH("No decimal places, letters &amp; odd characters allowed",S122)))</formula>
    </cfRule>
    <cfRule type="containsText" dxfId="637" priority="1949" operator="containsText" text="No decimal places, letters &amp; odd characters allowed">
      <formula>NOT(ISERROR(SEARCH("No decimal places, letters &amp; odd characters allowed",S122)))</formula>
    </cfRule>
  </conditionalFormatting>
  <conditionalFormatting sqref="S139">
    <cfRule type="containsText" dxfId="636" priority="1941" operator="containsText" text="No decimal places, letters &amp; odd characters allowed">
      <formula>NOT(ISERROR(SEARCH("No decimal places, letters &amp; odd characters allowed",S139)))</formula>
    </cfRule>
    <cfRule type="containsText" dxfId="635" priority="1938" operator="containsText" text="No decimal places, letters &amp; odd characters allowed">
      <formula>NOT(ISERROR(SEARCH("No decimal places, letters &amp; odd characters allowed",S139)))</formula>
    </cfRule>
  </conditionalFormatting>
  <conditionalFormatting sqref="S142">
    <cfRule type="containsText" dxfId="634" priority="1933" operator="containsText" text="No decimal places, letters &amp; odd characters allowed">
      <formula>NOT(ISERROR(SEARCH("No decimal places, letters &amp; odd characters allowed",S142)))</formula>
    </cfRule>
    <cfRule type="containsText" dxfId="633" priority="1930" operator="containsText" text="No decimal places, letters &amp; odd characters allowed">
      <formula>NOT(ISERROR(SEARCH("No decimal places, letters &amp; odd characters allowed",S142)))</formula>
    </cfRule>
  </conditionalFormatting>
  <conditionalFormatting sqref="S149:S151">
    <cfRule type="containsText" dxfId="632" priority="1922" operator="containsText" text="No decimal places, letters &amp; odd characters allowed">
      <formula>NOT(ISERROR(SEARCH("No decimal places, letters &amp; odd characters allowed",S149)))</formula>
    </cfRule>
    <cfRule type="containsText" dxfId="631" priority="1925" operator="containsText" text="No decimal places, letters &amp; odd characters allowed">
      <formula>NOT(ISERROR(SEARCH("No decimal places, letters &amp; odd characters allowed",S149)))</formula>
    </cfRule>
  </conditionalFormatting>
  <conditionalFormatting sqref="S156:S157">
    <cfRule type="containsText" dxfId="630" priority="1761" operator="containsText" text="No decimal places, letters &amp; odd characters allowed">
      <formula>NOT(ISERROR(SEARCH("No decimal places, letters &amp; odd characters allowed",S156)))</formula>
    </cfRule>
  </conditionalFormatting>
  <conditionalFormatting sqref="S161:S162">
    <cfRule type="containsText" dxfId="629" priority="14649" operator="containsText" text="No decimal places, letters &amp; odd characters allowed">
      <formula>NOT(ISERROR(SEARCH("No decimal places, letters &amp; odd characters allowed",S161)))</formula>
    </cfRule>
  </conditionalFormatting>
  <conditionalFormatting sqref="S167">
    <cfRule type="containsText" dxfId="628" priority="1909" operator="containsText" text="No decimal places, letters &amp; odd characters allowed">
      <formula>NOT(ISERROR(SEARCH("No decimal places, letters &amp; odd characters allowed",S167)))</formula>
    </cfRule>
    <cfRule type="containsText" dxfId="627" priority="1906" operator="containsText" text="No decimal places, letters &amp; odd characters allowed">
      <formula>NOT(ISERROR(SEARCH("No decimal places, letters &amp; odd characters allowed",S167)))</formula>
    </cfRule>
  </conditionalFormatting>
  <conditionalFormatting sqref="S169">
    <cfRule type="containsText" dxfId="626" priority="1898" operator="containsText" text="No decimal places, letters &amp; odd characters allowed">
      <formula>NOT(ISERROR(SEARCH("No decimal places, letters &amp; odd characters allowed",S169)))</formula>
    </cfRule>
    <cfRule type="containsText" dxfId="625" priority="1901" operator="containsText" text="No decimal places, letters &amp; odd characters allowed">
      <formula>NOT(ISERROR(SEARCH("No decimal places, letters &amp; odd characters allowed",S169)))</formula>
    </cfRule>
  </conditionalFormatting>
  <conditionalFormatting sqref="S174">
    <cfRule type="containsText" dxfId="624" priority="1890" operator="containsText" text="No decimal places, letters &amp; odd characters allowed">
      <formula>NOT(ISERROR(SEARCH("No decimal places, letters &amp; odd characters allowed",S174)))</formula>
    </cfRule>
    <cfRule type="containsText" dxfId="623" priority="1893" operator="containsText" text="No decimal places, letters &amp; odd characters allowed">
      <formula>NOT(ISERROR(SEARCH("No decimal places, letters &amp; odd characters allowed",S174)))</formula>
    </cfRule>
  </conditionalFormatting>
  <conditionalFormatting sqref="S176">
    <cfRule type="containsText" dxfId="622" priority="1388" operator="containsText" text="No decimal places, letters &amp; odd characters allowed">
      <formula>NOT(ISERROR(SEARCH("No decimal places, letters &amp; odd characters allowed",S176)))</formula>
    </cfRule>
    <cfRule type="containsText" dxfId="621" priority="1391" operator="containsText" text="No decimal places, letters &amp; odd characters allowed">
      <formula>NOT(ISERROR(SEARCH("No decimal places, letters &amp; odd characters allowed",S176)))</formula>
    </cfRule>
  </conditionalFormatting>
  <conditionalFormatting sqref="S178">
    <cfRule type="containsText" dxfId="620" priority="1380" operator="containsText" text="No decimal places, letters &amp; odd characters allowed">
      <formula>NOT(ISERROR(SEARCH("No decimal places, letters &amp; odd characters allowed",S178)))</formula>
    </cfRule>
    <cfRule type="containsText" dxfId="619" priority="1383" operator="containsText" text="No decimal places, letters &amp; odd characters allowed">
      <formula>NOT(ISERROR(SEARCH("No decimal places, letters &amp; odd characters allowed",S178)))</formula>
    </cfRule>
  </conditionalFormatting>
  <conditionalFormatting sqref="S182:S184">
    <cfRule type="containsText" dxfId="618" priority="1343" operator="containsText" text="No decimal places, letters &amp; odd characters allowed">
      <formula>NOT(ISERROR(SEARCH("No decimal places, letters &amp; odd characters allowed",S182)))</formula>
    </cfRule>
  </conditionalFormatting>
  <conditionalFormatting sqref="S188:S190">
    <cfRule type="containsText" dxfId="617" priority="1869" operator="containsText" text="No decimal places, letters &amp; odd characters allowed">
      <formula>NOT(ISERROR(SEARCH("No decimal places, letters &amp; odd characters allowed",S188)))</formula>
    </cfRule>
    <cfRule type="containsText" dxfId="616" priority="1866" operator="containsText" text="No decimal places, letters &amp; odd characters allowed">
      <formula>NOT(ISERROR(SEARCH("No decimal places, letters &amp; odd characters allowed",S188)))</formula>
    </cfRule>
  </conditionalFormatting>
  <conditionalFormatting sqref="S196:S198">
    <cfRule type="containsText" dxfId="615" priority="1861" operator="containsText" text="No decimal places, letters &amp; odd characters allowed">
      <formula>NOT(ISERROR(SEARCH("No decimal places, letters &amp; odd characters allowed",S196)))</formula>
    </cfRule>
    <cfRule type="containsText" dxfId="614" priority="1858" operator="containsText" text="No decimal places, letters &amp; odd characters allowed">
      <formula>NOT(ISERROR(SEARCH("No decimal places, letters &amp; odd characters allowed",S196)))</formula>
    </cfRule>
  </conditionalFormatting>
  <conditionalFormatting sqref="S205:S294">
    <cfRule type="containsText" dxfId="613" priority="1853" operator="containsText" text="No decimal places, letters &amp; odd characters allowed">
      <formula>NOT(ISERROR(SEARCH("No decimal places, letters &amp; odd characters allowed",S205)))</formula>
    </cfRule>
    <cfRule type="containsText" dxfId="612" priority="1850" operator="containsText" text="No decimal places, letters &amp; odd characters allowed">
      <formula>NOT(ISERROR(SEARCH("No decimal places, letters &amp; odd characters allowed",S205)))</formula>
    </cfRule>
  </conditionalFormatting>
  <conditionalFormatting sqref="S299:S304">
    <cfRule type="containsText" dxfId="611" priority="1845" operator="containsText" text="No decimal places, letters &amp; odd characters allowed">
      <formula>NOT(ISERROR(SEARCH("No decimal places, letters &amp; odd characters allowed",S299)))</formula>
    </cfRule>
    <cfRule type="containsText" dxfId="610" priority="1842" operator="containsText" text="No decimal places, letters &amp; odd characters allowed">
      <formula>NOT(ISERROR(SEARCH("No decimal places, letters &amp; odd characters allowed",S299)))</formula>
    </cfRule>
  </conditionalFormatting>
  <conditionalFormatting sqref="S315:S316">
    <cfRule type="containsText" dxfId="609" priority="1826" operator="containsText" text="No decimal places, letters &amp; odd characters allowed">
      <formula>NOT(ISERROR(SEARCH("No decimal places, letters &amp; odd characters allowed",S315)))</formula>
    </cfRule>
    <cfRule type="containsText" dxfId="608" priority="1829" operator="containsText" text="No decimal places, letters &amp; odd characters allowed">
      <formula>NOT(ISERROR(SEARCH("No decimal places, letters &amp; odd characters allowed",S315)))</formula>
    </cfRule>
  </conditionalFormatting>
  <conditionalFormatting sqref="S320:S324">
    <cfRule type="containsText" dxfId="607" priority="1818" operator="containsText" text="No decimal places, letters &amp; odd characters allowed">
      <formula>NOT(ISERROR(SEARCH("No decimal places, letters &amp; odd characters allowed",S320)))</formula>
    </cfRule>
    <cfRule type="containsText" dxfId="606" priority="1821" operator="containsText" text="No decimal places, letters &amp; odd characters allowed">
      <formula>NOT(ISERROR(SEARCH("No decimal places, letters &amp; odd characters allowed",S320)))</formula>
    </cfRule>
  </conditionalFormatting>
  <conditionalFormatting sqref="S328:S331">
    <cfRule type="containsText" dxfId="605" priority="1813" operator="containsText" text="No decimal places, letters &amp; odd characters allowed">
      <formula>NOT(ISERROR(SEARCH("No decimal places, letters &amp; odd characters allowed",S328)))</formula>
    </cfRule>
    <cfRule type="containsText" dxfId="604" priority="1810" operator="containsText" text="No decimal places, letters &amp; odd characters allowed">
      <formula>NOT(ISERROR(SEARCH("No decimal places, letters &amp; odd characters allowed",S328)))</formula>
    </cfRule>
  </conditionalFormatting>
  <conditionalFormatting sqref="S335:S338">
    <cfRule type="containsText" dxfId="603" priority="1805" operator="containsText" text="No decimal places, letters &amp; odd characters allowed">
      <formula>NOT(ISERROR(SEARCH("No decimal places, letters &amp; odd characters allowed",S335)))</formula>
    </cfRule>
    <cfRule type="containsText" dxfId="602" priority="1802" operator="containsText" text="No decimal places, letters &amp; odd characters allowed">
      <formula>NOT(ISERROR(SEARCH("No decimal places, letters &amp; odd characters allowed",S335)))</formula>
    </cfRule>
  </conditionalFormatting>
  <conditionalFormatting sqref="S295:U296">
    <cfRule type="cellIs" dxfId="601" priority="20018" operator="notEqual">
      <formula>""""""</formula>
    </cfRule>
  </conditionalFormatting>
  <conditionalFormatting sqref="S317:U317">
    <cfRule type="cellIs" dxfId="600" priority="20007" operator="notEqual">
      <formula>""""""</formula>
    </cfRule>
  </conditionalFormatting>
  <conditionalFormatting sqref="S325:U325">
    <cfRule type="cellIs" dxfId="599" priority="20004" operator="notEqual">
      <formula>""""""</formula>
    </cfRule>
  </conditionalFormatting>
  <conditionalFormatting sqref="S332:U332">
    <cfRule type="cellIs" dxfId="598" priority="20001" operator="notEqual">
      <formula>""""""</formula>
    </cfRule>
  </conditionalFormatting>
  <conditionalFormatting sqref="S14:Z14">
    <cfRule type="cellIs" dxfId="597" priority="4290" operator="notEqual">
      <formula>""""""</formula>
    </cfRule>
  </conditionalFormatting>
  <conditionalFormatting sqref="S79:Z79">
    <cfRule type="cellIs" dxfId="596" priority="4288" operator="notEqual">
      <formula>""""""</formula>
    </cfRule>
  </conditionalFormatting>
  <conditionalFormatting sqref="S120:Z120">
    <cfRule type="cellIs" dxfId="595" priority="4284" operator="notEqual">
      <formula>""""""</formula>
    </cfRule>
  </conditionalFormatting>
  <conditionalFormatting sqref="S154:Z154">
    <cfRule type="cellIs" dxfId="594" priority="4282" operator="notEqual">
      <formula>""""""</formula>
    </cfRule>
  </conditionalFormatting>
  <conditionalFormatting sqref="S159:Z159">
    <cfRule type="cellIs" dxfId="593" priority="4278" operator="notEqual">
      <formula>""""""</formula>
    </cfRule>
  </conditionalFormatting>
  <conditionalFormatting sqref="S164:Z165">
    <cfRule type="cellIs" dxfId="592" priority="4274" operator="notEqual">
      <formula>""""""</formula>
    </cfRule>
  </conditionalFormatting>
  <conditionalFormatting sqref="S171:Z172">
    <cfRule type="cellIs" dxfId="591" priority="4270" operator="notEqual">
      <formula>""""""</formula>
    </cfRule>
  </conditionalFormatting>
  <conditionalFormatting sqref="S180:Z180">
    <cfRule type="cellIs" dxfId="590" priority="4266" operator="notEqual">
      <formula>""""""</formula>
    </cfRule>
  </conditionalFormatting>
  <conditionalFormatting sqref="S186:Z186">
    <cfRule type="cellIs" dxfId="589" priority="4262" operator="notEqual">
      <formula>""""""</formula>
    </cfRule>
  </conditionalFormatting>
  <conditionalFormatting sqref="S193:Z193">
    <cfRule type="cellIs" dxfId="588" priority="4258" operator="notEqual">
      <formula>""""""</formula>
    </cfRule>
  </conditionalFormatting>
  <conditionalFormatting sqref="S203:Z203">
    <cfRule type="cellIs" dxfId="587" priority="1296" operator="notEqual">
      <formula>""""""</formula>
    </cfRule>
  </conditionalFormatting>
  <conditionalFormatting sqref="S297:Z297">
    <cfRule type="cellIs" dxfId="586" priority="4254" operator="notEqual">
      <formula>""""""</formula>
    </cfRule>
  </conditionalFormatting>
  <conditionalFormatting sqref="S306:Z306">
    <cfRule type="cellIs" dxfId="585" priority="4250" operator="notEqual">
      <formula>""""""</formula>
    </cfRule>
  </conditionalFormatting>
  <conditionalFormatting sqref="S314:Z314">
    <cfRule type="cellIs" dxfId="584" priority="4246" operator="notEqual">
      <formula>""""""</formula>
    </cfRule>
  </conditionalFormatting>
  <conditionalFormatting sqref="S318:Z318">
    <cfRule type="cellIs" dxfId="583" priority="4242" operator="notEqual">
      <formula>""""""</formula>
    </cfRule>
  </conditionalFormatting>
  <conditionalFormatting sqref="S326:Z326">
    <cfRule type="cellIs" dxfId="582" priority="4238" operator="notEqual">
      <formula>""""""</formula>
    </cfRule>
  </conditionalFormatting>
  <conditionalFormatting sqref="S333:Z333">
    <cfRule type="cellIs" dxfId="581" priority="4234" operator="notEqual">
      <formula>""""""</formula>
    </cfRule>
  </conditionalFormatting>
  <conditionalFormatting sqref="T11:T12 T308:T311">
    <cfRule type="containsText" dxfId="580" priority="2246" operator="containsText" text="Input value is below the minimum value allowed">
      <formula>NOT(ISERROR(SEARCH("Input value is below the minimum value allowed",T11)))</formula>
    </cfRule>
    <cfRule type="containsText" dxfId="579" priority="2241" operator="containsText" text="Input value is below the minimum value allowed">
      <formula>NOT(ISERROR(SEARCH("Input value is below the minimum value allowed",T11)))</formula>
    </cfRule>
    <cfRule type="containsText" priority="2242" operator="containsText" text="Input value is below the minimum value allowed">
      <formula>NOT(ISERROR(SEARCH("Input value is below the minimum value allowed",T11)))</formula>
    </cfRule>
  </conditionalFormatting>
  <conditionalFormatting sqref="T18:T28">
    <cfRule type="containsText" dxfId="578" priority="2222" operator="containsText" text="Input value is below the minimum value allowed">
      <formula>NOT(ISERROR(SEARCH("Input value is below the minimum value allowed",T18)))</formula>
    </cfRule>
    <cfRule type="containsText" dxfId="577" priority="2217" operator="containsText" text="Input value is below the minimum value allowed">
      <formula>NOT(ISERROR(SEARCH("Input value is below the minimum value allowed",T18)))</formula>
    </cfRule>
    <cfRule type="containsText" priority="2218" operator="containsText" text="Input value is below the minimum value allowed">
      <formula>NOT(ISERROR(SEARCH("Input value is below the minimum value allowed",T18)))</formula>
    </cfRule>
  </conditionalFormatting>
  <conditionalFormatting sqref="T32:T37">
    <cfRule type="containsText" dxfId="576" priority="1652" operator="containsText" text="Input value is below the minimum value allowed">
      <formula>NOT(ISERROR(SEARCH("Input value is below the minimum value allowed",T32)))</formula>
    </cfRule>
    <cfRule type="containsText" dxfId="575" priority="1655" operator="containsText" text="Input value is below the minimum value allowed">
      <formula>NOT(ISERROR(SEARCH("Input value is below the minimum value allowed",T32)))</formula>
    </cfRule>
    <cfRule type="containsText" priority="1653" operator="containsText" text="Input value is below the minimum value allowed">
      <formula>NOT(ISERROR(SEARCH("Input value is below the minimum value allowed",T32)))</formula>
    </cfRule>
  </conditionalFormatting>
  <conditionalFormatting sqref="T40:T41">
    <cfRule type="containsText" priority="1647" operator="containsText" text="Input value is below the minimum value allowed">
      <formula>NOT(ISERROR(SEARCH("Input value is below the minimum value allowed",T40)))</formula>
    </cfRule>
    <cfRule type="containsText" dxfId="574" priority="1646" operator="containsText" text="Input value is below the minimum value allowed">
      <formula>NOT(ISERROR(SEARCH("Input value is below the minimum value allowed",T40)))</formula>
    </cfRule>
    <cfRule type="containsText" dxfId="573" priority="1649" operator="containsText" text="Input value is below the minimum value allowed">
      <formula>NOT(ISERROR(SEARCH("Input value is below the minimum value allowed",T40)))</formula>
    </cfRule>
  </conditionalFormatting>
  <conditionalFormatting sqref="T44">
    <cfRule type="containsText" dxfId="572" priority="1643" operator="containsText" text="Input value is below the minimum value allowed">
      <formula>NOT(ISERROR(SEARCH("Input value is below the minimum value allowed",T44)))</formula>
    </cfRule>
    <cfRule type="containsText" dxfId="571" priority="1640" operator="containsText" text="Input value is below the minimum value allowed">
      <formula>NOT(ISERROR(SEARCH("Input value is below the minimum value allowed",T44)))</formula>
    </cfRule>
    <cfRule type="containsText" priority="1641" operator="containsText" text="Input value is below the minimum value allowed">
      <formula>NOT(ISERROR(SEARCH("Input value is below the minimum value allowed",T44)))</formula>
    </cfRule>
  </conditionalFormatting>
  <conditionalFormatting sqref="T49:T52">
    <cfRule type="containsText" priority="1635" operator="containsText" text="Input value is below the minimum value allowed">
      <formula>NOT(ISERROR(SEARCH("Input value is below the minimum value allowed",T49)))</formula>
    </cfRule>
    <cfRule type="containsText" dxfId="570" priority="1634" operator="containsText" text="Input value is below the minimum value allowed">
      <formula>NOT(ISERROR(SEARCH("Input value is below the minimum value allowed",T49)))</formula>
    </cfRule>
    <cfRule type="containsText" dxfId="569" priority="1637" operator="containsText" text="Input value is below the minimum value allowed">
      <formula>NOT(ISERROR(SEARCH("Input value is below the minimum value allowed",T49)))</formula>
    </cfRule>
  </conditionalFormatting>
  <conditionalFormatting sqref="T56:T64">
    <cfRule type="containsText" dxfId="568" priority="1631" operator="containsText" text="Input value is below the minimum value allowed">
      <formula>NOT(ISERROR(SEARCH("Input value is below the minimum value allowed",T56)))</formula>
    </cfRule>
    <cfRule type="containsText" dxfId="567" priority="1628" operator="containsText" text="Input value is below the minimum value allowed">
      <formula>NOT(ISERROR(SEARCH("Input value is below the minimum value allowed",T56)))</formula>
    </cfRule>
    <cfRule type="containsText" priority="1629" operator="containsText" text="Input value is below the minimum value allowed">
      <formula>NOT(ISERROR(SEARCH("Input value is below the minimum value allowed",T56)))</formula>
    </cfRule>
  </conditionalFormatting>
  <conditionalFormatting sqref="T68">
    <cfRule type="containsText" dxfId="566" priority="1625" operator="containsText" text="Input value is below the minimum value allowed">
      <formula>NOT(ISERROR(SEARCH("Input value is below the minimum value allowed",T68)))</formula>
    </cfRule>
    <cfRule type="containsText" priority="1623" operator="containsText" text="Input value is below the minimum value allowed">
      <formula>NOT(ISERROR(SEARCH("Input value is below the minimum value allowed",T68)))</formula>
    </cfRule>
    <cfRule type="containsText" dxfId="565" priority="1622" operator="containsText" text="Input value is below the minimum value allowed">
      <formula>NOT(ISERROR(SEARCH("Input value is below the minimum value allowed",T68)))</formula>
    </cfRule>
  </conditionalFormatting>
  <conditionalFormatting sqref="T71:T77">
    <cfRule type="containsText" dxfId="564" priority="1571" operator="containsText" text="Input value is below the minimum value allowed">
      <formula>NOT(ISERROR(SEARCH("Input value is below the minimum value allowed",T71)))</formula>
    </cfRule>
    <cfRule type="containsText" dxfId="563" priority="1568" operator="containsText" text="Input value is below the minimum value allowed">
      <formula>NOT(ISERROR(SEARCH("Input value is below the minimum value allowed",T71)))</formula>
    </cfRule>
    <cfRule type="containsText" priority="1569" operator="containsText" text="Input value is below the minimum value allowed">
      <formula>NOT(ISERROR(SEARCH("Input value is below the minimum value allowed",T71)))</formula>
    </cfRule>
  </conditionalFormatting>
  <conditionalFormatting sqref="T81">
    <cfRule type="containsText" priority="1563" operator="containsText" text="Input value is below the minimum value allowed">
      <formula>NOT(ISERROR(SEARCH("Input value is below the minimum value allowed",T81)))</formula>
    </cfRule>
    <cfRule type="containsText" dxfId="562" priority="1565" operator="containsText" text="Input value is below the minimum value allowed">
      <formula>NOT(ISERROR(SEARCH("Input value is below the minimum value allowed",T81)))</formula>
    </cfRule>
    <cfRule type="containsText" dxfId="561" priority="1562" operator="containsText" text="Input value is below the minimum value allowed">
      <formula>NOT(ISERROR(SEARCH("Input value is below the minimum value allowed",T81)))</formula>
    </cfRule>
  </conditionalFormatting>
  <conditionalFormatting sqref="T84">
    <cfRule type="containsText" priority="1543" operator="containsText" text="Input value is below the minimum value allowed">
      <formula>NOT(ISERROR(SEARCH("Input value is below the minimum value allowed",T84)))</formula>
    </cfRule>
    <cfRule type="containsText" dxfId="560" priority="1544" operator="containsText" text="Input value is below the minimum value allowed">
      <formula>NOT(ISERROR(SEARCH("Input value is below the minimum value allowed",T84)))</formula>
    </cfRule>
    <cfRule type="containsText" dxfId="559" priority="1542" operator="containsText" text="Input value is below the minimum value allowed">
      <formula>NOT(ISERROR(SEARCH("Input value is below the minimum value allowed",T84)))</formula>
    </cfRule>
  </conditionalFormatting>
  <conditionalFormatting sqref="T88:T90">
    <cfRule type="containsText" dxfId="558" priority="1529" operator="containsText" text="Input value is below the minimum value allowed">
      <formula>NOT(ISERROR(SEARCH("Input value is below the minimum value allowed",T88)))</formula>
    </cfRule>
    <cfRule type="containsText" priority="1527" operator="containsText" text="Input value is below the minimum value allowed">
      <formula>NOT(ISERROR(SEARCH("Input value is below the minimum value allowed",T88)))</formula>
    </cfRule>
    <cfRule type="containsText" dxfId="557" priority="1526" operator="containsText" text="Input value is below the minimum value allowed">
      <formula>NOT(ISERROR(SEARCH("Input value is below the minimum value allowed",T88)))</formula>
    </cfRule>
  </conditionalFormatting>
  <conditionalFormatting sqref="T96:T99">
    <cfRule type="containsText" dxfId="556" priority="1523" operator="containsText" text="Input value is below the minimum value allowed">
      <formula>NOT(ISERROR(SEARCH("Input value is below the minimum value allowed",T96)))</formula>
    </cfRule>
    <cfRule type="containsText" dxfId="555" priority="1520" operator="containsText" text="Input value is below the minimum value allowed">
      <formula>NOT(ISERROR(SEARCH("Input value is below the minimum value allowed",T96)))</formula>
    </cfRule>
    <cfRule type="containsText" priority="1521" operator="containsText" text="Input value is below the minimum value allowed">
      <formula>NOT(ISERROR(SEARCH("Input value is below the minimum value allowed",T96)))</formula>
    </cfRule>
  </conditionalFormatting>
  <conditionalFormatting sqref="T103:T107">
    <cfRule type="containsText" priority="1497" operator="containsText" text="Input value is below the minimum value allowed">
      <formula>NOT(ISERROR(SEARCH("Input value is below the minimum value allowed",T103)))</formula>
    </cfRule>
    <cfRule type="containsText" dxfId="554" priority="1499" operator="containsText" text="Input value is below the minimum value allowed">
      <formula>NOT(ISERROR(SEARCH("Input value is below the minimum value allowed",T103)))</formula>
    </cfRule>
    <cfRule type="containsText" dxfId="553" priority="1496" operator="containsText" text="Input value is below the minimum value allowed">
      <formula>NOT(ISERROR(SEARCH("Input value is below the minimum value allowed",T103)))</formula>
    </cfRule>
  </conditionalFormatting>
  <conditionalFormatting sqref="T111:T112">
    <cfRule type="containsText" priority="1485" operator="containsText" text="Input value is below the minimum value allowed">
      <formula>NOT(ISERROR(SEARCH("Input value is below the minimum value allowed",T111)))</formula>
    </cfRule>
    <cfRule type="containsText" dxfId="552" priority="1487" operator="containsText" text="Input value is below the minimum value allowed">
      <formula>NOT(ISERROR(SEARCH("Input value is below the minimum value allowed",T111)))</formula>
    </cfRule>
    <cfRule type="containsText" dxfId="551" priority="1484" operator="containsText" text="Input value is below the minimum value allowed">
      <formula>NOT(ISERROR(SEARCH("Input value is below the minimum value allowed",T111)))</formula>
    </cfRule>
  </conditionalFormatting>
  <conditionalFormatting sqref="T116">
    <cfRule type="containsText" dxfId="550" priority="1956" operator="containsText" text="Input value is below the minimum value allowed">
      <formula>NOT(ISERROR(SEARCH("Input value is below the minimum value allowed",T116)))</formula>
    </cfRule>
    <cfRule type="containsText" dxfId="549" priority="1952" operator="containsText" text="Input value is below the minimum value allowed">
      <formula>NOT(ISERROR(SEARCH("Input value is below the minimum value allowed",T116)))</formula>
    </cfRule>
    <cfRule type="containsText" priority="1953" operator="containsText" text="Input value is below the minimum value allowed">
      <formula>NOT(ISERROR(SEARCH("Input value is below the minimum value allowed",T116)))</formula>
    </cfRule>
  </conditionalFormatting>
  <conditionalFormatting sqref="T122:T134">
    <cfRule type="containsText" dxfId="548" priority="1463" operator="containsText" text="Input value is below the minimum value allowed">
      <formula>NOT(ISERROR(SEARCH("Input value is below the minimum value allowed",T122)))</formula>
    </cfRule>
    <cfRule type="containsText" dxfId="547" priority="1460" operator="containsText" text="Input value is below the minimum value allowed">
      <formula>NOT(ISERROR(SEARCH("Input value is below the minimum value allowed",T122)))</formula>
    </cfRule>
    <cfRule type="containsText" priority="1461" operator="containsText" text="Input value is below the minimum value allowed">
      <formula>NOT(ISERROR(SEARCH("Input value is below the minimum value allowed",T122)))</formula>
    </cfRule>
  </conditionalFormatting>
  <conditionalFormatting sqref="T139">
    <cfRule type="containsText" dxfId="546" priority="1936" operator="containsText" text="Input value is below the minimum value allowed">
      <formula>NOT(ISERROR(SEARCH("Input value is below the minimum value allowed",T139)))</formula>
    </cfRule>
    <cfRule type="containsText" priority="1937" operator="containsText" text="Input value is below the minimum value allowed">
      <formula>NOT(ISERROR(SEARCH("Input value is below the minimum value allowed",T139)))</formula>
    </cfRule>
    <cfRule type="containsText" dxfId="545" priority="1940" operator="containsText" text="Input value is below the minimum value allowed">
      <formula>NOT(ISERROR(SEARCH("Input value is below the minimum value allowed",T139)))</formula>
    </cfRule>
  </conditionalFormatting>
  <conditionalFormatting sqref="T142">
    <cfRule type="containsText" dxfId="544" priority="1457" operator="containsText" text="Input value is below the minimum value allowed">
      <formula>NOT(ISERROR(SEARCH("Input value is below the minimum value allowed",T142)))</formula>
    </cfRule>
    <cfRule type="containsText" dxfId="543" priority="1454" operator="containsText" text="Input value is below the minimum value allowed">
      <formula>NOT(ISERROR(SEARCH("Input value is below the minimum value allowed",T142)))</formula>
    </cfRule>
    <cfRule type="containsText" priority="1455" operator="containsText" text="Input value is below the minimum value allowed">
      <formula>NOT(ISERROR(SEARCH("Input value is below the minimum value allowed",T142)))</formula>
    </cfRule>
  </conditionalFormatting>
  <conditionalFormatting sqref="T149:T151">
    <cfRule type="containsText" dxfId="542" priority="1439" operator="containsText" text="Input value is below the minimum value allowed">
      <formula>NOT(ISERROR(SEARCH("Input value is below the minimum value allowed",T149)))</formula>
    </cfRule>
    <cfRule type="containsText" priority="1437" operator="containsText" text="Input value is below the minimum value allowed">
      <formula>NOT(ISERROR(SEARCH("Input value is below the minimum value allowed",T149)))</formula>
    </cfRule>
    <cfRule type="containsText" dxfId="541" priority="1436" operator="containsText" text="Input value is below the minimum value allowed">
      <formula>NOT(ISERROR(SEARCH("Input value is below the minimum value allowed",T149)))</formula>
    </cfRule>
  </conditionalFormatting>
  <conditionalFormatting sqref="T156:T157">
    <cfRule type="containsText" dxfId="540" priority="1418" operator="containsText" text="Input value is below the minimum value allowed">
      <formula>NOT(ISERROR(SEARCH("Input value is below the minimum value allowed",T156)))</formula>
    </cfRule>
    <cfRule type="containsText" dxfId="539" priority="1421" operator="containsText" text="Input value is below the minimum value allowed">
      <formula>NOT(ISERROR(SEARCH("Input value is below the minimum value allowed",T156)))</formula>
    </cfRule>
    <cfRule type="containsText" priority="1419" operator="containsText" text="Input value is below the minimum value allowed">
      <formula>NOT(ISERROR(SEARCH("Input value is below the minimum value allowed",T156)))</formula>
    </cfRule>
  </conditionalFormatting>
  <conditionalFormatting sqref="T161:T162">
    <cfRule type="containsText" priority="1407" operator="containsText" text="Input value is below the minimum value allowed">
      <formula>NOT(ISERROR(SEARCH("Input value is below the minimum value allowed",T161)))</formula>
    </cfRule>
    <cfRule type="containsText" dxfId="538" priority="1409" operator="containsText" text="Input value is below the minimum value allowed">
      <formula>NOT(ISERROR(SEARCH("Input value is below the minimum value allowed",T161)))</formula>
    </cfRule>
    <cfRule type="containsText" dxfId="537" priority="1406" operator="containsText" text="Input value is below the minimum value allowed">
      <formula>NOT(ISERROR(SEARCH("Input value is below the minimum value allowed",T161)))</formula>
    </cfRule>
  </conditionalFormatting>
  <conditionalFormatting sqref="T167">
    <cfRule type="containsText" dxfId="536" priority="1401" operator="containsText" text="Input value is below the minimum value allowed">
      <formula>NOT(ISERROR(SEARCH("Input value is below the minimum value allowed",T167)))</formula>
    </cfRule>
    <cfRule type="containsText" priority="1402" operator="containsText" text="Input value is below the minimum value allowed">
      <formula>NOT(ISERROR(SEARCH("Input value is below the minimum value allowed",T167)))</formula>
    </cfRule>
    <cfRule type="containsText" dxfId="535" priority="1403" operator="containsText" text="Input value is below the minimum value allowed">
      <formula>NOT(ISERROR(SEARCH("Input value is below the minimum value allowed",T167)))</formula>
    </cfRule>
  </conditionalFormatting>
  <conditionalFormatting sqref="T169">
    <cfRule type="containsText" dxfId="534" priority="1395" operator="containsText" text="Input value is below the minimum value allowed">
      <formula>NOT(ISERROR(SEARCH("Input value is below the minimum value allowed",T169)))</formula>
    </cfRule>
    <cfRule type="containsText" priority="1396" operator="containsText" text="Input value is below the minimum value allowed">
      <formula>NOT(ISERROR(SEARCH("Input value is below the minimum value allowed",T169)))</formula>
    </cfRule>
    <cfRule type="containsText" dxfId="533" priority="1397" operator="containsText" text="Input value is below the minimum value allowed">
      <formula>NOT(ISERROR(SEARCH("Input value is below the minimum value allowed",T169)))</formula>
    </cfRule>
  </conditionalFormatting>
  <conditionalFormatting sqref="T174">
    <cfRule type="containsText" dxfId="532" priority="1888" operator="containsText" text="Input value is below the minimum value allowed">
      <formula>NOT(ISERROR(SEARCH("Input value is below the minimum value allowed",T174)))</formula>
    </cfRule>
    <cfRule type="containsText" priority="1889" operator="containsText" text="Input value is below the minimum value allowed">
      <formula>NOT(ISERROR(SEARCH("Input value is below the minimum value allowed",T174)))</formula>
    </cfRule>
    <cfRule type="containsText" dxfId="531" priority="1892" operator="containsText" text="Input value is below the minimum value allowed">
      <formula>NOT(ISERROR(SEARCH("Input value is below the minimum value allowed",T174)))</formula>
    </cfRule>
  </conditionalFormatting>
  <conditionalFormatting sqref="T176">
    <cfRule type="containsText" priority="1387" operator="containsText" text="Input value is below the minimum value allowed">
      <formula>NOT(ISERROR(SEARCH("Input value is below the minimum value allowed",T176)))</formula>
    </cfRule>
    <cfRule type="containsText" dxfId="530" priority="1390" operator="containsText" text="Input value is below the minimum value allowed">
      <formula>NOT(ISERROR(SEARCH("Input value is below the minimum value allowed",T176)))</formula>
    </cfRule>
    <cfRule type="containsText" dxfId="529" priority="1386" operator="containsText" text="Input value is below the minimum value allowed">
      <formula>NOT(ISERROR(SEARCH("Input value is below the minimum value allowed",T176)))</formula>
    </cfRule>
  </conditionalFormatting>
  <conditionalFormatting sqref="T178">
    <cfRule type="containsText" priority="1379" operator="containsText" text="Input value is below the minimum value allowed">
      <formula>NOT(ISERROR(SEARCH("Input value is below the minimum value allowed",T178)))</formula>
    </cfRule>
    <cfRule type="containsText" dxfId="528" priority="1378" operator="containsText" text="Input value is below the minimum value allowed">
      <formula>NOT(ISERROR(SEARCH("Input value is below the minimum value allowed",T178)))</formula>
    </cfRule>
    <cfRule type="containsText" dxfId="527" priority="1382" operator="containsText" text="Input value is below the minimum value allowed">
      <formula>NOT(ISERROR(SEARCH("Input value is below the minimum value allowed",T178)))</formula>
    </cfRule>
  </conditionalFormatting>
  <conditionalFormatting sqref="T182:T184">
    <cfRule type="containsText" priority="1340" operator="containsText" text="Input value is below the minimum value allowed">
      <formula>NOT(ISERROR(SEARCH("Input value is below the minimum value allowed",T182)))</formula>
    </cfRule>
    <cfRule type="containsText" dxfId="526" priority="1342" operator="containsText" text="Input value is below the minimum value allowed">
      <formula>NOT(ISERROR(SEARCH("Input value is below the minimum value allowed",T182)))</formula>
    </cfRule>
    <cfRule type="containsText" dxfId="525" priority="1339" operator="containsText" text="Input value is below the minimum value allowed">
      <formula>NOT(ISERROR(SEARCH("Input value is below the minimum value allowed",T182)))</formula>
    </cfRule>
  </conditionalFormatting>
  <conditionalFormatting sqref="T188:T190">
    <cfRule type="containsText" priority="1322" operator="containsText" text="Input value is below the minimum value allowed">
      <formula>NOT(ISERROR(SEARCH("Input value is below the minimum value allowed",T188)))</formula>
    </cfRule>
    <cfRule type="containsText" dxfId="524" priority="1321" operator="containsText" text="Input value is below the minimum value allowed">
      <formula>NOT(ISERROR(SEARCH("Input value is below the minimum value allowed",T188)))</formula>
    </cfRule>
    <cfRule type="containsText" dxfId="523" priority="1324" operator="containsText" text="Input value is below the minimum value allowed">
      <formula>NOT(ISERROR(SEARCH("Input value is below the minimum value allowed",T188)))</formula>
    </cfRule>
  </conditionalFormatting>
  <conditionalFormatting sqref="T197:T198">
    <cfRule type="containsText" dxfId="522" priority="1308" operator="containsText" text="Input value is below the minimum value allowed">
      <formula>NOT(ISERROR(SEARCH("Input value is below the minimum value allowed",T197)))</formula>
    </cfRule>
    <cfRule type="containsText" priority="1306" operator="containsText" text="Input value is below the minimum value allowed">
      <formula>NOT(ISERROR(SEARCH("Input value is below the minimum value allowed",T197)))</formula>
    </cfRule>
    <cfRule type="containsText" dxfId="521" priority="1305" operator="containsText" text="Input value is below the minimum value allowed">
      <formula>NOT(ISERROR(SEARCH("Input value is below the minimum value allowed",T197)))</formula>
    </cfRule>
  </conditionalFormatting>
  <conditionalFormatting sqref="T205:T294">
    <cfRule type="containsText" dxfId="520" priority="1848" operator="containsText" text="Input value is below the minimum value allowed">
      <formula>NOT(ISERROR(SEARCH("Input value is below the minimum value allowed",T205)))</formula>
    </cfRule>
    <cfRule type="containsText" priority="1849" operator="containsText" text="Input value is below the minimum value allowed">
      <formula>NOT(ISERROR(SEARCH("Input value is below the minimum value allowed",T205)))</formula>
    </cfRule>
    <cfRule type="containsText" dxfId="519" priority="1852" operator="containsText" text="Input value is below the minimum value allowed">
      <formula>NOT(ISERROR(SEARCH("Input value is below the minimum value allowed",T205)))</formula>
    </cfRule>
  </conditionalFormatting>
  <conditionalFormatting sqref="T299:T304">
    <cfRule type="containsText" priority="1841" operator="containsText" text="Input value is below the minimum value allowed">
      <formula>NOT(ISERROR(SEARCH("Input value is below the minimum value allowed",T299)))</formula>
    </cfRule>
    <cfRule type="containsText" dxfId="518" priority="1844" operator="containsText" text="Input value is below the minimum value allowed">
      <formula>NOT(ISERROR(SEARCH("Input value is below the minimum value allowed",T299)))</formula>
    </cfRule>
    <cfRule type="containsText" dxfId="517" priority="1840" operator="containsText" text="Input value is below the minimum value allowed">
      <formula>NOT(ISERROR(SEARCH("Input value is below the minimum value allowed",T299)))</formula>
    </cfRule>
  </conditionalFormatting>
  <conditionalFormatting sqref="T315:T316">
    <cfRule type="containsText" dxfId="516" priority="1824" operator="containsText" text="Input value is below the minimum value allowed">
      <formula>NOT(ISERROR(SEARCH("Input value is below the minimum value allowed",T315)))</formula>
    </cfRule>
    <cfRule type="containsText" priority="1825" operator="containsText" text="Input value is below the minimum value allowed">
      <formula>NOT(ISERROR(SEARCH("Input value is below the minimum value allowed",T315)))</formula>
    </cfRule>
    <cfRule type="containsText" dxfId="515" priority="1828" operator="containsText" text="Input value is below the minimum value allowed">
      <formula>NOT(ISERROR(SEARCH("Input value is below the minimum value allowed",T315)))</formula>
    </cfRule>
  </conditionalFormatting>
  <conditionalFormatting sqref="T320:T324">
    <cfRule type="containsText" priority="1817" operator="containsText" text="Input value is below the minimum value allowed">
      <formula>NOT(ISERROR(SEARCH("Input value is below the minimum value allowed",T320)))</formula>
    </cfRule>
    <cfRule type="containsText" dxfId="514" priority="1820" operator="containsText" text="Input value is below the minimum value allowed">
      <formula>NOT(ISERROR(SEARCH("Input value is below the minimum value allowed",T320)))</formula>
    </cfRule>
    <cfRule type="containsText" dxfId="513" priority="1816" operator="containsText" text="Input value is below the minimum value allowed">
      <formula>NOT(ISERROR(SEARCH("Input value is below the minimum value allowed",T320)))</formula>
    </cfRule>
  </conditionalFormatting>
  <conditionalFormatting sqref="T328:T331">
    <cfRule type="containsText" dxfId="512" priority="1808" operator="containsText" text="Input value is below the minimum value allowed">
      <formula>NOT(ISERROR(SEARCH("Input value is below the minimum value allowed",T328)))</formula>
    </cfRule>
    <cfRule type="containsText" priority="1809" operator="containsText" text="Input value is below the minimum value allowed">
      <formula>NOT(ISERROR(SEARCH("Input value is below the minimum value allowed",T328)))</formula>
    </cfRule>
    <cfRule type="containsText" dxfId="511" priority="1812" operator="containsText" text="Input value is below the minimum value allowed">
      <formula>NOT(ISERROR(SEARCH("Input value is below the minimum value allowed",T328)))</formula>
    </cfRule>
  </conditionalFormatting>
  <conditionalFormatting sqref="T335:T338">
    <cfRule type="containsText" dxfId="510" priority="1800" operator="containsText" text="Input value is below the minimum value allowed">
      <formula>NOT(ISERROR(SEARCH("Input value is below the minimum value allowed",T335)))</formula>
    </cfRule>
    <cfRule type="containsText" dxfId="509" priority="1804" operator="containsText" text="Input value is below the minimum value allowed">
      <formula>NOT(ISERROR(SEARCH("Input value is below the minimum value allowed",T335)))</formula>
    </cfRule>
    <cfRule type="containsText" priority="1801" operator="containsText" text="Input value is below the minimum value allowed">
      <formula>NOT(ISERROR(SEARCH("Input value is below the minimum value allowed",T335)))</formula>
    </cfRule>
  </conditionalFormatting>
  <conditionalFormatting sqref="T196:W196">
    <cfRule type="containsText" dxfId="508" priority="1314" operator="containsText" text="Input value is below the minimum value allowed">
      <formula>NOT(ISERROR(SEARCH("Input value is below the minimum value allowed",T196)))</formula>
    </cfRule>
    <cfRule type="containsText" dxfId="507" priority="1312" operator="containsText" text="Input value is below the minimum value allowed">
      <formula>NOT(ISERROR(SEARCH("Input value is below the minimum value allowed",T196)))</formula>
    </cfRule>
    <cfRule type="containsText" priority="1313" operator="containsText" text="Input value is below the minimum value allowed">
      <formula>NOT(ISERROR(SEARCH("Input value is below the minimum value allowed",T196)))</formula>
    </cfRule>
  </conditionalFormatting>
  <conditionalFormatting sqref="U11:U12 U308:U311">
    <cfRule type="containsText" dxfId="506" priority="2239" operator="containsText" text="Input value is above the maximum value allowed">
      <formula>NOT(ISERROR(SEARCH("Input value is above the maximum value allowed",U11)))</formula>
    </cfRule>
    <cfRule type="containsText" priority="2240" operator="containsText" text="Input value is above the maximum value allowed">
      <formula>NOT(ISERROR(SEARCH("Input value is above the maximum value allowed",U11)))</formula>
    </cfRule>
    <cfRule type="containsText" dxfId="505" priority="2245" operator="containsText" text="Input value is above the maximum value allowed">
      <formula>NOT(ISERROR(SEARCH("Input value is above the maximum value allowed",U11)))</formula>
    </cfRule>
  </conditionalFormatting>
  <conditionalFormatting sqref="U18:U28">
    <cfRule type="containsText" dxfId="504" priority="2215" operator="containsText" text="Input value is above the maximum value allowed">
      <formula>NOT(ISERROR(SEARCH("Input value is above the maximum value allowed",U18)))</formula>
    </cfRule>
    <cfRule type="containsText" priority="2216" operator="containsText" text="Input value is above the maximum value allowed">
      <formula>NOT(ISERROR(SEARCH("Input value is above the maximum value allowed",U18)))</formula>
    </cfRule>
    <cfRule type="containsText" dxfId="503" priority="2221" operator="containsText" text="Input value is above the maximum value allowed">
      <formula>NOT(ISERROR(SEARCH("Input value is above the maximum value allowed",U18)))</formula>
    </cfRule>
  </conditionalFormatting>
  <conditionalFormatting sqref="U32:U37">
    <cfRule type="containsText" dxfId="502" priority="1654" operator="containsText" text="Input value is above the maximum value allowed">
      <formula>NOT(ISERROR(SEARCH("Input value is above the maximum value allowed",U32)))</formula>
    </cfRule>
    <cfRule type="containsText" priority="1651" operator="containsText" text="Input value is above the maximum value allowed">
      <formula>NOT(ISERROR(SEARCH("Input value is above the maximum value allowed",U32)))</formula>
    </cfRule>
    <cfRule type="containsText" dxfId="501" priority="1650" operator="containsText" text="Input value is above the maximum value allowed">
      <formula>NOT(ISERROR(SEARCH("Input value is above the maximum value allowed",U32)))</formula>
    </cfRule>
  </conditionalFormatting>
  <conditionalFormatting sqref="U40:U41">
    <cfRule type="containsText" dxfId="500" priority="1644" operator="containsText" text="Input value is above the maximum value allowed">
      <formula>NOT(ISERROR(SEARCH("Input value is above the maximum value allowed",U40)))</formula>
    </cfRule>
    <cfRule type="containsText" priority="1645" operator="containsText" text="Input value is above the maximum value allowed">
      <formula>NOT(ISERROR(SEARCH("Input value is above the maximum value allowed",U40)))</formula>
    </cfRule>
    <cfRule type="containsText" dxfId="499" priority="1648" operator="containsText" text="Input value is above the maximum value allowed">
      <formula>NOT(ISERROR(SEARCH("Input value is above the maximum value allowed",U40)))</formula>
    </cfRule>
  </conditionalFormatting>
  <conditionalFormatting sqref="U44">
    <cfRule type="containsText" dxfId="498" priority="1638" operator="containsText" text="Input value is above the maximum value allowed">
      <formula>NOT(ISERROR(SEARCH("Input value is above the maximum value allowed",U44)))</formula>
    </cfRule>
    <cfRule type="containsText" priority="1639" operator="containsText" text="Input value is above the maximum value allowed">
      <formula>NOT(ISERROR(SEARCH("Input value is above the maximum value allowed",U44)))</formula>
    </cfRule>
    <cfRule type="containsText" dxfId="497" priority="1642" operator="containsText" text="Input value is above the maximum value allowed">
      <formula>NOT(ISERROR(SEARCH("Input value is above the maximum value allowed",U44)))</formula>
    </cfRule>
  </conditionalFormatting>
  <conditionalFormatting sqref="U49:U52">
    <cfRule type="containsText" dxfId="496" priority="1636" operator="containsText" text="Input value is above the maximum value allowed">
      <formula>NOT(ISERROR(SEARCH("Input value is above the maximum value allowed",U49)))</formula>
    </cfRule>
    <cfRule type="containsText" dxfId="495" priority="1632" operator="containsText" text="Input value is above the maximum value allowed">
      <formula>NOT(ISERROR(SEARCH("Input value is above the maximum value allowed",U49)))</formula>
    </cfRule>
    <cfRule type="containsText" priority="1633" operator="containsText" text="Input value is above the maximum value allowed">
      <formula>NOT(ISERROR(SEARCH("Input value is above the maximum value allowed",U49)))</formula>
    </cfRule>
  </conditionalFormatting>
  <conditionalFormatting sqref="U56:U64">
    <cfRule type="containsText" dxfId="494" priority="1626" operator="containsText" text="Input value is above the maximum value allowed">
      <formula>NOT(ISERROR(SEARCH("Input value is above the maximum value allowed",U56)))</formula>
    </cfRule>
    <cfRule type="containsText" priority="1627" operator="containsText" text="Input value is above the maximum value allowed">
      <formula>NOT(ISERROR(SEARCH("Input value is above the maximum value allowed",U56)))</formula>
    </cfRule>
    <cfRule type="containsText" dxfId="493" priority="1630" operator="containsText" text="Input value is above the maximum value allowed">
      <formula>NOT(ISERROR(SEARCH("Input value is above the maximum value allowed",U56)))</formula>
    </cfRule>
  </conditionalFormatting>
  <conditionalFormatting sqref="U68">
    <cfRule type="containsText" dxfId="492" priority="1620" operator="containsText" text="Input value is above the maximum value allowed">
      <formula>NOT(ISERROR(SEARCH("Input value is above the maximum value allowed",U68)))</formula>
    </cfRule>
    <cfRule type="containsText" priority="1621" operator="containsText" text="Input value is above the maximum value allowed">
      <formula>NOT(ISERROR(SEARCH("Input value is above the maximum value allowed",U68)))</formula>
    </cfRule>
    <cfRule type="containsText" dxfId="491" priority="1624" operator="containsText" text="Input value is above the maximum value allowed">
      <formula>NOT(ISERROR(SEARCH("Input value is above the maximum value allowed",U68)))</formula>
    </cfRule>
  </conditionalFormatting>
  <conditionalFormatting sqref="U71:U77">
    <cfRule type="containsText" dxfId="490" priority="1570" operator="containsText" text="Input value is above the maximum value allowed">
      <formula>NOT(ISERROR(SEARCH("Input value is above the maximum value allowed",U71)))</formula>
    </cfRule>
    <cfRule type="containsText" priority="1567" operator="containsText" text="Input value is above the maximum value allowed">
      <formula>NOT(ISERROR(SEARCH("Input value is above the maximum value allowed",U71)))</formula>
    </cfRule>
    <cfRule type="containsText" dxfId="489" priority="1566" operator="containsText" text="Input value is above the maximum value allowed">
      <formula>NOT(ISERROR(SEARCH("Input value is above the maximum value allowed",U71)))</formula>
    </cfRule>
  </conditionalFormatting>
  <conditionalFormatting sqref="U81">
    <cfRule type="containsText" dxfId="488" priority="1564" operator="containsText" text="Input value is above the maximum value allowed">
      <formula>NOT(ISERROR(SEARCH("Input value is above the maximum value allowed",U81)))</formula>
    </cfRule>
    <cfRule type="containsText" priority="1561" operator="containsText" text="Input value is above the maximum value allowed">
      <formula>NOT(ISERROR(SEARCH("Input value is above the maximum value allowed",U81)))</formula>
    </cfRule>
    <cfRule type="containsText" dxfId="487" priority="1560" operator="containsText" text="Input value is above the maximum value allowed">
      <formula>NOT(ISERROR(SEARCH("Input value is above the maximum value allowed",U81)))</formula>
    </cfRule>
  </conditionalFormatting>
  <conditionalFormatting sqref="U84">
    <cfRule type="containsText" priority="1555" operator="containsText" text="Input value is above the maximum value allowed">
      <formula>NOT(ISERROR(SEARCH("Input value is above the maximum value allowed",U84)))</formula>
    </cfRule>
    <cfRule type="containsText" dxfId="486" priority="1554" operator="containsText" text="Input value is above the maximum value allowed">
      <formula>NOT(ISERROR(SEARCH("Input value is above the maximum value allowed",U84)))</formula>
    </cfRule>
    <cfRule type="containsText" dxfId="485" priority="1558" operator="containsText" text="Input value is above the maximum value allowed">
      <formula>NOT(ISERROR(SEARCH("Input value is above the maximum value allowed",U84)))</formula>
    </cfRule>
  </conditionalFormatting>
  <conditionalFormatting sqref="U86">
    <cfRule type="containsText" dxfId="484" priority="1995" operator="containsText" text="Input value is above the maximum value allowed">
      <formula>NOT(ISERROR(SEARCH("Input value is above the maximum value allowed",U86)))</formula>
    </cfRule>
  </conditionalFormatting>
  <conditionalFormatting sqref="U88:U90">
    <cfRule type="containsText" dxfId="483" priority="1528" operator="containsText" text="Input value is above the maximum value allowed">
      <formula>NOT(ISERROR(SEARCH("Input value is above the maximum value allowed",U88)))</formula>
    </cfRule>
    <cfRule type="containsText" priority="1525" operator="containsText" text="Input value is above the maximum value allowed">
      <formula>NOT(ISERROR(SEARCH("Input value is above the maximum value allowed",U88)))</formula>
    </cfRule>
    <cfRule type="containsText" dxfId="482" priority="1524" operator="containsText" text="Input value is above the maximum value allowed">
      <formula>NOT(ISERROR(SEARCH("Input value is above the maximum value allowed",U88)))</formula>
    </cfRule>
  </conditionalFormatting>
  <conditionalFormatting sqref="U96:U99">
    <cfRule type="containsText" dxfId="481" priority="1522" operator="containsText" text="Input value is above the maximum value allowed">
      <formula>NOT(ISERROR(SEARCH("Input value is above the maximum value allowed",U96)))</formula>
    </cfRule>
    <cfRule type="containsText" dxfId="480" priority="1518" operator="containsText" text="Input value is above the maximum value allowed">
      <formula>NOT(ISERROR(SEARCH("Input value is above the maximum value allowed",U96)))</formula>
    </cfRule>
    <cfRule type="containsText" priority="1519" operator="containsText" text="Input value is above the maximum value allowed">
      <formula>NOT(ISERROR(SEARCH("Input value is above the maximum value allowed",U96)))</formula>
    </cfRule>
  </conditionalFormatting>
  <conditionalFormatting sqref="U103:U107">
    <cfRule type="containsText" dxfId="479" priority="1494" operator="containsText" text="Input value is above the maximum value allowed">
      <formula>NOT(ISERROR(SEARCH("Input value is above the maximum value allowed",U103)))</formula>
    </cfRule>
    <cfRule type="containsText" priority="1495" operator="containsText" text="Input value is above the maximum value allowed">
      <formula>NOT(ISERROR(SEARCH("Input value is above the maximum value allowed",U103)))</formula>
    </cfRule>
    <cfRule type="containsText" dxfId="478" priority="1498" operator="containsText" text="Input value is above the maximum value allowed">
      <formula>NOT(ISERROR(SEARCH("Input value is above the maximum value allowed",U103)))</formula>
    </cfRule>
  </conditionalFormatting>
  <conditionalFormatting sqref="U111:U112">
    <cfRule type="containsText" priority="1483" operator="containsText" text="Input value is above the maximum value allowed">
      <formula>NOT(ISERROR(SEARCH("Input value is above the maximum value allowed",U111)))</formula>
    </cfRule>
    <cfRule type="containsText" dxfId="477" priority="1486" operator="containsText" text="Input value is above the maximum value allowed">
      <formula>NOT(ISERROR(SEARCH("Input value is above the maximum value allowed",U111)))</formula>
    </cfRule>
    <cfRule type="containsText" dxfId="476" priority="1482" operator="containsText" text="Input value is above the maximum value allowed">
      <formula>NOT(ISERROR(SEARCH("Input value is above the maximum value allowed",U111)))</formula>
    </cfRule>
  </conditionalFormatting>
  <conditionalFormatting sqref="U116">
    <cfRule type="containsText" priority="1951" operator="containsText" text="Input value is above the maximum value allowed">
      <formula>NOT(ISERROR(SEARCH("Input value is above the maximum value allowed",U116)))</formula>
    </cfRule>
    <cfRule type="containsText" dxfId="475" priority="1950" operator="containsText" text="Input value is above the maximum value allowed">
      <formula>NOT(ISERROR(SEARCH("Input value is above the maximum value allowed",U116)))</formula>
    </cfRule>
    <cfRule type="containsText" dxfId="474" priority="1955" operator="containsText" text="Input value is above the maximum value allowed">
      <formula>NOT(ISERROR(SEARCH("Input value is above the maximum value allowed",U116)))</formula>
    </cfRule>
  </conditionalFormatting>
  <conditionalFormatting sqref="U122:U134">
    <cfRule type="containsText" dxfId="473" priority="1458" operator="containsText" text="Input value is above the maximum value allowed">
      <formula>NOT(ISERROR(SEARCH("Input value is above the maximum value allowed",U122)))</formula>
    </cfRule>
    <cfRule type="containsText" dxfId="472" priority="1462" operator="containsText" text="Input value is above the maximum value allowed">
      <formula>NOT(ISERROR(SEARCH("Input value is above the maximum value allowed",U122)))</formula>
    </cfRule>
    <cfRule type="containsText" priority="1459" operator="containsText" text="Input value is above the maximum value allowed">
      <formula>NOT(ISERROR(SEARCH("Input value is above the maximum value allowed",U122)))</formula>
    </cfRule>
  </conditionalFormatting>
  <conditionalFormatting sqref="U139">
    <cfRule type="containsText" dxfId="471" priority="1934" operator="containsText" text="Input value is above the maximum value allowed">
      <formula>NOT(ISERROR(SEARCH("Input value is above the maximum value allowed",U139)))</formula>
    </cfRule>
    <cfRule type="containsText" priority="1935" operator="containsText" text="Input value is above the maximum value allowed">
      <formula>NOT(ISERROR(SEARCH("Input value is above the maximum value allowed",U139)))</formula>
    </cfRule>
    <cfRule type="containsText" dxfId="470" priority="1939" operator="containsText" text="Input value is above the maximum value allowed">
      <formula>NOT(ISERROR(SEARCH("Input value is above the maximum value allowed",U139)))</formula>
    </cfRule>
  </conditionalFormatting>
  <conditionalFormatting sqref="U142">
    <cfRule type="containsText" dxfId="469" priority="1452" operator="containsText" text="Input value is above the maximum value allowed">
      <formula>NOT(ISERROR(SEARCH("Input value is above the maximum value allowed",U142)))</formula>
    </cfRule>
    <cfRule type="containsText" priority="1453" operator="containsText" text="Input value is above the maximum value allowed">
      <formula>NOT(ISERROR(SEARCH("Input value is above the maximum value allowed",U142)))</formula>
    </cfRule>
    <cfRule type="containsText" dxfId="468" priority="1456" operator="containsText" text="Input value is above the maximum value allowed">
      <formula>NOT(ISERROR(SEARCH("Input value is above the maximum value allowed",U142)))</formula>
    </cfRule>
  </conditionalFormatting>
  <conditionalFormatting sqref="U149:U151">
    <cfRule type="containsText" dxfId="467" priority="1438" operator="containsText" text="Input value is above the maximum value allowed">
      <formula>NOT(ISERROR(SEARCH("Input value is above the maximum value allowed",U149)))</formula>
    </cfRule>
    <cfRule type="containsText" priority="1435" operator="containsText" text="Input value is above the maximum value allowed">
      <formula>NOT(ISERROR(SEARCH("Input value is above the maximum value allowed",U149)))</formula>
    </cfRule>
    <cfRule type="containsText" dxfId="466" priority="1434" operator="containsText" text="Input value is above the maximum value allowed">
      <formula>NOT(ISERROR(SEARCH("Input value is above the maximum value allowed",U149)))</formula>
    </cfRule>
  </conditionalFormatting>
  <conditionalFormatting sqref="U156:U157">
    <cfRule type="containsText" priority="1411" operator="containsText" text="Input value is above the maximum value allowed">
      <formula>NOT(ISERROR(SEARCH("Input value is above the maximum value allowed",U156)))</formula>
    </cfRule>
    <cfRule type="containsText" dxfId="465" priority="1410" operator="containsText" text="Input value is above the maximum value allowed">
      <formula>NOT(ISERROR(SEARCH("Input value is above the maximum value allowed",U156)))</formula>
    </cfRule>
    <cfRule type="containsText" dxfId="464" priority="1414" operator="containsText" text="Input value is above the maximum value allowed">
      <formula>NOT(ISERROR(SEARCH("Input value is above the maximum value allowed",U156)))</formula>
    </cfRule>
  </conditionalFormatting>
  <conditionalFormatting sqref="U161:U162">
    <cfRule type="containsText" dxfId="463" priority="1404" operator="containsText" text="Input value is above the maximum value allowed">
      <formula>NOT(ISERROR(SEARCH("Input value is above the maximum value allowed",U161)))</formula>
    </cfRule>
    <cfRule type="containsText" priority="1405" operator="containsText" text="Input value is above the maximum value allowed">
      <formula>NOT(ISERROR(SEARCH("Input value is above the maximum value allowed",U161)))</formula>
    </cfRule>
    <cfRule type="containsText" dxfId="462" priority="1408" operator="containsText" text="Input value is above the maximum value allowed">
      <formula>NOT(ISERROR(SEARCH("Input value is above the maximum value allowed",U161)))</formula>
    </cfRule>
  </conditionalFormatting>
  <conditionalFormatting sqref="U167">
    <cfRule type="containsText" dxfId="461" priority="1398" operator="containsText" text="Input value is above the maximum value allowed">
      <formula>NOT(ISERROR(SEARCH("Input value is above the maximum value allowed",U167)))</formula>
    </cfRule>
    <cfRule type="containsText" priority="1399" operator="containsText" text="Input value is above the maximum value allowed">
      <formula>NOT(ISERROR(SEARCH("Input value is above the maximum value allowed",U167)))</formula>
    </cfRule>
    <cfRule type="containsText" dxfId="460" priority="1400" operator="containsText" text="Input value is above the maximum value allowed">
      <formula>NOT(ISERROR(SEARCH("Input value is above the maximum value allowed",U167)))</formula>
    </cfRule>
  </conditionalFormatting>
  <conditionalFormatting sqref="U169">
    <cfRule type="containsText" dxfId="459" priority="1394" operator="containsText" text="Input value is above the maximum value allowed">
      <formula>NOT(ISERROR(SEARCH("Input value is above the maximum value allowed",U169)))</formula>
    </cfRule>
    <cfRule type="containsText" dxfId="458" priority="1392" operator="containsText" text="Input value is above the maximum value allowed">
      <formula>NOT(ISERROR(SEARCH("Input value is above the maximum value allowed",U169)))</formula>
    </cfRule>
    <cfRule type="containsText" priority="1393" operator="containsText" text="Input value is above the maximum value allowed">
      <formula>NOT(ISERROR(SEARCH("Input value is above the maximum value allowed",U169)))</formula>
    </cfRule>
  </conditionalFormatting>
  <conditionalFormatting sqref="U174">
    <cfRule type="containsText" dxfId="457" priority="1891" operator="containsText" text="Input value is above the maximum value allowed">
      <formula>NOT(ISERROR(SEARCH("Input value is above the maximum value allowed",U174)))</formula>
    </cfRule>
    <cfRule type="containsText" priority="1887" operator="containsText" text="Input value is above the maximum value allowed">
      <formula>NOT(ISERROR(SEARCH("Input value is above the maximum value allowed",U174)))</formula>
    </cfRule>
    <cfRule type="containsText" dxfId="456" priority="1886" operator="containsText" text="Input value is above the maximum value allowed">
      <formula>NOT(ISERROR(SEARCH("Input value is above the maximum value allowed",U174)))</formula>
    </cfRule>
  </conditionalFormatting>
  <conditionalFormatting sqref="U176">
    <cfRule type="containsText" dxfId="455" priority="1384" operator="containsText" text="Input value is above the maximum value allowed">
      <formula>NOT(ISERROR(SEARCH("Input value is above the maximum value allowed",U176)))</formula>
    </cfRule>
    <cfRule type="containsText" priority="1385" operator="containsText" text="Input value is above the maximum value allowed">
      <formula>NOT(ISERROR(SEARCH("Input value is above the maximum value allowed",U176)))</formula>
    </cfRule>
    <cfRule type="containsText" dxfId="454" priority="1389" operator="containsText" text="Input value is above the maximum value allowed">
      <formula>NOT(ISERROR(SEARCH("Input value is above the maximum value allowed",U176)))</formula>
    </cfRule>
  </conditionalFormatting>
  <conditionalFormatting sqref="U178">
    <cfRule type="containsText" dxfId="453" priority="1376" operator="containsText" text="Input value is above the maximum value allowed">
      <formula>NOT(ISERROR(SEARCH("Input value is above the maximum value allowed",U178)))</formula>
    </cfRule>
    <cfRule type="containsText" priority="1377" operator="containsText" text="Input value is above the maximum value allowed">
      <formula>NOT(ISERROR(SEARCH("Input value is above the maximum value allowed",U178)))</formula>
    </cfRule>
    <cfRule type="containsText" dxfId="452" priority="1381" operator="containsText" text="Input value is above the maximum value allowed">
      <formula>NOT(ISERROR(SEARCH("Input value is above the maximum value allowed",U178)))</formula>
    </cfRule>
  </conditionalFormatting>
  <conditionalFormatting sqref="U182:U184">
    <cfRule type="containsText" dxfId="451" priority="1337" operator="containsText" text="Input value is above the maximum value allowed">
      <formula>NOT(ISERROR(SEARCH("Input value is above the maximum value allowed",U182)))</formula>
    </cfRule>
    <cfRule type="containsText" priority="1338" operator="containsText" text="Input value is above the maximum value allowed">
      <formula>NOT(ISERROR(SEARCH("Input value is above the maximum value allowed",U182)))</formula>
    </cfRule>
    <cfRule type="containsText" dxfId="450" priority="1341" operator="containsText" text="Input value is above the maximum value allowed">
      <formula>NOT(ISERROR(SEARCH("Input value is above the maximum value allowed",U182)))</formula>
    </cfRule>
  </conditionalFormatting>
  <conditionalFormatting sqref="U188:U190">
    <cfRule type="containsText" priority="1320" operator="containsText" text="Input value is above the maximum value allowed">
      <formula>NOT(ISERROR(SEARCH("Input value is above the maximum value allowed",U188)))</formula>
    </cfRule>
    <cfRule type="containsText" dxfId="449" priority="1323" operator="containsText" text="Input value is above the maximum value allowed">
      <formula>NOT(ISERROR(SEARCH("Input value is above the maximum value allowed",U188)))</formula>
    </cfRule>
    <cfRule type="containsText" dxfId="448" priority="1319" operator="containsText" text="Input value is above the maximum value allowed">
      <formula>NOT(ISERROR(SEARCH("Input value is above the maximum value allowed",U188)))</formula>
    </cfRule>
  </conditionalFormatting>
  <conditionalFormatting sqref="U197:U198">
    <cfRule type="containsText" dxfId="447" priority="1303" operator="containsText" text="Input value is above the maximum value allowed">
      <formula>NOT(ISERROR(SEARCH("Input value is above the maximum value allowed",U197)))</formula>
    </cfRule>
    <cfRule type="containsText" dxfId="446" priority="1307" operator="containsText" text="Input value is above the maximum value allowed">
      <formula>NOT(ISERROR(SEARCH("Input value is above the maximum value allowed",U197)))</formula>
    </cfRule>
    <cfRule type="containsText" priority="1304" operator="containsText" text="Input value is above the maximum value allowed">
      <formula>NOT(ISERROR(SEARCH("Input value is above the maximum value allowed",U197)))</formula>
    </cfRule>
  </conditionalFormatting>
  <conditionalFormatting sqref="U205:U294">
    <cfRule type="containsText" dxfId="445" priority="1851" operator="containsText" text="Input value is above the maximum value allowed">
      <formula>NOT(ISERROR(SEARCH("Input value is above the maximum value allowed",U205)))</formula>
    </cfRule>
    <cfRule type="containsText" priority="1847" operator="containsText" text="Input value is above the maximum value allowed">
      <formula>NOT(ISERROR(SEARCH("Input value is above the maximum value allowed",U205)))</formula>
    </cfRule>
    <cfRule type="containsText" dxfId="444" priority="1846" operator="containsText" text="Input value is above the maximum value allowed">
      <formula>NOT(ISERROR(SEARCH("Input value is above the maximum value allowed",U205)))</formula>
    </cfRule>
  </conditionalFormatting>
  <conditionalFormatting sqref="U299:U304">
    <cfRule type="containsText" dxfId="443" priority="1843" operator="containsText" text="Input value is above the maximum value allowed">
      <formula>NOT(ISERROR(SEARCH("Input value is above the maximum value allowed",U299)))</formula>
    </cfRule>
    <cfRule type="containsText" priority="1839" operator="containsText" text="Input value is above the maximum value allowed">
      <formula>NOT(ISERROR(SEARCH("Input value is above the maximum value allowed",U299)))</formula>
    </cfRule>
    <cfRule type="containsText" dxfId="442" priority="1838" operator="containsText" text="Input value is above the maximum value allowed">
      <formula>NOT(ISERROR(SEARCH("Input value is above the maximum value allowed",U299)))</formula>
    </cfRule>
  </conditionalFormatting>
  <conditionalFormatting sqref="U315:U316">
    <cfRule type="containsText" dxfId="441" priority="1822" operator="containsText" text="Input value is above the maximum value allowed">
      <formula>NOT(ISERROR(SEARCH("Input value is above the maximum value allowed",U315)))</formula>
    </cfRule>
    <cfRule type="containsText" dxfId="440" priority="1827" operator="containsText" text="Input value is above the maximum value allowed">
      <formula>NOT(ISERROR(SEARCH("Input value is above the maximum value allowed",U315)))</formula>
    </cfRule>
    <cfRule type="containsText" priority="1823" operator="containsText" text="Input value is above the maximum value allowed">
      <formula>NOT(ISERROR(SEARCH("Input value is above the maximum value allowed",U315)))</formula>
    </cfRule>
  </conditionalFormatting>
  <conditionalFormatting sqref="U320:U324">
    <cfRule type="containsText" dxfId="439" priority="1819" operator="containsText" text="Input value is above the maximum value allowed">
      <formula>NOT(ISERROR(SEARCH("Input value is above the maximum value allowed",U320)))</formula>
    </cfRule>
    <cfRule type="containsText" priority="1815" operator="containsText" text="Input value is above the maximum value allowed">
      <formula>NOT(ISERROR(SEARCH("Input value is above the maximum value allowed",U320)))</formula>
    </cfRule>
    <cfRule type="containsText" dxfId="438" priority="1814" operator="containsText" text="Input value is above the maximum value allowed">
      <formula>NOT(ISERROR(SEARCH("Input value is above the maximum value allowed",U320)))</formula>
    </cfRule>
  </conditionalFormatting>
  <conditionalFormatting sqref="U328:U331">
    <cfRule type="containsText" dxfId="437" priority="1811" operator="containsText" text="Input value is above the maximum value allowed">
      <formula>NOT(ISERROR(SEARCH("Input value is above the maximum value allowed",U328)))</formula>
    </cfRule>
    <cfRule type="containsText" priority="1807" operator="containsText" text="Input value is above the maximum value allowed">
      <formula>NOT(ISERROR(SEARCH("Input value is above the maximum value allowed",U328)))</formula>
    </cfRule>
    <cfRule type="containsText" dxfId="436" priority="1806" operator="containsText" text="Input value is above the maximum value allowed">
      <formula>NOT(ISERROR(SEARCH("Input value is above the maximum value allowed",U328)))</formula>
    </cfRule>
  </conditionalFormatting>
  <conditionalFormatting sqref="U335:U338">
    <cfRule type="containsText" dxfId="435" priority="1803" operator="containsText" text="Input value is above the maximum value allowed">
      <formula>NOT(ISERROR(SEARCH("Input value is above the maximum value allowed",U335)))</formula>
    </cfRule>
    <cfRule type="containsText" priority="1799" operator="containsText" text="Input value is above the maximum value allowed">
      <formula>NOT(ISERROR(SEARCH("Input value is above the maximum value allowed",U335)))</formula>
    </cfRule>
    <cfRule type="containsText" dxfId="434" priority="1798" operator="containsText" text="Input value is above the maximum value allowed">
      <formula>NOT(ISERROR(SEARCH("Input value is above the maximum value allowed",U335)))</formula>
    </cfRule>
  </conditionalFormatting>
  <conditionalFormatting sqref="U8:Z8 S9:Z9">
    <cfRule type="cellIs" dxfId="433" priority="14731" operator="notEqual">
      <formula>""""""</formula>
    </cfRule>
  </conditionalFormatting>
  <conditionalFormatting sqref="V11:V12">
    <cfRule type="cellIs" dxfId="432" priority="2224" operator="lessThan">
      <formula>0</formula>
    </cfRule>
    <cfRule type="cellIs" dxfId="431" priority="2225" operator="greaterThan">
      <formula>0</formula>
    </cfRule>
    <cfRule type="cellIs" dxfId="430" priority="2226" operator="greaterThan">
      <formula>0</formula>
    </cfRule>
    <cfRule type="cellIs" dxfId="429" priority="2227" operator="lessThan">
      <formula>0</formula>
    </cfRule>
    <cfRule type="cellIs" dxfId="428" priority="2228" operator="lessThan">
      <formula>0</formula>
    </cfRule>
    <cfRule type="cellIs" dxfId="427" priority="2229" operator="lessThan">
      <formula>0</formula>
    </cfRule>
  </conditionalFormatting>
  <conditionalFormatting sqref="V18:V28">
    <cfRule type="cellIs" dxfId="426" priority="2209" operator="lessThan">
      <formula>0</formula>
    </cfRule>
    <cfRule type="cellIs" dxfId="425" priority="2210" operator="greaterThan">
      <formula>0</formula>
    </cfRule>
    <cfRule type="cellIs" dxfId="424" priority="2211" operator="greaterThan">
      <formula>0</formula>
    </cfRule>
    <cfRule type="cellIs" dxfId="423" priority="2212" operator="lessThan">
      <formula>0</formula>
    </cfRule>
    <cfRule type="cellIs" dxfId="422" priority="2213" operator="lessThan">
      <formula>0</formula>
    </cfRule>
    <cfRule type="cellIs" dxfId="421" priority="2214" operator="lessThan">
      <formula>0</formula>
    </cfRule>
  </conditionalFormatting>
  <conditionalFormatting sqref="V32:V37">
    <cfRule type="cellIs" dxfId="420" priority="2199" operator="lessThan">
      <formula>0</formula>
    </cfRule>
    <cfRule type="cellIs" dxfId="419" priority="2198" operator="lessThan">
      <formula>0</formula>
    </cfRule>
    <cfRule type="cellIs" dxfId="418" priority="2197" operator="lessThan">
      <formula>0</formula>
    </cfRule>
    <cfRule type="cellIs" dxfId="417" priority="2196" operator="greaterThan">
      <formula>0</formula>
    </cfRule>
    <cfRule type="cellIs" dxfId="416" priority="2195" operator="greaterThan">
      <formula>0</formula>
    </cfRule>
    <cfRule type="cellIs" dxfId="415" priority="2194" operator="lessThan">
      <formula>0</formula>
    </cfRule>
  </conditionalFormatting>
  <conditionalFormatting sqref="V40:V41">
    <cfRule type="cellIs" dxfId="414" priority="2184" operator="lessThan">
      <formula>0</formula>
    </cfRule>
    <cfRule type="cellIs" dxfId="413" priority="2183" operator="lessThan">
      <formula>0</formula>
    </cfRule>
    <cfRule type="cellIs" dxfId="412" priority="2182" operator="lessThan">
      <formula>0</formula>
    </cfRule>
    <cfRule type="cellIs" dxfId="411" priority="2181" operator="greaterThan">
      <formula>0</formula>
    </cfRule>
    <cfRule type="cellIs" dxfId="410" priority="2180" operator="greaterThan">
      <formula>0</formula>
    </cfRule>
    <cfRule type="cellIs" dxfId="409" priority="2179" operator="lessThan">
      <formula>0</formula>
    </cfRule>
  </conditionalFormatting>
  <conditionalFormatting sqref="V44">
    <cfRule type="cellIs" dxfId="408" priority="2167" operator="lessThan">
      <formula>0</formula>
    </cfRule>
    <cfRule type="cellIs" dxfId="407" priority="2166" operator="greaterThan">
      <formula>0</formula>
    </cfRule>
    <cfRule type="cellIs" dxfId="406" priority="2165" operator="greaterThan">
      <formula>0</formula>
    </cfRule>
    <cfRule type="cellIs" dxfId="405" priority="2164" operator="lessThan">
      <formula>0</formula>
    </cfRule>
    <cfRule type="cellIs" dxfId="404" priority="2168" operator="lessThan">
      <formula>0</formula>
    </cfRule>
    <cfRule type="cellIs" dxfId="403" priority="2169" operator="lessThan">
      <formula>0</formula>
    </cfRule>
  </conditionalFormatting>
  <conditionalFormatting sqref="V84">
    <cfRule type="cellIs" dxfId="402" priority="1792" operator="lessThan">
      <formula>0</formula>
    </cfRule>
    <cfRule type="cellIs" dxfId="401" priority="1793" operator="greaterThan">
      <formula>0</formula>
    </cfRule>
    <cfRule type="cellIs" dxfId="400" priority="1794" operator="greaterThan">
      <formula>0</formula>
    </cfRule>
    <cfRule type="cellIs" dxfId="399" priority="1795" operator="lessThan">
      <formula>0</formula>
    </cfRule>
    <cfRule type="cellIs" dxfId="398" priority="1796" operator="lessThan">
      <formula>0</formula>
    </cfRule>
    <cfRule type="cellIs" dxfId="397" priority="1797" operator="lessThan">
      <formula>0</formula>
    </cfRule>
  </conditionalFormatting>
  <conditionalFormatting sqref="V96:V99">
    <cfRule type="cellIs" dxfId="396" priority="1789" operator="lessThan">
      <formula>0</formula>
    </cfRule>
    <cfRule type="cellIs" dxfId="395" priority="1790" operator="lessThan">
      <formula>0</formula>
    </cfRule>
    <cfRule type="cellIs" dxfId="394" priority="1791" operator="lessThan">
      <formula>0</formula>
    </cfRule>
    <cfRule type="cellIs" dxfId="393" priority="1786" operator="lessThan">
      <formula>0</formula>
    </cfRule>
    <cfRule type="cellIs" dxfId="392" priority="1787" operator="greaterThan">
      <formula>0</formula>
    </cfRule>
    <cfRule type="cellIs" dxfId="391" priority="1788" operator="greaterThan">
      <formula>0</formula>
    </cfRule>
  </conditionalFormatting>
  <conditionalFormatting sqref="V103:V107">
    <cfRule type="cellIs" dxfId="390" priority="1780" operator="lessThan">
      <formula>0</formula>
    </cfRule>
    <cfRule type="cellIs" dxfId="389" priority="1782" operator="greaterThan">
      <formula>0</formula>
    </cfRule>
    <cfRule type="cellIs" dxfId="388" priority="1785" operator="lessThan">
      <formula>0</formula>
    </cfRule>
    <cfRule type="cellIs" dxfId="387" priority="1784" operator="lessThan">
      <formula>0</formula>
    </cfRule>
    <cfRule type="cellIs" dxfId="386" priority="1783" operator="lessThan">
      <formula>0</formula>
    </cfRule>
    <cfRule type="cellIs" dxfId="385" priority="1781" operator="greaterThan">
      <formula>0</formula>
    </cfRule>
  </conditionalFormatting>
  <conditionalFormatting sqref="V142">
    <cfRule type="cellIs" dxfId="384" priority="1774" operator="lessThan">
      <formula>0</formula>
    </cfRule>
    <cfRule type="cellIs" dxfId="383" priority="1779" operator="lessThan">
      <formula>0</formula>
    </cfRule>
    <cfRule type="cellIs" dxfId="382" priority="1776" operator="greaterThan">
      <formula>0</formula>
    </cfRule>
    <cfRule type="cellIs" dxfId="381" priority="1778" operator="lessThan">
      <formula>0</formula>
    </cfRule>
    <cfRule type="cellIs" dxfId="380" priority="1775" operator="greaterThan">
      <formula>0</formula>
    </cfRule>
    <cfRule type="cellIs" dxfId="379" priority="1777" operator="lessThan">
      <formula>0</formula>
    </cfRule>
  </conditionalFormatting>
  <conditionalFormatting sqref="V151">
    <cfRule type="cellIs" dxfId="378" priority="1773" operator="lessThan">
      <formula>0</formula>
    </cfRule>
    <cfRule type="cellIs" dxfId="377" priority="1771" operator="lessThan">
      <formula>0</formula>
    </cfRule>
    <cfRule type="cellIs" dxfId="376" priority="1770" operator="greaterThan">
      <formula>0</formula>
    </cfRule>
    <cfRule type="cellIs" dxfId="375" priority="1769" operator="greaterThan">
      <formula>0</formula>
    </cfRule>
    <cfRule type="cellIs" dxfId="374" priority="1768" operator="lessThan">
      <formula>0</formula>
    </cfRule>
    <cfRule type="cellIs" dxfId="373" priority="1772" operator="lessThan">
      <formula>0</formula>
    </cfRule>
  </conditionalFormatting>
  <conditionalFormatting sqref="V157">
    <cfRule type="cellIs" dxfId="372" priority="1767" operator="lessThan">
      <formula>0</formula>
    </cfRule>
    <cfRule type="cellIs" dxfId="371" priority="1766" operator="lessThan">
      <formula>0</formula>
    </cfRule>
    <cfRule type="cellIs" dxfId="370" priority="1765" operator="lessThan">
      <formula>0</formula>
    </cfRule>
    <cfRule type="cellIs" dxfId="369" priority="1764" operator="greaterThan">
      <formula>0</formula>
    </cfRule>
    <cfRule type="cellIs" dxfId="368" priority="1763" operator="greaterThan">
      <formula>0</formula>
    </cfRule>
    <cfRule type="cellIs" dxfId="367" priority="1762" operator="lessThan">
      <formula>0</formula>
    </cfRule>
  </conditionalFormatting>
  <conditionalFormatting sqref="V161:V162">
    <cfRule type="cellIs" dxfId="366" priority="1760" operator="lessThan">
      <formula>0</formula>
    </cfRule>
    <cfRule type="cellIs" dxfId="365" priority="1759" operator="lessThan">
      <formula>0</formula>
    </cfRule>
    <cfRule type="cellIs" dxfId="364" priority="1758" operator="lessThan">
      <formula>0</formula>
    </cfRule>
    <cfRule type="cellIs" dxfId="363" priority="1757" operator="greaterThan">
      <formula>0</formula>
    </cfRule>
    <cfRule type="cellIs" dxfId="362" priority="1756" operator="greaterThan">
      <formula>0</formula>
    </cfRule>
    <cfRule type="cellIs" dxfId="361" priority="1755" operator="lessThan">
      <formula>0</formula>
    </cfRule>
  </conditionalFormatting>
  <conditionalFormatting sqref="V176">
    <cfRule type="cellIs" dxfId="360" priority="1749" operator="lessThan">
      <formula>0</formula>
    </cfRule>
    <cfRule type="cellIs" dxfId="359" priority="1750" operator="greaterThan">
      <formula>0</formula>
    </cfRule>
    <cfRule type="cellIs" dxfId="358" priority="1751" operator="greaterThan">
      <formula>0</formula>
    </cfRule>
    <cfRule type="cellIs" dxfId="357" priority="1753" operator="lessThan">
      <formula>0</formula>
    </cfRule>
    <cfRule type="cellIs" dxfId="356" priority="1754" operator="lessThan">
      <formula>0</formula>
    </cfRule>
    <cfRule type="cellIs" dxfId="355" priority="1752" operator="lessThan">
      <formula>0</formula>
    </cfRule>
  </conditionalFormatting>
  <conditionalFormatting sqref="V183:V184">
    <cfRule type="cellIs" dxfId="354" priority="1744" operator="greaterThan">
      <formula>0</formula>
    </cfRule>
    <cfRule type="cellIs" dxfId="353" priority="1743" operator="lessThan">
      <formula>0</formula>
    </cfRule>
    <cfRule type="cellIs" dxfId="352" priority="1746" operator="lessThan">
      <formula>0</formula>
    </cfRule>
    <cfRule type="cellIs" dxfId="351" priority="1747" operator="lessThan">
      <formula>0</formula>
    </cfRule>
    <cfRule type="cellIs" dxfId="350" priority="1748" operator="lessThan">
      <formula>0</formula>
    </cfRule>
    <cfRule type="cellIs" dxfId="349" priority="1745" operator="greaterThan">
      <formula>0</formula>
    </cfRule>
  </conditionalFormatting>
  <conditionalFormatting sqref="V197:V198">
    <cfRule type="cellIs" dxfId="348" priority="1740" operator="lessThan">
      <formula>0</formula>
    </cfRule>
    <cfRule type="cellIs" dxfId="347" priority="1738" operator="greaterThan">
      <formula>0</formula>
    </cfRule>
    <cfRule type="cellIs" dxfId="346" priority="1739" operator="greaterThan">
      <formula>0</formula>
    </cfRule>
    <cfRule type="cellIs" dxfId="345" priority="1742" operator="lessThan">
      <formula>0</formula>
    </cfRule>
    <cfRule type="cellIs" dxfId="344" priority="1741" operator="lessThan">
      <formula>0</formula>
    </cfRule>
    <cfRule type="cellIs" dxfId="343" priority="1737" operator="lessThan">
      <formula>0</formula>
    </cfRule>
  </conditionalFormatting>
  <conditionalFormatting sqref="V205:V294">
    <cfRule type="cellIs" dxfId="342" priority="1717" operator="lessThan">
      <formula>0</formula>
    </cfRule>
    <cfRule type="cellIs" dxfId="341" priority="1714" operator="greaterThan">
      <formula>0</formula>
    </cfRule>
    <cfRule type="cellIs" dxfId="340" priority="1715" operator="lessThan">
      <formula>0</formula>
    </cfRule>
    <cfRule type="cellIs" dxfId="339" priority="1712" operator="lessThan">
      <formula>0</formula>
    </cfRule>
    <cfRule type="cellIs" dxfId="338" priority="1713" operator="greaterThan">
      <formula>0</formula>
    </cfRule>
    <cfRule type="cellIs" dxfId="337" priority="1716" operator="lessThan">
      <formula>0</formula>
    </cfRule>
  </conditionalFormatting>
  <conditionalFormatting sqref="V301:V302">
    <cfRule type="cellIs" dxfId="336" priority="1720" operator="greaterThan">
      <formula>0</formula>
    </cfRule>
    <cfRule type="cellIs" dxfId="335" priority="1719" operator="greaterThan">
      <formula>0</formula>
    </cfRule>
    <cfRule type="cellIs" dxfId="334" priority="1718" operator="lessThan">
      <formula>0</formula>
    </cfRule>
    <cfRule type="cellIs" dxfId="333" priority="1723" operator="lessThan">
      <formula>0</formula>
    </cfRule>
    <cfRule type="cellIs" dxfId="332" priority="1722" operator="lessThan">
      <formula>0</formula>
    </cfRule>
    <cfRule type="cellIs" dxfId="331" priority="1721" operator="lessThan">
      <formula>0</formula>
    </cfRule>
  </conditionalFormatting>
  <conditionalFormatting sqref="V330">
    <cfRule type="cellIs" dxfId="330" priority="1725" operator="greaterThan">
      <formula>0</formula>
    </cfRule>
    <cfRule type="cellIs" dxfId="329" priority="1726" operator="greaterThan">
      <formula>0</formula>
    </cfRule>
    <cfRule type="cellIs" dxfId="328" priority="1727" operator="lessThan">
      <formula>0</formula>
    </cfRule>
    <cfRule type="cellIs" dxfId="327" priority="1728" operator="lessThan">
      <formula>0</formula>
    </cfRule>
    <cfRule type="cellIs" dxfId="326" priority="1729" operator="lessThan">
      <formula>0</formula>
    </cfRule>
    <cfRule type="cellIs" dxfId="325" priority="1724" operator="lessThan">
      <formula>0</formula>
    </cfRule>
  </conditionalFormatting>
  <conditionalFormatting sqref="V337">
    <cfRule type="cellIs" dxfId="324" priority="1730" operator="lessThan">
      <formula>0</formula>
    </cfRule>
    <cfRule type="cellIs" dxfId="323" priority="1731" operator="greaterThan">
      <formula>0</formula>
    </cfRule>
    <cfRule type="cellIs" dxfId="322" priority="1732" operator="greaterThan">
      <formula>0</formula>
    </cfRule>
    <cfRule type="cellIs" dxfId="321" priority="1733" operator="lessThan">
      <formula>0</formula>
    </cfRule>
    <cfRule type="cellIs" dxfId="320" priority="1735" operator="lessThan">
      <formula>0</formula>
    </cfRule>
    <cfRule type="cellIs" dxfId="319" priority="1734" operator="lessThan">
      <formula>0</formula>
    </cfRule>
  </conditionalFormatting>
  <conditionalFormatting sqref="V324:W324">
    <cfRule type="containsText" dxfId="318" priority="14582" operator="containsText" text="Input value is below the minimum value allowed">
      <formula>NOT(ISERROR(SEARCH("Input value is below the minimum value allowed",V324)))</formula>
    </cfRule>
  </conditionalFormatting>
  <conditionalFormatting sqref="V338:W338">
    <cfRule type="containsText" dxfId="317" priority="14544" operator="containsText" text="Input value is below the minimum value allowed">
      <formula>NOT(ISERROR(SEARCH("Input value is below the minimum value allowed",V338)))</formula>
    </cfRule>
  </conditionalFormatting>
  <conditionalFormatting sqref="V320:Z320">
    <cfRule type="containsText" dxfId="316" priority="14584" operator="containsText" text="Input value is below the minimum value allowed">
      <formula>NOT(ISERROR(SEARCH("Input value is below the minimum value allowed",V320)))</formula>
    </cfRule>
  </conditionalFormatting>
  <conditionalFormatting sqref="V335:Z335 V336:W336">
    <cfRule type="containsText" dxfId="315" priority="14545" operator="containsText" text="Input value is below the minimum value allowed">
      <formula>NOT(ISERROR(SEARCH("Input value is below the minimum value allowed",V335)))</formula>
    </cfRule>
  </conditionalFormatting>
  <conditionalFormatting sqref="X321:Z323">
    <cfRule type="containsText" dxfId="314" priority="14583" operator="containsText" text="Input value is below the minimum value allowed">
      <formula>NOT(ISERROR(SEARCH("Input value is below the minimum value allowed",X321)))</formula>
    </cfRule>
  </conditionalFormatting>
  <conditionalFormatting sqref="Y86 Y163 Y170 Y179 Y185">
    <cfRule type="expression" dxfId="313" priority="21557">
      <formula>#REF!&gt;0</formula>
    </cfRule>
    <cfRule type="expression" dxfId="312" priority="21561">
      <formula>ISERROR(#REF!)</formula>
    </cfRule>
  </conditionalFormatting>
  <conditionalFormatting sqref="Y200:Z201">
    <cfRule type="expression" dxfId="311" priority="21554">
      <formula>ISERROR(#REF!)</formula>
    </cfRule>
    <cfRule type="expression" dxfId="310" priority="21556">
      <formula>#REF!&gt;0</formula>
    </cfRule>
  </conditionalFormatting>
  <conditionalFormatting sqref="Z73">
    <cfRule type="containsText" dxfId="309" priority="14538" operator="containsText" text="No decimal places, letters &amp; odd characters allowed">
      <formula>NOT(ISERROR(SEARCH("No decimal places, letters &amp; odd characters allowed",Z73)))</formula>
    </cfRule>
  </conditionalFormatting>
  <dataValidations count="2">
    <dataValidation type="custom" allowBlank="1" showInputMessage="1" showErrorMessage="1" errorTitle="*Error*" error="Maximum 3 decimal places allowed for this field_x000a_" sqref="G315:I316" xr:uid="{48F9EFFE-2E91-464D-B28B-4917DAAA73EB}">
      <formula1>INT(G315*1000)=G315*1000</formula1>
    </dataValidation>
    <dataValidation type="custom" allowBlank="1" showInputMessage="1" showErrorMessage="1" error="Input &quot;BFR&quot;, &quot;CoA&quot; or please leave blank if no prepopulation is required" prompt="Input &quot;BFR&quot;, or please leave blank if no prepopulation is required" sqref="B5" xr:uid="{F6B4957A-C0B5-448E-9102-1BA2F7E8405C}">
      <formula1>OR(B5="CoA",B5="BFR")</formula1>
    </dataValidation>
  </dataValidations>
  <hyperlinks>
    <hyperlink ref="A339" location="Index!A1" display="Index page" xr:uid="{95A7CE3A-AA1C-4A4C-8BEA-7D6E3822A83D}"/>
    <hyperlink ref="Y338" location="'Validations table'!A141" display="'Validations table'!A141" xr:uid="{0926CCAB-67A1-48BF-A14E-53BCE09B4207}"/>
    <hyperlink ref="Y337" location="'Validations table'!A140" display="'Validations table'!A140" xr:uid="{85A60C5D-CA19-46F4-849F-E889F63CB5D9}"/>
    <hyperlink ref="Y336" location="'Validations table'!A135" display="'Validations table'!A135" xr:uid="{ECA77530-EF33-4017-A266-5C4194009296}"/>
    <hyperlink ref="Y331" location="'Validations table'!A142" display="'Validations table'!A142" xr:uid="{82C20AF6-E85D-4AA1-8F24-500078C32C7C}"/>
    <hyperlink ref="Y330" location="'Validations table'!A137" display="'Validations table'!A137" xr:uid="{7A8AA758-D29C-497F-92B4-13BFF2669308}"/>
    <hyperlink ref="Y329" location="'Validations table'!A138" display="'Validations table'!A138" xr:uid="{E109465F-CF08-40BD-A07A-293951253D81}"/>
    <hyperlink ref="Y328" location="'Validations table'!A139" display="'Validations table'!A139" xr:uid="{3F0BB594-4BE8-4724-9BAE-718C438D3DA5}"/>
    <hyperlink ref="Y324" location="'Validations table'!A136" display="'Validations table'!A136" xr:uid="{AE5E46F5-3763-460C-9664-9B1CE5D79A1E}"/>
    <hyperlink ref="Y316" location="'Validations table'!A134" display="'Validations table'!A134" xr:uid="{79B8E3E3-3833-4F24-AC12-D11258EC5FC1}"/>
    <hyperlink ref="Y315" location="'Validations table'!A133" display="'Validations table'!A133" xr:uid="{6483D79A-AE1F-4903-A859-F751C3477B67}"/>
    <hyperlink ref="Y311" location="'Validations table'!A132" display="'Validations table'!A132" xr:uid="{4654E0EC-0646-4E04-9B2B-C2EBEDACB210}"/>
    <hyperlink ref="Y310" location="'Validations table'!A131" display="'Validations table'!A131" xr:uid="{3A4F6219-38C9-4CA9-9878-432F281D3091}"/>
    <hyperlink ref="Y304" location="'Validations table'!A130" display="'Validations table'!A130" xr:uid="{BA9A9B76-4DCF-478E-A7EF-72E502FC1E2F}"/>
    <hyperlink ref="Y303" location="'Validations table'!A129" display="'Validations table'!A129" xr:uid="{D26F5ED5-D3D4-4324-8475-1199AB006950}"/>
    <hyperlink ref="Y294" location="'Validations table'!A124" display="'Validations table'!A124" xr:uid="{6169FD84-40BD-4981-9591-28E53924FCB4}"/>
    <hyperlink ref="Y293" location="'Validations table'!A123" display="'Validations table'!A123" xr:uid="{0C65F915-65D5-4E62-B3D0-D5D1159853C1}"/>
    <hyperlink ref="Y292" location="'Validations table'!A122" display="'Validations table'!A122" xr:uid="{4DE922F7-DE36-4724-921E-99A86B8C55FB}"/>
    <hyperlink ref="Y291" location="'Validations table'!A121" display="'Validations table'!A121" xr:uid="{69FC017D-141C-42EB-B8C2-210A60ACEAD3}"/>
    <hyperlink ref="Y290" location="'Validations table'!A120" display="'Validations table'!A120" xr:uid="{86B897E8-3595-42DC-A18B-3F045284649D}"/>
    <hyperlink ref="Y289" location="'Validations table'!A119" display="'Validations table'!A119" xr:uid="{E1BE63AB-EE4C-4B12-B088-0B2CB608BD81}"/>
    <hyperlink ref="Y288" location="'Validations table'!A118" display="'Validations table'!A118" xr:uid="{EEC43209-D99F-4FAC-BE61-2ACD0CF0A2B9}"/>
    <hyperlink ref="Y287" location="'Validations table'!A117" display="'Validations table'!A117" xr:uid="{609D734F-2BF2-4FC5-BE9C-0C7F601B2129}"/>
    <hyperlink ref="Y286" location="'Validations table'!A116" display="'Validations table'!A116" xr:uid="{D5870BDE-B669-4810-B811-DC32014EAD72}"/>
    <hyperlink ref="Y285" location="'Validations table'!A115" display="'Validations table'!A115" xr:uid="{ADBF5A05-1B19-41FC-9C1D-D5B09027B4A2}"/>
    <hyperlink ref="Y284" location="'Validations table'!A114" display="'Validations table'!A114" xr:uid="{D83AF0AA-3D27-4022-8850-5C6A9469FA06}"/>
    <hyperlink ref="Y283" location="'Validations table'!A113" display="'Validations table'!A113" xr:uid="{2D85FFF4-A7F6-4727-B5D3-3592D553D68F}"/>
    <hyperlink ref="Y282" location="'Validations table'!A112" display="'Validations table'!A112" xr:uid="{48AA4A0F-D4E5-485D-B332-4F4C3951AE85}"/>
    <hyperlink ref="Y281" location="'Validations table'!A111" display="'Validations table'!A111" xr:uid="{490467FA-E2A2-405C-B582-8F9EA339424F}"/>
    <hyperlink ref="Y280" location="'Validations table'!A110" display="'Validations table'!A110" xr:uid="{11EE8D70-8430-4767-9250-848F3B355B1D}"/>
    <hyperlink ref="Y279" location="'Validations table'!A109" display="'Validations table'!A109" xr:uid="{D41BE70F-2B1F-4D50-BA4A-36EDC028D8AE}"/>
    <hyperlink ref="Y278" location="'Validations table'!A108" display="'Validations table'!A108" xr:uid="{2687A191-0E4A-48D8-9339-2D81D218B70B}"/>
    <hyperlink ref="Y277" location="'Validations table'!A107" display="'Validations table'!A107" xr:uid="{B30653C5-22EB-4A84-81BD-083D16C01622}"/>
    <hyperlink ref="Y276" location="'Validations table'!A106" display="'Validations table'!A106" xr:uid="{D4BB5DAB-FD40-4727-9968-629505397617}"/>
    <hyperlink ref="Y275" location="'Validations table'!A105" display="'Validations table'!A105" xr:uid="{E0029CFA-AA59-41F4-BC96-B7DEEBEFB0FB}"/>
    <hyperlink ref="Y274" location="'Validations table'!A104" display="'Validations table'!A104" xr:uid="{7DDC2BDB-F3C5-4582-A3B9-D7D59CE819BB}"/>
    <hyperlink ref="Y273" location="'Validations table'!A102" display="'Validations table'!A102" xr:uid="{4CBABDD2-7832-452B-8890-8175524DADA5}"/>
    <hyperlink ref="Y272" location="'Validations table'!A101" display="'Validations table'!A101" xr:uid="{FDBE61AF-62A0-434B-9984-182BBAFA7480}"/>
    <hyperlink ref="Y271" location="'Validations table'!A100" display="'Validations table'!A100" xr:uid="{C358EEAC-A0F3-4139-8897-ED48DCD8D0B0}"/>
    <hyperlink ref="Y270" location="'Validations table'!A99" display="'Validations table'!A99" xr:uid="{EC7AD14B-97AC-4E78-92EF-619E63ADD5EA}"/>
    <hyperlink ref="Y269" location="'Validations table'!A98" display="'Validations table'!A98" xr:uid="{966471DC-34BB-4FF4-8FA2-BD14C321ACD2}"/>
    <hyperlink ref="Y268" location="'Validations table'!A97" display="'Validations table'!A97" xr:uid="{B1FEB69B-D582-43EB-B49E-FB4C48657579}"/>
    <hyperlink ref="Y267" location="'Validations table'!A96" display="'Validations table'!A96" xr:uid="{153A7988-CB4B-44AF-A998-B50B75149D68}"/>
    <hyperlink ref="Y266" location="'Validations table'!A95" display="'Validations table'!A95" xr:uid="{ACEFBD83-C7A8-494B-9BBF-2D1CC5FB6C8A}"/>
    <hyperlink ref="Y265" location="'Validations table'!A94" display="'Validations table'!A94" xr:uid="{E6DFE5FF-93FE-4BD7-A6F2-A8DCCF21D71C}"/>
    <hyperlink ref="Y264" location="'Validations table'!A93" display="'Validations table'!A93" xr:uid="{9460B16B-5929-450B-965A-5B374DC497C3}"/>
    <hyperlink ref="Y263" location="'Validations table'!A92" display="'Validations table'!A92" xr:uid="{C7DBAD31-D45F-42B2-8FA9-AC115A3C02C9}"/>
    <hyperlink ref="Y262" location="'Validations table'!A91" display="'Validations table'!A91" xr:uid="{B09C48B5-3B4B-4901-8FC9-59A2835D2507}"/>
    <hyperlink ref="Y261" location="'Validations table'!A90" display="'Validations table'!A90" xr:uid="{A141939B-FCD4-4EA9-8847-38994A9E6352}"/>
    <hyperlink ref="Y260" location="'Validations table'!A89" display="'Validations table'!A89" xr:uid="{C9ACB16A-961A-4A54-A1D4-70809025FDA9}"/>
    <hyperlink ref="Y259" location="'Validations table'!A88" display="'Validations table'!A88" xr:uid="{94E988F9-FF4F-4B87-B708-65A53001400A}"/>
    <hyperlink ref="Y258" location="'Validations table'!A87" display="'Validations table'!A87" xr:uid="{6DCED810-CF7C-47DF-B5F8-C99E1BA9726D}"/>
    <hyperlink ref="Y257" location="'Validations table'!A86" display="'Validations table'!A86" xr:uid="{9E57A866-549F-43E2-97F3-2BF85BCE0855}"/>
    <hyperlink ref="Y256" location="'Validations table'!A85" display="'Validations table'!A85" xr:uid="{0B0D40FB-4A82-4A41-ADF3-5D7831D9331A}"/>
    <hyperlink ref="Y255" location="'Validations table'!A84" display="'Validations table'!A84" xr:uid="{323590E2-5ED6-4519-A351-3E9BAE6889DF}"/>
    <hyperlink ref="Y254" location="'Validations table'!A83" display="'Validations table'!A83" xr:uid="{66FAA5C3-767A-41E5-8E08-0B808A6B1017}"/>
    <hyperlink ref="Y253" location="'Validations table'!A82" display="'Validations table'!A82" xr:uid="{7C3CB3A4-6616-48BA-94BA-D1A3D1B0042D}"/>
    <hyperlink ref="Y252" location="'Validations table'!A81" display="'Validations table'!A81" xr:uid="{40FE12AF-EF34-4942-BA9E-1E0FC5C218A1}"/>
    <hyperlink ref="Y251" location="'Validations table'!A80" display="'Validations table'!A80" xr:uid="{D083EDA7-2D99-499C-99D6-F63DF8CA731E}"/>
    <hyperlink ref="Y250" location="'Validations table'!A79" display="'Validations table'!A79" xr:uid="{726B6A7B-F8F1-4322-9D68-ED35D4C7D7F2}"/>
    <hyperlink ref="Y249" location="'Validations table'!A78" display="'Validations table'!A78" xr:uid="{BBB9AB7B-1F6B-4B9D-9975-53CFED624BCB}"/>
    <hyperlink ref="Y248" location="'Validations table'!A77" display="'Validations table'!A77" xr:uid="{7D528E7D-57F6-401E-BA1B-7D08E9675B5B}"/>
    <hyperlink ref="Y247" location="'Validations table'!A76" display="'Validations table'!A76" xr:uid="{DE574C4F-A7C0-44AC-82AB-9570789CF779}"/>
    <hyperlink ref="Y246" location="'Validations table'!A76" display="'Validations table'!A76" xr:uid="{F3DD9720-65FA-489F-AB6D-3AE55A48D349}"/>
    <hyperlink ref="Y245" location="'Validations table'!A74" display="'Validations table'!A74" xr:uid="{EDC7486B-2EA5-4C01-92BA-30A3EE94171D}"/>
    <hyperlink ref="Y244" location="'Validations table'!A73" display="'Validations table'!A73" xr:uid="{5038DBF1-90F4-413C-AB37-582E75276660}"/>
    <hyperlink ref="Y243" location="'Validations table'!A72" display="'Validations table'!A72" xr:uid="{4CB9047E-11E9-44C5-913F-B143CDD2CBA9}"/>
    <hyperlink ref="Y242" location="'Validations table'!A71" display="'Validations table'!A71" xr:uid="{D50A0EFC-CEF9-4964-B36B-C55D65969B5B}"/>
    <hyperlink ref="Y241" location="'Validations table'!A70" display="'Validations table'!A70" xr:uid="{154E3E24-AAF2-4645-AA27-D40395859C8A}"/>
    <hyperlink ref="Y240" location="'Validations table'!A69" display="'Validations table'!A69" xr:uid="{DAB0B68D-A997-4138-9885-ECEE11515EBD}"/>
    <hyperlink ref="Y239" location="'Validations table'!A68" display="'Validations table'!A68" xr:uid="{6C830247-6201-4F23-8C19-5A8AFECE0227}"/>
    <hyperlink ref="Y238" location="'Validations table'!A67" display="'Validations table'!A67" xr:uid="{7F43420D-8AA9-48C7-BD72-F8575297F4F4}"/>
    <hyperlink ref="Y237" location="'Validations table'!A66" display="'Validations table'!A66" xr:uid="{E286DB04-BB54-4E37-9E6C-4983CD580FA4}"/>
    <hyperlink ref="Y236" location="'Validations table'!A65" display="'Validations table'!A65" xr:uid="{A79C4D96-91C2-4B2C-B673-E73102A281BC}"/>
    <hyperlink ref="Y235" location="'Validations table'!A64" display="'Validations table'!A64" xr:uid="{98BD2E40-C556-4B46-B0C3-3A87FA72BF79}"/>
    <hyperlink ref="Y234" location="'Validations table'!A63" display="'Validations table'!A63" xr:uid="{2D09451A-A078-422B-942B-E6C041398310}"/>
    <hyperlink ref="Y233" location="'Validations table'!A62" display="'Validations table'!A62" xr:uid="{964D473B-4850-4746-84F1-6ED159DC542C}"/>
    <hyperlink ref="Y232" location="'Validations table'!A61" display="'Validations table'!A61" xr:uid="{ECF21F58-EC6B-48A5-8253-047B3D8319AE}"/>
    <hyperlink ref="Y231" location="'Validations table'!A60" display="'Validations table'!A60" xr:uid="{C10986F1-C199-48D7-A8C4-8469761FC652}"/>
    <hyperlink ref="Y230" location="'Validations table'!A59" display="'Validations table'!A59" xr:uid="{59BA5268-ABF9-43A9-963B-CF5E91A4B0E3}"/>
    <hyperlink ref="Y229" location="'Validations table'!A58" display="'Validations table'!A58" xr:uid="{E9039ABE-9B3E-4636-82CA-767385A497F9}"/>
    <hyperlink ref="Y228" location="'Validations table'!A57" display="'Validations table'!A57" xr:uid="{D7AB852B-91C8-4374-BE7D-A191DF644C09}"/>
    <hyperlink ref="Y227" location="'Validations table'!A56" display="'Validations table'!A56" xr:uid="{7F9707E8-6216-4F9A-8D07-6631735B491E}"/>
    <hyperlink ref="Y226" location="'Validations table'!A55" display="'Validations table'!A55" xr:uid="{A326208C-E9EB-44F7-8CA1-5AF7B214434E}"/>
    <hyperlink ref="Y225" location="'Validations table'!A54" display="'Validations table'!A54" xr:uid="{8C077969-4B5A-46F1-B3FC-AE6C6395892A}"/>
    <hyperlink ref="Y224" location="'Validations table'!A53" display="'Validations table'!A53" xr:uid="{35F322ED-EEA5-4F1C-A268-304ACBE30524}"/>
    <hyperlink ref="Y223" location="'Validations table'!A52" display="'Validations table'!A52" xr:uid="{24C1CB7C-D8C8-4063-8D54-1371CAD34D0A}"/>
    <hyperlink ref="Y222" location="'Validations table'!A51" display="'Validations table'!A51" xr:uid="{0614B296-69FD-43FB-8358-458376679B9A}"/>
    <hyperlink ref="Y221" location="'Validations table'!A50" display="'Validations table'!A50" xr:uid="{FD745EEB-1E6A-410B-86DE-185996AD60BC}"/>
    <hyperlink ref="Y220" location="'Validations table'!A49" display="'Validations table'!A49" xr:uid="{6D1674BC-67E6-4ADD-9485-8FCBF02D86FF}"/>
    <hyperlink ref="Y219" location="'Validations table'!A48" display="'Validations table'!A48" xr:uid="{39EE2E5C-E76B-4ACF-904F-94CA879E66E6}"/>
    <hyperlink ref="Y218" location="'Validations table'!A47" display="'Validations table'!A47" xr:uid="{0498C399-78EA-476F-8ED4-12AE15DD2C28}"/>
    <hyperlink ref="Y217" location="'Validations table'!A46" display="'Validations table'!A46" xr:uid="{1840ABBF-AAFD-4CF2-A758-9B6A567B836A}"/>
    <hyperlink ref="Y216" location="'Validations table'!A45" display="'Validations table'!A45" xr:uid="{6F7948BD-A0A4-4E88-B078-05822DABC461}"/>
    <hyperlink ref="Y215" location="'Validations table'!A44" display="'Validations table'!A44" xr:uid="{0A709CC2-77C4-4CA7-B2D7-140A99B1C21B}"/>
    <hyperlink ref="Y214" location="'Validations table'!A43" display="'Validations table'!A43" xr:uid="{9F5E6070-6470-43C2-9F87-AD09D087974A}"/>
    <hyperlink ref="Y213" location="'Validations table'!A42" display="'Validations table'!A42" xr:uid="{0CC4ED7D-5361-494E-BBB5-7D1791B5696A}"/>
    <hyperlink ref="Y212" location="'Validations table'!A41" display="'Validations table'!A41" xr:uid="{B64ECFAE-6FCA-4EFE-96C1-197985062D2C}"/>
    <hyperlink ref="Y211" location="'Validations table'!A40" display="'Validations table'!A40" xr:uid="{C569E13F-43A7-4FB7-AAFF-A6228475C95F}"/>
    <hyperlink ref="Y210" location="'Validations table'!A39" display="'Validations table'!A39" xr:uid="{B0DF74C3-EC6F-4EB9-A662-98F8DB405363}"/>
    <hyperlink ref="Y209" location="'Validations table'!A38" display="'Validations table'!A38" xr:uid="{20C1D65E-C012-4EEB-BFA6-D282E989909B}"/>
    <hyperlink ref="Y208" location="'Validations table'!A37" display="'Validations table'!A37" xr:uid="{A9A637EC-EE92-4C0E-BD5F-99D73F08C4C0}"/>
    <hyperlink ref="Y207" location="'Validations table'!A36" display="'Validations table'!A36" xr:uid="{F2BA0846-5EB3-4B97-8697-4500D0D1962B}"/>
    <hyperlink ref="Y206" location="'Validations table'!A35" display="'Validations table'!A35" xr:uid="{32707350-ACE1-4063-BD36-4FB910FA7533}"/>
    <hyperlink ref="Y205" location="'Validations table'!A34" display="'Validations table'!A34" xr:uid="{EFA3FE93-947E-4ECA-844C-CC68E4D8F138}"/>
    <hyperlink ref="Y198" location="'Validations table'!A127" display="'Validations table'!A127" xr:uid="{D5068AB8-16F9-447A-BE25-3A64B4B967C3}"/>
    <hyperlink ref="Y197" location="'Validations table'!A128" display="'Validations table'!A128" xr:uid="{4DB99166-CB2A-4E30-ADEC-2876FA5454F7}"/>
    <hyperlink ref="Y196" location="'Validations table'!A126" display="'Validations table'!A126" xr:uid="{17219850-C3FE-47D4-BFF5-E0E6D81B95BB}"/>
    <hyperlink ref="C190" location="'CoA mapping tables'!A669" display="See CoA mapping for this line" xr:uid="{557A4DBA-6EFB-41DC-AB0B-C711409B798C}"/>
    <hyperlink ref="C188" location="'CoA mapping tables'!A666" display="See CoA mapping for this line" xr:uid="{ECB001CA-7C9A-4457-9673-0E49EDDBDCE0}"/>
    <hyperlink ref="C184" location="'CoA mapping tables'!A896" display="See CoA mapping for this line" xr:uid="{3761646B-F149-49B7-BFCE-642AE6C14990}"/>
    <hyperlink ref="C183" location="'CoA mapping tables'!A892" display="See CoA mapping for this line" xr:uid="{66BC1D33-C5A0-4541-8AEA-580F6A6345B2}"/>
    <hyperlink ref="C182" location="'CoA mapping tables'!A886" display="See CoA mapping for this line" xr:uid="{E481285B-1C5F-4EFA-9BED-3E2072FE75E3}"/>
    <hyperlink ref="Y178" location="'Validations table'!A27" display="'Validations table'!A27" xr:uid="{53C456C9-0CA5-4CC3-AD1C-A3DDFF8E6300}"/>
    <hyperlink ref="Y176" location="'Validations table'!A26" display="'Validations table'!A26" xr:uid="{1DEC9718-B1B7-4309-8C1D-6B860FEDA987}"/>
    <hyperlink ref="C176" location="'CoA mapping tables'!A904" display="See CoA mapping for this line" xr:uid="{3A3A4982-B4FC-4928-9324-4B9BE4953AB8}"/>
    <hyperlink ref="C174" location="'CoA mapping tables'!A898" display="See CoA mapping for this line" xr:uid="{2533EB71-40BA-4530-9B2D-9EC92D280EB0}"/>
    <hyperlink ref="C169" location="'CoA mapping tables'!A868" display="See CoA mapping for this line" xr:uid="{7ECD3004-096D-41A6-8C40-1116E8171A12}"/>
    <hyperlink ref="Y167" location="'Validations table'!A25" display="'Validations table'!A25" xr:uid="{132B1616-E046-454B-9326-47165333B49C}"/>
    <hyperlink ref="C167" location="'CoA mapping tables'!A678" display="See CoA mapping for this line" xr:uid="{8507782B-FA16-4A30-9FD5-2A431D9AD372}"/>
    <hyperlink ref="Y162" location="'Validations table'!A28" display="'Validations table'!A28" xr:uid="{66499455-7BA0-4E3A-9264-1A5EF1759D9F}"/>
    <hyperlink ref="C162" location="'CoA mapping tables'!A662" display="See CoA mapping for this line" xr:uid="{AB1DD333-CBAA-407F-8E19-E2BE04878FED}"/>
    <hyperlink ref="C161" location="'CoA mapping tables'!A656" display="See CoA mapping for this line" xr:uid="{38FBB48D-6AEC-445D-A5CF-30CB113B3E5A}"/>
    <hyperlink ref="Y157" location="'Validations table'!A24" display="'Validations table'!A24" xr:uid="{5BC7AEB6-80E6-40C2-8E70-AFC486497242}"/>
    <hyperlink ref="C157" location="'CoA mapping tables'!A655" display="See CoA mapping for this line" xr:uid="{084102D6-8BD8-4C38-8218-69B04633D3F8}"/>
    <hyperlink ref="Y156" location="'Validations table'!A23" display="'Validations table'!A23" xr:uid="{A937B3B6-ACBF-4EF6-8669-52864926A457}"/>
    <hyperlink ref="C156" location="'CoA mapping tables'!A652" display="See CoA mapping for this line" xr:uid="{19B71E77-96A3-47B4-897F-55F24AFD9B7D}"/>
    <hyperlink ref="C151" location="'CoA mapping tables'!A619" display="See CoA mapping for this line" xr:uid="{3979A851-BB46-4D5C-AE1F-D06CDA3C1F1D}"/>
    <hyperlink ref="C150" location="'CoA mapping tables'!A490" display="See CoA mapping for this line" xr:uid="{D1085593-BCE4-44E2-BBA4-F3CF5938BE9B}"/>
    <hyperlink ref="C149" location="'CoA mapping tables'!A478" display="See CoA mapping for this line" xr:uid="{5DED599B-1608-4D66-A5A8-52DB1D0297BD}"/>
    <hyperlink ref="Y139" location="'Validations table'!A22" display="'Validations table'!A22" xr:uid="{45980DC7-6807-45C7-BE66-32EC737D9CAC}"/>
    <hyperlink ref="C134" location="'CoA mapping tables'!A580" display="See CoA mapping for this line" xr:uid="{FF7B4A89-9B1C-4851-98C9-7DDEAD8E50C3}"/>
    <hyperlink ref="C133" location="'CoA mapping tables'!A614" display="See CoA mapping for this line" xr:uid="{004B914C-29D1-4859-A317-FE142760C43B}"/>
    <hyperlink ref="C132" location="'CoA mapping tables'!A609" display="See CoA mapping for this line" xr:uid="{01029FE1-9171-4278-A2EF-15EA1FBFBD45}"/>
    <hyperlink ref="C131" location="'CoA mapping tables'!A600" display="See CoA mapping for this line" xr:uid="{0553E919-6298-406B-8A9E-9A8E3356E9F4}"/>
    <hyperlink ref="C125" location="'CoA mapping tables'!A595" display="See CoA mapping for this line" xr:uid="{9F20E998-8D2A-48A2-B997-B1DA23E4845F}"/>
    <hyperlink ref="C124" location="'CoA mapping tables'!A590" display="See CoA mapping for this line" xr:uid="{712D2C96-A0AD-4415-90F3-2245D6D49593}"/>
    <hyperlink ref="C123" location="'CoA mapping tables'!A574" display="See CoA mapping for this line" xr:uid="{BEEFD603-FF0E-4A73-BC28-E38818A23A1C}"/>
    <hyperlink ref="Y116" location="'Validations table'!A29" display="'Validations table'!A29" xr:uid="{79A4E8D5-442A-46BC-B8B8-EAD0911CA4AD}"/>
    <hyperlink ref="C112" location="'CoA mapping tables'!A546" display="See CoA mapping for this line" xr:uid="{8D463E69-326F-42D9-B0D8-03DFCFEF7F1E}"/>
    <hyperlink ref="C111" location="'CoA mapping tables'!A536" display="See CoA mapping for this line" xr:uid="{C5E19B96-FFB1-49F9-B430-2384B68CDE1F}"/>
    <hyperlink ref="C107" location="'CoA mapping tables'!A535" display="See CoA mapping for this line" xr:uid="{531155D7-0752-4865-A836-844D86F83D59}"/>
    <hyperlink ref="Y105" location="'Validations table'!A20" display="'Validations table'!A20" xr:uid="{51D14B21-EFD3-4FF9-9AFA-5D1CC4C2728C}"/>
    <hyperlink ref="C105" location="'CoA mapping tables'!A476" display="See CoA mapping for this line" xr:uid="{4108B74F-BE8B-4EE1-A7C2-B1F6DCFEDC1D}"/>
    <hyperlink ref="Y104" location="'Validations table'!A19" display="'Validations table'!A19" xr:uid="{A69D5B21-8F8A-47EB-833C-CEC65FFE70D5}"/>
    <hyperlink ref="C104" location="'CoA mapping tables'!A469" display="See CoA mapping for this line" xr:uid="{A0B047BB-4B51-42A3-8568-ECD4849D62B1}"/>
    <hyperlink ref="Y103" location="'Validations table'!A21" display="'Validations table'!A21" xr:uid="{5EE8E04B-4882-4DCB-9EA8-A767C1F81C16}"/>
    <hyperlink ref="C103" location="'CoA mapping tables'!A467" display="See CoA mapping for this line" xr:uid="{651CEBE3-8CC6-4FA0-BEFB-5AD9402604D1}"/>
    <hyperlink ref="C99" location="'CoA mapping tables'!A461" display="See CoA mapping for this line" xr:uid="{441670E7-B641-4675-A1D9-5436C1CF49B2}"/>
    <hyperlink ref="C98" location="'CoA mapping tables'!A452" display="See CoA mapping for this line" xr:uid="{01F52D9F-54FF-4B24-94A8-FD39DB2A8111}"/>
    <hyperlink ref="C97" location="'CoA mapping tables'!A449" display="See CoA mapping for this line" xr:uid="{5BA750DA-30DA-4896-B15B-B2831955B5E9}"/>
    <hyperlink ref="C96" location="'CoA mapping tables'!A448" display="See CoA mapping for this line" xr:uid="{919C0235-356D-423E-958C-D8E58F9CEAAE}"/>
    <hyperlink ref="Y89" location="'Validations table'!A18" display="'Validations table'!A18" xr:uid="{1AC3C986-93CA-4F78-AE9A-42F7F8DA6220}"/>
    <hyperlink ref="Y88" location="'Validations table'!A17" display="'Validations table'!A17" xr:uid="{80D79FC0-4368-40E0-9300-CE022C272BE4}"/>
    <hyperlink ref="Y85" location="'Validations table'!A16" display="'Validations table'!A16" xr:uid="{E426C829-9117-4DA2-BC6F-5DBCF21941F4}"/>
    <hyperlink ref="Y81" location="'Validations table'!A14" display="'Validations table'!A14" xr:uid="{D4EC8D11-4569-4982-B356-CD3261AA4022}"/>
    <hyperlink ref="Y77" location="'Validations table'!A12" display="'Validations table'!A12" xr:uid="{A3AF7E57-2F56-4065-9D7D-84186AFC7925}"/>
    <hyperlink ref="Y76" location="'Validations table'!A11" display="'Validations table'!A11" xr:uid="{9B7FEA5D-44A4-4453-861D-A404C868CB37}"/>
    <hyperlink ref="Y75" location="'Validations table'!A13" display="'Validations table'!A13" xr:uid="{95866C04-09D4-4795-8DD1-D76617F00420}"/>
    <hyperlink ref="Y74" location="'Validations table'!A31" display="'Validations table'!A31" xr:uid="{02727C5D-2BC4-4037-B5C2-F50103B21347}"/>
    <hyperlink ref="C72" location="'CoA mapping tables'!A261" display="See CoA mapping for this line" xr:uid="{6539FF6F-1CAD-4238-B3C9-E0BC6F5C76E3}"/>
    <hyperlink ref="Y68" location="'Validations table'!A103" display="'Validations table'!A103" xr:uid="{DB38B656-CE97-4660-A999-28410EE7E52A}"/>
    <hyperlink ref="C64" location="'CoA mapping tables'!A262" display="See CoA mapping for this line" xr:uid="{B68CA31F-B364-497B-9084-6756FA797CB7}"/>
    <hyperlink ref="C63" location="'CoA mapping tables'!A194" display="See CoA mapping for this line" xr:uid="{23677F27-E219-434D-8AD1-AF2A7DA6FA39}"/>
    <hyperlink ref="C62" location="'CoA mapping tables'!A254" display="See CoA mapping for this line" xr:uid="{F998A06A-2447-4E2F-906F-C5E4E10A5046}"/>
    <hyperlink ref="C61" location="'CoA mapping tables'!A249" display="See CoA mapping for this line" xr:uid="{927906C5-5CFB-44C9-AD4E-B9A9C7104B9E}"/>
    <hyperlink ref="C60" location="'CoA mapping tables'!A246" display="See CoA mapping for this line" xr:uid="{F02A2D68-F25B-49B3-AA05-800558E4F026}"/>
    <hyperlink ref="C59" location="'CoA mapping tables'!A243" display="See CoA mapping for this line" xr:uid="{46A7CDBC-E18D-4CAE-AB56-E28D7244A15D}"/>
    <hyperlink ref="C58" location="'CoA mapping tables'!A242" display="See CoA mapping for this line" xr:uid="{5A97132E-BEE6-42B9-B495-35A61E439CAC}"/>
    <hyperlink ref="C57" location="'CoA mapping tables'!A239" display="See CoA mapping for this line" xr:uid="{F0F59E65-E816-481E-B076-1B8315CD3612}"/>
    <hyperlink ref="C56" location="'CoA mapping tables'!A236" display="See CoA mapping for this line" xr:uid="{4AD1FC77-372F-48C8-960A-E0433EA8FF77}"/>
    <hyperlink ref="C52" location="'CoA mapping tables'!A172" display="See CoA mapping for this line" xr:uid="{D4ACF110-6E3E-4A5B-9FDC-F316CF988566}"/>
    <hyperlink ref="C51" location="'CoA mapping tables'!A168" display="See CoA mapping for this line" xr:uid="{6ABE5BAB-F452-4AB0-A70F-0CD2E0E246D5}"/>
    <hyperlink ref="C50" location="'CoA mapping tables'!A140" display="See CoA mapping for this line" xr:uid="{D24FF898-FACC-4AAC-A2E2-AA0CF3A87CB0}"/>
    <hyperlink ref="C49" location="'CoA mapping tables'!A80" display="See CoA mapping for this line" xr:uid="{AD724776-E231-4FEE-903E-69FE4CA2279B}"/>
    <hyperlink ref="C44" location="'CoA mapping tables'!A78" display="See CoA mapping for this line" xr:uid="{F3A33F2F-7058-444A-A7D1-53451D87D3A9}"/>
    <hyperlink ref="C41" location="'CoA mapping tables'!A60" display="See CoA mapping for this line" xr:uid="{B32DA3E8-0958-4707-8C63-6C76E32641F4}"/>
    <hyperlink ref="C40" location="'CoA mapping tables'!A57" display="See CoA mapping for this line" xr:uid="{7D6F5DA4-EC0D-4FA5-95DE-EF23921D07F7}"/>
    <hyperlink ref="C37" location="'CoA mapping tables'!A62" display="See CoA mapping for this line" xr:uid="{1C0ED0C3-5105-4DD9-B55E-030DAB726D6C}"/>
    <hyperlink ref="C36" location="'CoA mapping tables'!A59" display="See CoA mapping for this line" xr:uid="{CC279838-4F5C-4582-AE94-FCDA3358FF95}"/>
    <hyperlink ref="C35" location="'CoA mapping tables'!A42" display="See CoA mapping for this line" xr:uid="{E890D80E-339E-4835-9D1E-4F193B68A886}"/>
    <hyperlink ref="C34" location="'CoA mapping tables'!A41" display="See CoA mapping for this line" xr:uid="{8025D597-FCD7-45B1-96DA-CCBD8F405604}"/>
    <hyperlink ref="C33" location="'CoA mapping tables'!A38" display="See CoA mapping for this line" xr:uid="{0757B333-E71B-454D-96FA-34F316961797}"/>
    <hyperlink ref="C32" location="'CoA mapping tables'!A35" display="See CoA mapping for this line" xr:uid="{FB6F748F-7A57-4C32-B694-D1030DF1E2A7}"/>
    <hyperlink ref="C28" location="'CoA mapping tables'!A27" display="See CoA mapping for this line" xr:uid="{414250F6-BA18-4274-BA26-C850A45A4ABD}"/>
    <hyperlink ref="C27" location="'CoA mapping tables'!A26" display="See CoA mapping for this line" xr:uid="{81D7B8CD-9E87-4307-B3DD-038C2F42F817}"/>
    <hyperlink ref="C26" location="'CoA mapping tables'!A25" display="See CoA mapping for this line" xr:uid="{52B0B00B-A106-45E6-8E13-A12E04DDF663}"/>
    <hyperlink ref="C25" location="'CoA mapping tables'!A24" display="See CoA mapping for this line" xr:uid="{9D1F53DF-C94E-4722-88D3-3C009D688327}"/>
    <hyperlink ref="C24" location="'CoA mapping tables'!A15" display="See CoA mapping for this line" xr:uid="{D1A73AC4-D953-458F-9220-6452076246B3}"/>
    <hyperlink ref="Y23" location="'Validations table'!A10" display="'Validations table'!A10" xr:uid="{3ECF42AB-15FA-415A-84CE-E0FE2BB3423B}"/>
    <hyperlink ref="C23" location="'CoA mapping tables'!A14" display="See CoA mapping for this line" xr:uid="{E9E35711-55CA-4972-B8F6-4CC5B98EBFBC}"/>
    <hyperlink ref="C22" location="'CoA mapping tables'!A13" display="See CoA mapping for this line" xr:uid="{9547C222-3D4C-4539-95B2-C3CA8BDB4CF6}"/>
    <hyperlink ref="C21" location="'CoA mapping tables'!A12" display="See CoA mapping for this line" xr:uid="{AE425D4E-B46C-416B-956F-00CC8E1B0DF6}"/>
    <hyperlink ref="C20" location="'CoA mapping tables'!A11" display="See CoA mapping for this line" xr:uid="{CBBC9E4D-96D6-496F-80AC-11C1915D101A}"/>
    <hyperlink ref="Y19" location="'Validations table'!A9" display="'Validations table'!A9" xr:uid="{B731B887-8DFE-4A90-A182-478AD5931598}"/>
    <hyperlink ref="C19" location="'CoA mapping tables'!A6" display="See CoA mapping for this line" xr:uid="{F8CB96A1-F120-4E8D-9BD0-B8B61E03DB44}"/>
    <hyperlink ref="C18" location="'CoA mapping tables'!A5" display="See CoA mapping for this line" xr:uid="{642CF0F8-1387-4DA3-986F-1A03CBB17574}"/>
    <hyperlink ref="Y12" location="'Validations table'!A32" display="'Validations table'!A32" xr:uid="{2C71568E-1F5C-4AE8-B90F-C62F68D6DCC3}"/>
    <hyperlink ref="Y11" location="'Validations table'!A30" display="'Validations table'!A30" xr:uid="{FBFA5F23-8842-46E5-AF0A-6184D6C55B93}"/>
    <hyperlink ref="A7" r:id="rId1" xr:uid="{A7B8D879-3351-4D14-9821-AF9B80BF4CF2}"/>
    <hyperlink ref="H1" location="Index!A1" display="Index page" xr:uid="{7E37E68F-1F07-4A4E-B89D-9453F3B6C23E}"/>
    <hyperlink ref="C122" location="'CoA mapping tables'!A569" display="See CoA mapping for this line" xr:uid="{847870E5-6657-4805-BA0E-F50B56A3EF5F}"/>
  </hyperlinks>
  <pageMargins left="0.7" right="0.7" top="0.75" bottom="0.75" header="0.3" footer="0.3"/>
  <pageSetup paperSize="9" orientation="portrait" r:id="rId2"/>
  <headerFooter>
    <oddHeader>&amp;C&amp;"Aptos"&amp;11&amp;K000000 OFFICIAL - FOR PUBLIC RELEASE&amp;1#_x000D_</oddHeader>
    <oddFooter>&amp;C_x000D_&amp;1#&amp;"Aptos"&amp;11&amp;K000000 OFFICIAL - FOR PUBLIC RELEASE</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848" r:id="rId5" name="Option Button 824">
              <controlPr defaultSize="0" autoFill="0" autoLine="0" autoPict="0" altText="Yes">
                <anchor moveWithCells="1">
                  <from>
                    <xdr:col>1</xdr:col>
                    <xdr:colOff>228600</xdr:colOff>
                    <xdr:row>199</xdr:row>
                    <xdr:rowOff>336550</xdr:rowOff>
                  </from>
                  <to>
                    <xdr:col>1</xdr:col>
                    <xdr:colOff>603250</xdr:colOff>
                    <xdr:row>199</xdr:row>
                    <xdr:rowOff>565150</xdr:rowOff>
                  </to>
                </anchor>
              </controlPr>
            </control>
          </mc:Choice>
        </mc:AlternateContent>
        <mc:AlternateContent xmlns:mc="http://schemas.openxmlformats.org/markup-compatibility/2006">
          <mc:Choice Requires="x14">
            <control shapeId="1849" r:id="rId6" name="Option Button 825">
              <controlPr defaultSize="0" autoFill="0" autoLine="0" autoPict="0" altText="No">
                <anchor moveWithCells="1">
                  <from>
                    <xdr:col>2</xdr:col>
                    <xdr:colOff>184150</xdr:colOff>
                    <xdr:row>199</xdr:row>
                    <xdr:rowOff>336550</xdr:rowOff>
                  </from>
                  <to>
                    <xdr:col>2</xdr:col>
                    <xdr:colOff>565150</xdr:colOff>
                    <xdr:row>199</xdr:row>
                    <xdr:rowOff>565150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3995-47D4-4302-A349-32321D9BFD61}">
  <sheetPr codeName="Sheet9"/>
  <dimension ref="A1:AF27"/>
  <sheetViews>
    <sheetView showGridLines="0" zoomScaleNormal="100" workbookViewId="0"/>
  </sheetViews>
  <sheetFormatPr defaultColWidth="0" defaultRowHeight="17.5" zeroHeight="1" x14ac:dyDescent="0.35"/>
  <cols>
    <col min="1" max="1" width="86" style="13" customWidth="1"/>
    <col min="2" max="2" width="27.453125" style="8" customWidth="1"/>
    <col min="3" max="3" width="40.7265625" style="9" customWidth="1"/>
    <col min="4" max="4" width="36.26953125" style="9" customWidth="1"/>
    <col min="5" max="5" width="20.453125" style="10" customWidth="1"/>
    <col min="6" max="6" width="48.453125" style="10" customWidth="1"/>
    <col min="7" max="10" width="13.54296875" style="10" hidden="1" customWidth="1"/>
    <col min="11" max="17" width="13.54296875" style="8" hidden="1" customWidth="1"/>
    <col min="18" max="18" width="13.54296875" style="12" hidden="1" customWidth="1"/>
    <col min="19" max="19" width="13.54296875" style="8" hidden="1" customWidth="1"/>
    <col min="20" max="21" width="13.54296875" style="13" hidden="1" customWidth="1"/>
    <col min="22" max="23" width="13.54296875" style="8" hidden="1" customWidth="1"/>
    <col min="24" max="24" width="13.54296875" style="9" hidden="1" customWidth="1"/>
    <col min="25" max="26" width="13.54296875" style="12" hidden="1" customWidth="1"/>
    <col min="27" max="27" width="13.54296875" style="214" hidden="1" customWidth="1"/>
    <col min="28" max="29" width="13.54296875" style="215" hidden="1" customWidth="1"/>
    <col min="30" max="30" width="13.54296875" style="214" hidden="1" customWidth="1"/>
    <col min="31" max="31" width="13.54296875" style="212" hidden="1" customWidth="1"/>
    <col min="32" max="32" width="13.54296875" style="216" hidden="1" customWidth="1"/>
    <col min="33" max="16384" width="13.54296875" style="8" hidden="1"/>
  </cols>
  <sheetData>
    <row r="1" spans="1:6" ht="60" customHeight="1" x14ac:dyDescent="0.35">
      <c r="A1" s="24" t="s">
        <v>407</v>
      </c>
      <c r="C1" s="30"/>
      <c r="D1" s="30" t="s">
        <v>0</v>
      </c>
      <c r="F1" s="30"/>
    </row>
    <row r="2" spans="1:6" x14ac:dyDescent="0.35">
      <c r="A2" s="440" t="s">
        <v>1746</v>
      </c>
      <c r="F2" s="30"/>
    </row>
    <row r="3" spans="1:6" ht="244.5" customHeight="1" x14ac:dyDescent="0.5">
      <c r="A3" s="294" t="s">
        <v>1565</v>
      </c>
      <c r="B3" s="27"/>
      <c r="C3" s="17"/>
      <c r="D3" s="17"/>
    </row>
    <row r="4" spans="1:6" s="15" customFormat="1" ht="34.5" customHeight="1" x14ac:dyDescent="0.35">
      <c r="A4" s="472" t="s">
        <v>1493</v>
      </c>
      <c r="B4" s="8"/>
      <c r="C4" s="16"/>
      <c r="D4" s="16"/>
      <c r="E4" s="16"/>
      <c r="F4" s="16"/>
    </row>
    <row r="5" spans="1:6" s="15" customFormat="1" ht="34.5" customHeight="1" x14ac:dyDescent="0.35">
      <c r="A5" s="469">
        <f>'BFR 2026'!L88</f>
        <v>0</v>
      </c>
      <c r="B5" s="8"/>
      <c r="C5" s="16"/>
      <c r="D5" s="16"/>
      <c r="E5" s="16"/>
      <c r="F5" s="16"/>
    </row>
    <row r="6" spans="1:6" s="15" customFormat="1" ht="34.5" customHeight="1" x14ac:dyDescent="0.35">
      <c r="A6" s="8" t="s">
        <v>1494</v>
      </c>
      <c r="B6" s="8"/>
      <c r="C6" s="16"/>
      <c r="D6" s="16"/>
      <c r="E6" s="16"/>
      <c r="F6" s="16"/>
    </row>
    <row r="7" spans="1:6" ht="90" customHeight="1" x14ac:dyDescent="0.35">
      <c r="A7" s="504" t="str">
        <f>IF('BFR 2026'!$M$45=0,"*Error* Total revenue income (Line 298) cannot be £0",IFERROR('BFR 2026'!$L$88/'BFR 2026'!$M$45,""))</f>
        <v>*Error* Total revenue income (Line 298) cannot be £0</v>
      </c>
      <c r="C7" s="16"/>
      <c r="D7" s="593" t="str">
        <f>IFERROR(IF(AND(A7&lt;&gt;"",ISNUMBER(A7),A7&lt;=0),HYPERLINK("#'Summary Declaration'!A1","As your reserves ratio in cell A7 is 0 or negative, you are not required to complete this section. Skip to 'Summary Declaration' tab to continue."),IF(AND(A7&lt;&gt;"",ISNUMBER(A7),A7&gt;0,A7&lt;0.2),HYPERLINK("#'Reserve balance questions'!A1","As your positive reserves ratio in cell A7 is less than 20%, you are not required to complete this section. Navigate to the 'Reserve balance questions' tab to continue."),"")),"")</f>
        <v/>
      </c>
    </row>
    <row r="8" spans="1:6" ht="51.75" customHeight="1" x14ac:dyDescent="0.6">
      <c r="A8" s="22" t="s">
        <v>1499</v>
      </c>
    </row>
    <row r="9" spans="1:6" s="15" customFormat="1" x14ac:dyDescent="0.35">
      <c r="A9" s="437" t="s">
        <v>397</v>
      </c>
      <c r="B9" s="27"/>
      <c r="C9" s="27"/>
      <c r="D9" s="18"/>
      <c r="E9" s="18"/>
      <c r="F9" s="18"/>
    </row>
    <row r="10" spans="1:6" s="15" customFormat="1" ht="110.15" customHeight="1" x14ac:dyDescent="0.35">
      <c r="A10" s="225" t="s">
        <v>1765</v>
      </c>
      <c r="B10" s="27"/>
      <c r="C10" s="27"/>
      <c r="D10" s="18"/>
      <c r="E10" s="18"/>
      <c r="F10" s="18"/>
    </row>
    <row r="11" spans="1:6" ht="30" customHeight="1" x14ac:dyDescent="0.35">
      <c r="A11" s="251" t="s">
        <v>1698</v>
      </c>
    </row>
    <row r="12" spans="1:6" s="15" customFormat="1" ht="77.5" x14ac:dyDescent="0.35">
      <c r="A12" s="225" t="s">
        <v>398</v>
      </c>
      <c r="B12" s="224" t="s">
        <v>399</v>
      </c>
      <c r="C12" s="657" t="s">
        <v>1739</v>
      </c>
      <c r="D12" s="224" t="s">
        <v>400</v>
      </c>
      <c r="E12" s="224" t="s">
        <v>401</v>
      </c>
    </row>
    <row r="13" spans="1:6" s="15" customFormat="1" ht="95.25" customHeight="1" x14ac:dyDescent="0.35">
      <c r="A13" s="438" t="str">
        <f>"Of this "&amp;TEXT('BFR 2026'!$L$88,"£0,000")&amp;", what is the value of actual reserves your trust is holding for contingency?"</f>
        <v>Of this £0,000, what is the value of actual reserves your trust is holding for contingency?</v>
      </c>
      <c r="B13" s="652"/>
      <c r="C13" s="321"/>
      <c r="D13" s="338" t="str">
        <f>IF(AND(B13&gt;999,E13=FALSE),"Query: Only provide rounded amounts or tick box if correct","")</f>
        <v/>
      </c>
      <c r="E13" s="615" t="b">
        <v>0</v>
      </c>
    </row>
    <row r="14" spans="1:6" s="15" customFormat="1" ht="63.65" customHeight="1" x14ac:dyDescent="0.6">
      <c r="A14" s="23" t="s">
        <v>402</v>
      </c>
      <c r="B14" s="18"/>
      <c r="C14" s="18"/>
      <c r="D14" s="18"/>
      <c r="E14" s="18"/>
      <c r="F14" s="18"/>
    </row>
    <row r="15" spans="1:6" s="15" customFormat="1" ht="209.9" customHeight="1" x14ac:dyDescent="0.35">
      <c r="A15" s="432" t="s">
        <v>1480</v>
      </c>
      <c r="B15" s="18"/>
      <c r="C15" s="18"/>
      <c r="D15" s="18"/>
      <c r="E15" s="10"/>
      <c r="F15" s="10"/>
    </row>
    <row r="16" spans="1:6" s="15" customFormat="1" ht="63.65" customHeight="1" x14ac:dyDescent="0.6">
      <c r="A16" s="23" t="s">
        <v>403</v>
      </c>
      <c r="B16" s="18"/>
      <c r="C16" s="18"/>
      <c r="D16" s="18"/>
      <c r="E16" s="18"/>
      <c r="F16" s="18"/>
    </row>
    <row r="17" spans="1:6" x14ac:dyDescent="0.35">
      <c r="A17" s="251" t="s">
        <v>1697</v>
      </c>
    </row>
    <row r="18" spans="1:6" s="213" customFormat="1" ht="108.5" x14ac:dyDescent="0.35">
      <c r="A18" s="225" t="s">
        <v>1766</v>
      </c>
      <c r="B18" s="224" t="s">
        <v>1740</v>
      </c>
      <c r="C18" s="224" t="s">
        <v>1741</v>
      </c>
      <c r="D18" s="224" t="s">
        <v>1742</v>
      </c>
      <c r="E18" s="224" t="s">
        <v>400</v>
      </c>
      <c r="F18" s="224" t="s">
        <v>401</v>
      </c>
    </row>
    <row r="19" spans="1:6" s="15" customFormat="1" ht="77.5" x14ac:dyDescent="0.35">
      <c r="A19" s="25" t="s">
        <v>1488</v>
      </c>
      <c r="B19" s="321"/>
      <c r="C19" s="321"/>
      <c r="D19" s="321"/>
      <c r="E19" s="338" t="str">
        <f>IF(AND(B19&gt;999,F19=FALSE),"Query: Only provide amounts in rounded thousands £'000 or tick box if correct","")</f>
        <v/>
      </c>
      <c r="F19" s="615" t="b">
        <v>0</v>
      </c>
    </row>
    <row r="20" spans="1:6" s="15" customFormat="1" ht="248" x14ac:dyDescent="0.35">
      <c r="A20" s="225" t="s">
        <v>1743</v>
      </c>
      <c r="B20" s="321"/>
      <c r="C20" s="321"/>
      <c r="D20" s="321"/>
      <c r="E20" s="338" t="str">
        <f t="shared" ref="E20:E25" si="0">IF(AND(B20&gt;999,F20=FALSE),"Query: Only provide amounts in rounded thousands £'000 or tick box if correct","")</f>
        <v/>
      </c>
      <c r="F20" s="615" t="b">
        <v>0</v>
      </c>
    </row>
    <row r="21" spans="1:6" s="15" customFormat="1" ht="229.5" customHeight="1" x14ac:dyDescent="0.35">
      <c r="A21" s="225" t="s">
        <v>1744</v>
      </c>
      <c r="B21" s="321"/>
      <c r="C21" s="321"/>
      <c r="D21" s="321"/>
      <c r="E21" s="338" t="str">
        <f t="shared" si="0"/>
        <v/>
      </c>
      <c r="F21" s="615" t="b">
        <v>0</v>
      </c>
    </row>
    <row r="22" spans="1:6" s="15" customFormat="1" ht="124" x14ac:dyDescent="0.35">
      <c r="A22" s="225" t="s">
        <v>1745</v>
      </c>
      <c r="B22" s="321"/>
      <c r="C22" s="321"/>
      <c r="D22" s="321"/>
      <c r="E22" s="338" t="str">
        <f t="shared" si="0"/>
        <v/>
      </c>
      <c r="F22" s="615" t="b">
        <v>0</v>
      </c>
    </row>
    <row r="23" spans="1:6" s="15" customFormat="1" ht="82.4" customHeight="1" x14ac:dyDescent="0.35">
      <c r="A23" s="26" t="s">
        <v>1489</v>
      </c>
      <c r="B23" s="321"/>
      <c r="C23" s="321"/>
      <c r="D23" s="321"/>
      <c r="E23" s="338" t="str">
        <f t="shared" si="0"/>
        <v/>
      </c>
      <c r="F23" s="615" t="b">
        <v>0</v>
      </c>
    </row>
    <row r="24" spans="1:6" s="15" customFormat="1" ht="93.75" customHeight="1" x14ac:dyDescent="0.35">
      <c r="A24" s="26" t="s">
        <v>1490</v>
      </c>
      <c r="B24" s="321"/>
      <c r="C24" s="321"/>
      <c r="D24" s="321"/>
      <c r="E24" s="338" t="str">
        <f t="shared" si="0"/>
        <v/>
      </c>
      <c r="F24" s="615" t="b">
        <v>0</v>
      </c>
    </row>
    <row r="25" spans="1:6" s="15" customFormat="1" ht="75" customHeight="1" x14ac:dyDescent="0.35">
      <c r="A25" s="26" t="s">
        <v>1491</v>
      </c>
      <c r="B25" s="321"/>
      <c r="C25" s="321"/>
      <c r="D25" s="321"/>
      <c r="E25" s="338" t="str">
        <f t="shared" si="0"/>
        <v/>
      </c>
      <c r="F25" s="615" t="b">
        <v>0</v>
      </c>
    </row>
    <row r="26" spans="1:6" ht="120" customHeight="1" x14ac:dyDescent="0.35">
      <c r="A26" s="128" t="str">
        <f>IF('Validations table'!F33="OK","",IF(OR(B26&lt;&gt;""),"*error* - check cell G44 for info",""))</f>
        <v/>
      </c>
      <c r="B26" s="402">
        <f>'BFR 2026'!L88-(SUM(B19:B25)+'Reserve balance details'!B13)</f>
        <v>0</v>
      </c>
      <c r="C26" s="410"/>
      <c r="E26" s="653" t="s">
        <v>404</v>
      </c>
      <c r="F26" s="651" t="str">
        <f>IF(A7&lt;20%,"",IF(AND(ISBLANK('Validations table'!E33),OR($B$26&lt;&gt;0)),_xlfn._LONGTEXT("Ensure that all amounts in the categories above (including contingencies) have been entered correctly and rounded to the nearest thousand (£’000). If the total amount in the categories disclosed above differ from the reserve balance b/fwd from line 430, p","lease provide a brief explanation."),""))</f>
        <v/>
      </c>
    </row>
    <row r="27" spans="1:6" ht="45" customHeight="1" x14ac:dyDescent="0.35">
      <c r="A27" s="207" t="s">
        <v>0</v>
      </c>
    </row>
  </sheetData>
  <sheetProtection algorithmName="SHA-512" hashValue="+N0TQbBp5uuilZb1xpaC+ohWI4M5TrI1LlgY33JGAWPg1dbTKwKfwh+lLz86vILChIAae1tJ200TRkscP6+7CA==" saltValue="HPKA6CPOLhU3zZ3ciUmKWA==" spinCount="100000" sheet="1" objects="1" scenarios="1"/>
  <conditionalFormatting sqref="A5">
    <cfRule type="cellIs" dxfId="308" priority="50" operator="greaterThan">
      <formula>0</formula>
    </cfRule>
    <cfRule type="cellIs" dxfId="307" priority="59" operator="lessThan">
      <formula>0</formula>
    </cfRule>
    <cfRule type="cellIs" dxfId="306" priority="60" operator="lessThan">
      <formula>0</formula>
    </cfRule>
    <cfRule type="cellIs" dxfId="305" priority="61" operator="lessThan">
      <formula>0</formula>
    </cfRule>
    <cfRule type="cellIs" dxfId="304" priority="49" operator="lessThan">
      <formula>0</formula>
    </cfRule>
    <cfRule type="cellIs" dxfId="303" priority="62" operator="lessThan">
      <formula>0</formula>
    </cfRule>
    <cfRule type="cellIs" dxfId="302" priority="51" operator="greaterThan">
      <formula>0</formula>
    </cfRule>
    <cfRule type="cellIs" dxfId="301" priority="52" operator="lessThan">
      <formula>0</formula>
    </cfRule>
    <cfRule type="cellIs" dxfId="300" priority="53" operator="lessThan">
      <formula>0</formula>
    </cfRule>
    <cfRule type="cellIs" dxfId="299" priority="54" operator="lessThan">
      <formula>0</formula>
    </cfRule>
    <cfRule type="cellIs" dxfId="298" priority="55" operator="lessThan">
      <formula>0</formula>
    </cfRule>
    <cfRule type="cellIs" dxfId="297" priority="56" operator="lessThan">
      <formula>0</formula>
    </cfRule>
    <cfRule type="cellIs" dxfId="296" priority="57" operator="lessThan">
      <formula>0</formula>
    </cfRule>
    <cfRule type="cellIs" dxfId="295" priority="58" operator="lessThan">
      <formula>0</formula>
    </cfRule>
  </conditionalFormatting>
  <conditionalFormatting sqref="A7">
    <cfRule type="containsText" dxfId="294" priority="5" operator="containsText" text="error">
      <formula>NOT(ISERROR(SEARCH("error",A7)))</formula>
    </cfRule>
    <cfRule type="cellIs" dxfId="293" priority="6" operator="lessThan">
      <formula>0</formula>
    </cfRule>
    <cfRule type="cellIs" dxfId="292" priority="7" operator="greaterThan">
      <formula>0</formula>
    </cfRule>
    <cfRule type="cellIs" dxfId="291" priority="8" operator="greaterThan">
      <formula>0</formula>
    </cfRule>
    <cfRule type="cellIs" dxfId="290" priority="9" operator="lessThan">
      <formula>0</formula>
    </cfRule>
    <cfRule type="cellIs" dxfId="289" priority="10" operator="lessThan">
      <formula>0</formula>
    </cfRule>
    <cfRule type="cellIs" dxfId="288" priority="11" operator="lessThan">
      <formula>0</formula>
    </cfRule>
    <cfRule type="cellIs" dxfId="287" priority="12" operator="lessThan">
      <formula>0</formula>
    </cfRule>
    <cfRule type="cellIs" dxfId="286" priority="13" operator="lessThan">
      <formula>0</formula>
    </cfRule>
    <cfRule type="cellIs" dxfId="285" priority="14" operator="lessThan">
      <formula>0</formula>
    </cfRule>
    <cfRule type="cellIs" dxfId="284" priority="15" operator="lessThan">
      <formula>0</formula>
    </cfRule>
    <cfRule type="cellIs" dxfId="283" priority="16" operator="lessThan">
      <formula>0</formula>
    </cfRule>
    <cfRule type="cellIs" dxfId="282" priority="17" operator="lessThan">
      <formula>0</formula>
    </cfRule>
    <cfRule type="cellIs" dxfId="281" priority="18" operator="lessThan">
      <formula>0</formula>
    </cfRule>
    <cfRule type="cellIs" dxfId="280" priority="19" operator="lessThan">
      <formula>0</formula>
    </cfRule>
  </conditionalFormatting>
  <conditionalFormatting sqref="A26">
    <cfRule type="containsText" dxfId="279" priority="88" operator="containsText" text="check - see columns S-Z for info">
      <formula>NOT(ISERROR(SEARCH("check - see columns S-Z for info",A26)))</formula>
    </cfRule>
    <cfRule type="containsText" dxfId="278" priority="89" operator="containsText" text="check - see columns S-Z for info">
      <formula>NOT(ISERROR(SEARCH("check - see columns S-Z for info",A26)))</formula>
    </cfRule>
    <cfRule type="containsText" dxfId="277" priority="90" operator="containsText" text="Check">
      <formula>NOT(ISERROR(SEARCH("Check",A26)))</formula>
    </cfRule>
    <cfRule type="cellIs" dxfId="276" priority="91" operator="equal">
      <formula>"Check"</formula>
    </cfRule>
    <cfRule type="cellIs" dxfId="275" priority="92" operator="equal">
      <formula>"Check Validation"</formula>
    </cfRule>
    <cfRule type="cellIs" dxfId="274" priority="93" operator="equal">
      <formula>"Check Validations"</formula>
    </cfRule>
    <cfRule type="containsText" dxfId="273" priority="65" operator="containsText" text="*error* - check cell G44 for info">
      <formula>NOT(ISERROR(SEARCH("*error* - check cell G44 for info",A26)))</formula>
    </cfRule>
    <cfRule type="containsText" dxfId="272" priority="66" operator="containsText" text="Check - see cell G44 for info">
      <formula>NOT(ISERROR(SEARCH("Check - see cell G44 for info",A26)))</formula>
    </cfRule>
    <cfRule type="containsText" dxfId="271" priority="67" operator="containsText" text="Check - see cell G44 for info">
      <formula>NOT(ISERROR(SEARCH("Check - see cell G44 for info",A26)))</formula>
    </cfRule>
    <cfRule type="containsText" dxfId="270" priority="68" operator="containsText" text="Check - see cell G44 for info">
      <formula>NOT(ISERROR(SEARCH("Check - see cell G44 for info",A26)))</formula>
    </cfRule>
    <cfRule type="containsText" dxfId="269" priority="69" operator="containsText" text="check - see columns S-Z for info">
      <formula>NOT(ISERROR(SEARCH("check - see columns S-Z for info",A26)))</formula>
    </cfRule>
    <cfRule type="containsText" dxfId="268" priority="70" operator="containsText" text="check - see columns S-Z for info">
      <formula>NOT(ISERROR(SEARCH("check - see columns S-Z for info",A26)))</formula>
    </cfRule>
    <cfRule type="containsText" priority="71" operator="containsText" text="check - see columns S-Z for info">
      <formula>NOT(ISERROR(SEARCH("check - see columns S-Z for info",A26)))</formula>
    </cfRule>
    <cfRule type="containsBlanks" dxfId="267" priority="72">
      <formula>LEN(TRIM(A26))=0</formula>
    </cfRule>
    <cfRule type="containsText" dxfId="266" priority="73" operator="containsText" text="check - see columns S-Z for info">
      <formula>NOT(ISERROR(SEARCH("check - see columns S-Z for info",A26)))</formula>
    </cfRule>
    <cfRule type="containsText" dxfId="265" priority="74" operator="containsText" text="check - see columns S-Z for info">
      <formula>NOT(ISERROR(SEARCH("check - see columns S-Z for info",A26)))</formula>
    </cfRule>
    <cfRule type="containsText" dxfId="264" priority="75" operator="containsText" text="Check">
      <formula>NOT(ISERROR(SEARCH("Check",A26)))</formula>
    </cfRule>
    <cfRule type="cellIs" dxfId="263" priority="76" operator="equal">
      <formula>"Check"</formula>
    </cfRule>
    <cfRule type="cellIs" dxfId="262" priority="77" operator="equal">
      <formula>"Check Validation"</formula>
    </cfRule>
    <cfRule type="cellIs" dxfId="261" priority="78" operator="equal">
      <formula>"Check Validations"</formula>
    </cfRule>
    <cfRule type="containsText" dxfId="260" priority="79" operator="containsText" text="check - see columns S-Z for info">
      <formula>NOT(ISERROR(SEARCH("check - see columns S-Z for info",A26)))</formula>
    </cfRule>
    <cfRule type="containsBlanks" dxfId="259" priority="80">
      <formula>LEN(TRIM(A26))=0</formula>
    </cfRule>
    <cfRule type="containsText" dxfId="258" priority="81" operator="containsText" text="check - see columns S-Z for info">
      <formula>NOT(ISERROR(SEARCH("check - see columns S-Z for info",A26)))</formula>
    </cfRule>
    <cfRule type="containsText" dxfId="257" priority="82" operator="containsText" text="check - see columns S-Z for info">
      <formula>NOT(ISERROR(SEARCH("check - see columns S-Z for info",A26)))</formula>
    </cfRule>
    <cfRule type="containsText" dxfId="256" priority="83" operator="containsText" text="Check">
      <formula>NOT(ISERROR(SEARCH("Check",A26)))</formula>
    </cfRule>
    <cfRule type="cellIs" dxfId="255" priority="84" operator="equal">
      <formula>"Check"</formula>
    </cfRule>
    <cfRule type="cellIs" dxfId="254" priority="85" operator="equal">
      <formula>"Check Validation"</formula>
    </cfRule>
    <cfRule type="cellIs" dxfId="253" priority="86" operator="equal">
      <formula>"Check Validations"</formula>
    </cfRule>
    <cfRule type="containsBlanks" dxfId="252" priority="87">
      <formula>LEN(TRIM(A26))=0</formula>
    </cfRule>
  </conditionalFormatting>
  <conditionalFormatting sqref="B19:D25">
    <cfRule type="cellIs" dxfId="251" priority="2" operator="greaterThan">
      <formula>0</formula>
    </cfRule>
    <cfRule type="cellIs" dxfId="250" priority="3" operator="lessThan">
      <formula>0</formula>
    </cfRule>
    <cfRule type="cellIs" priority="4" operator="lessThan">
      <formula>0</formula>
    </cfRule>
    <cfRule type="cellIs" dxfId="249" priority="1" operator="equal">
      <formula>0</formula>
    </cfRule>
  </conditionalFormatting>
  <conditionalFormatting sqref="C13">
    <cfRule type="cellIs" dxfId="248" priority="150" operator="equal">
      <formula>0</formula>
    </cfRule>
    <cfRule type="cellIs" dxfId="247" priority="151" operator="greaterThan">
      <formula>0</formula>
    </cfRule>
    <cfRule type="cellIs" dxfId="246" priority="152" operator="lessThan">
      <formula>0</formula>
    </cfRule>
    <cfRule type="cellIs" priority="153" operator="lessThan">
      <formula>0</formula>
    </cfRule>
  </conditionalFormatting>
  <conditionalFormatting sqref="C26">
    <cfRule type="containsText" dxfId="245" priority="125" operator="containsText" text="Error">
      <formula>NOT(ISERROR(SEARCH("Error",C26)))</formula>
    </cfRule>
    <cfRule type="containsText" dxfId="244" priority="126" operator="containsText" text="Error">
      <formula>NOT(ISERROR(SEARCH("Error",C26)))</formula>
    </cfRule>
    <cfRule type="containsBlanks" dxfId="243" priority="127">
      <formula>LEN(TRIM(C26))=0</formula>
    </cfRule>
    <cfRule type="containsText" dxfId="242" priority="128" operator="containsText" text="Error">
      <formula>NOT(ISERROR(SEARCH("Error",C26)))</formula>
    </cfRule>
    <cfRule type="notContainsText" dxfId="241" priority="129" operator="notContains" text="OK">
      <formula>ISERROR(SEARCH("OK",C26))</formula>
    </cfRule>
    <cfRule type="containsText" dxfId="240" priority="130" operator="containsText" text="OK">
      <formula>NOT(ISERROR(SEARCH("OK",C26)))</formula>
    </cfRule>
  </conditionalFormatting>
  <conditionalFormatting sqref="D13 E19:E25">
    <cfRule type="containsText" dxfId="239" priority="155" operator="containsText" text="Query: Only provide rounded amounts or tick box if correct">
      <formula>NOT(ISERROR(SEARCH("Query: Only provide rounded amounts or tick box if correct",D13)))</formula>
    </cfRule>
    <cfRule type="containsBlanks" dxfId="238" priority="156">
      <formula>LEN(TRIM(D13))=0</formula>
    </cfRule>
    <cfRule type="containsText" dxfId="237" priority="157" operator="containsText" text="Query: Only provide rounded amounts or tick box if correct">
      <formula>NOT(ISERROR(SEARCH("Query: Only provide rounded amounts or tick box if correct",D13)))</formula>
    </cfRule>
    <cfRule type="containsBlanks" dxfId="236" priority="158">
      <formula>LEN(TRIM(D13))=0</formula>
    </cfRule>
    <cfRule type="containsText" dxfId="235" priority="159" operator="containsText" text="Query: Only provide rounded amounts or tick box if correct">
      <formula>NOT(ISERROR(SEARCH("Query: Only provide rounded amounts or tick box if correct",D13)))</formula>
    </cfRule>
  </conditionalFormatting>
  <conditionalFormatting sqref="E19:E25 D13">
    <cfRule type="containsBlanks" dxfId="234" priority="154">
      <formula>LEN(TRIM(D13))=0</formula>
    </cfRule>
  </conditionalFormatting>
  <conditionalFormatting sqref="E19:E25">
    <cfRule type="containsText" dxfId="233" priority="63" operator="containsText" text="Query">
      <formula>NOT(ISERROR(SEARCH("Query",E19)))</formula>
    </cfRule>
    <cfRule type="containsText" dxfId="232" priority="64" operator="containsText" text="Query">
      <formula>NOT(ISERROR(SEARCH("Query",E19)))</formula>
    </cfRule>
  </conditionalFormatting>
  <dataValidations count="2">
    <dataValidation type="whole" operator="lessThanOrEqual" allowBlank="1" showInputMessage="1" showErrorMessage="1" errorTitle="Limit" error="Enter a number less than £40,000" sqref="B19:B25" xr:uid="{85EE59CE-EC5B-4880-ACDE-3B358ABA1A18}">
      <formula1>40000</formula1>
    </dataValidation>
    <dataValidation type="custom" operator="lessThanOrEqual" allowBlank="1" showInputMessage="1" showErrorMessage="1" errorTitle="Error " error="Check that amount is less than 40000_x000a__x000a_OR_x000a__x000a_Input will be disabled if cell C7 less than 20%_x000a__x000a_Navigate to 'Reserve balance questions' tab or skip 'summary declaration' tab if A7 is 0 or less_x000a__x000a_Click link in D7 for correct tab" sqref="B13" xr:uid="{70E38CB0-1AAA-497C-97A1-EF04C3135504}">
      <formula1>AND(ISNUMBER(A7), A7&gt;=20%, B13&lt;=40000)</formula1>
    </dataValidation>
  </dataValidations>
  <hyperlinks>
    <hyperlink ref="A27" location="Index!A1" display="Index page" xr:uid="{D8FFBFCC-2832-4BC7-9449-31075AA1E127}"/>
    <hyperlink ref="E26" location="'Validations table'!A33" display="QU100" xr:uid="{D7FB2ADF-840F-4882-8D9F-77DA9199BEC8}"/>
    <hyperlink ref="D1" location="Index!A1" display="Index page" xr:uid="{A109A611-4F25-4FD4-9ED4-3148A0490125}"/>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4a265f5a2cd05382bab7341a3a8f02eb">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09668e541dcef22d0315f835eb0b6a7f"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07c698-60f5-424f-b9af-f4c59398b511" ContentTypeId="0x010100545E941595ED5448BA61900FDDAFF313"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_dlc_DocId xmlns="ba2294b9-6d6a-4c9b-a125-9e4b98f52ed2">Q63W2F7J45JW-694216568-48426</_dlc_DocId>
    <_dlc_DocIdUrl xmlns="ba2294b9-6d6a-4c9b-a125-9e4b98f52ed2">
      <Url>https://educationgovuk.sharepoint.com/sites/lvedfe00007/_layouts/15/DocIdRedir.aspx?ID=Q63W2F7J45JW-694216568-48426</Url>
      <Description>Q63W2F7J45JW-694216568-48426</Description>
    </_dlc_DocIdUr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documentManagement>
</p:properties>
</file>

<file path=customXml/itemProps1.xml><?xml version="1.0" encoding="utf-8"?>
<ds:datastoreItem xmlns:ds="http://schemas.openxmlformats.org/officeDocument/2006/customXml" ds:itemID="{E53B850C-39AC-434F-BA9D-882DAADFC9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C9EF19-38A3-44A7-8971-EEC46A7B668C}">
  <ds:schemaRefs>
    <ds:schemaRef ds:uri="http://schemas.microsoft.com/sharepoint/events"/>
  </ds:schemaRefs>
</ds:datastoreItem>
</file>

<file path=customXml/itemProps3.xml><?xml version="1.0" encoding="utf-8"?>
<ds:datastoreItem xmlns:ds="http://schemas.openxmlformats.org/officeDocument/2006/customXml" ds:itemID="{7D8E5F1E-2FBA-4838-8265-CFE7B8A4B987}">
  <ds:schemaRefs>
    <ds:schemaRef ds:uri="http://schemas.microsoft.com/sharepoint/v3/contenttype/forms"/>
  </ds:schemaRefs>
</ds:datastoreItem>
</file>

<file path=customXml/itemProps4.xml><?xml version="1.0" encoding="utf-8"?>
<ds:datastoreItem xmlns:ds="http://schemas.openxmlformats.org/officeDocument/2006/customXml" ds:itemID="{70F4AA47-336D-4FAE-8DAB-7B3B3D724B5F}">
  <ds:schemaRefs>
    <ds:schemaRef ds:uri="Microsoft.SharePoint.Taxonomy.ContentTypeSync"/>
  </ds:schemaRefs>
</ds:datastoreItem>
</file>

<file path=customXml/itemProps5.xml><?xml version="1.0" encoding="utf-8"?>
<ds:datastoreItem xmlns:ds="http://schemas.openxmlformats.org/officeDocument/2006/customXml" ds:itemID="{7A6F0258-DC3C-481E-8C91-EB2A4F29AD6A}">
  <ds:schemaRefs>
    <ds:schemaRef ds:uri="ba2294b9-6d6a-4c9b-a125-9e4b98f52ed2"/>
    <ds:schemaRef ds:uri="http://purl.org/dc/elements/1.1/"/>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8c566321-f672-4e06-a901-b5e72b4c4357"/>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Version control</vt:lpstr>
      <vt:lpstr>Instructions</vt:lpstr>
      <vt:lpstr>Guidance links</vt:lpstr>
      <vt:lpstr>Index</vt:lpstr>
      <vt:lpstr>Organisation user</vt:lpstr>
      <vt:lpstr>Finance questions</vt:lpstr>
      <vt:lpstr>Prior year BFR download report</vt:lpstr>
      <vt:lpstr>BFR 2026</vt:lpstr>
      <vt:lpstr>Reserve balance details</vt:lpstr>
      <vt:lpstr>Reserve balance questions</vt:lpstr>
      <vt:lpstr>Summary declaration</vt:lpstr>
      <vt:lpstr>Preparer declaration </vt:lpstr>
      <vt:lpstr>Approver declaration</vt:lpstr>
      <vt:lpstr>Min max table</vt:lpstr>
      <vt:lpstr>Validations table</vt:lpstr>
      <vt:lpstr>CoA mapping tables</vt:lpstr>
      <vt:lpstr>'Guidance links'!Print_Area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BFR 2026 Traditional Workbook</dc:title>
  <dc:creator>DepartmentforEducation146@Educationgovuk.onmicrosoft.com</dc:creator>
  <cp:lastModifiedBy>JOHNSON, Natalie</cp:lastModifiedBy>
  <dcterms:created xsi:type="dcterms:W3CDTF">2026-06-25T12:32:18Z</dcterms:created>
  <dcterms:modified xsi:type="dcterms:W3CDTF">2026-06-30T08:50:52Z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d89a3d90af4054933af136d81ae271">
    <vt:lpwstr/>
  </property>
  <property fmtid="{D5CDD505-2E9C-101B-9397-08002B2CF9AE}" pid="3" name="MediaServiceImageTags">
    <vt:lpwstr/>
  </property>
  <property fmtid="{D5CDD505-2E9C-101B-9397-08002B2CF9AE}" pid="4" name="ContentTypeId">
    <vt:lpwstr>0x010100545E941595ED5448BA61900FDDAFF31300BB6E7FFE1FD9F341B136A3B823131268</vt:lpwstr>
  </property>
  <property fmtid="{D5CDD505-2E9C-101B-9397-08002B2CF9AE}" pid="5" name="Subject1">
    <vt:lpwstr/>
  </property>
  <property fmtid="{D5CDD505-2E9C-101B-9397-08002B2CF9AE}" pid="6" name="Function">
    <vt:lpwstr/>
  </property>
  <property fmtid="{D5CDD505-2E9C-101B-9397-08002B2CF9AE}" pid="7" name="SiteType">
    <vt:lpwstr/>
  </property>
  <property fmtid="{D5CDD505-2E9C-101B-9397-08002B2CF9AE}" pid="8" name="_dlc_DocIdItemGuid">
    <vt:lpwstr>4b757a02-eb48-4841-bbf2-80d9d7d25863</vt:lpwstr>
  </property>
  <property fmtid="{D5CDD505-2E9C-101B-9397-08002B2CF9AE}" pid="9" name="OrganisationalUnit">
    <vt:lpwstr>1;#DfE|cc08a6d4-dfde-4d0f-bd85-069ebcef80d5</vt:lpwstr>
  </property>
  <property fmtid="{D5CDD505-2E9C-101B-9397-08002B2CF9AE}" pid="10" name="pd0bfabaa6cb47f7bff41b54a8405b46">
    <vt:lpwstr>DfE|cc08a6d4-dfde-4d0f-bd85-069ebcef80d5</vt:lpwstr>
  </property>
  <property fmtid="{D5CDD505-2E9C-101B-9397-08002B2CF9AE}" pid="11" name="DfeOrganisationalUnit">
    <vt:lpwstr>1;#DfE|cc08a6d4-dfde-4d0f-bd85-069ebcef80d5</vt:lpwstr>
  </property>
  <property fmtid="{D5CDD505-2E9C-101B-9397-08002B2CF9AE}" pid="12" name="e001803101cc486883c488742a9b195f">
    <vt:lpwstr/>
  </property>
  <property fmtid="{D5CDD505-2E9C-101B-9397-08002B2CF9AE}" pid="13" name="Owner">
    <vt:lpwstr>2;#DfE|a484111e-5b24-4ad9-9778-c536c8c88985</vt:lpwstr>
  </property>
  <property fmtid="{D5CDD505-2E9C-101B-9397-08002B2CF9AE}" pid="14" name="DfeOwner">
    <vt:lpwstr>2;#DfE|a484111e-5b24-4ad9-9778-c536c8c88985</vt:lpwstr>
  </property>
  <property fmtid="{D5CDD505-2E9C-101B-9397-08002B2CF9AE}" pid="15" name="afedf6f4583d4414b8b49f98bd7a4a38">
    <vt:lpwstr>DfE|a484111e-5b24-4ad9-9778-c536c8c88985</vt:lpwstr>
  </property>
  <property fmtid="{D5CDD505-2E9C-101B-9397-08002B2CF9AE}" pid="16" name="DfeSubject">
    <vt:lpwstr/>
  </property>
  <property fmtid="{D5CDD505-2E9C-101B-9397-08002B2CF9AE}" pid="17" name="c0e8f78731f34305bd83ee7a944e5d31">
    <vt:lpwstr/>
  </property>
  <property fmtid="{D5CDD505-2E9C-101B-9397-08002B2CF9AE}" pid="18" name="lcf76f155ced4ddcb4097134ff3c332f">
    <vt:lpwstr/>
  </property>
</Properties>
</file>