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30026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https://beisgov-my.sharepoint.com/personal/iolanda_herea_energysecurity_gov_uk/Documents/Desktop/"/>
    </mc:Choice>
  </mc:AlternateContent>
  <xr:revisionPtr revIDLastSave="0" documentId="8_{D920E3F9-5EF1-43C4-9C75-1BB558E762D2}" xr6:coauthVersionLast="47" xr6:coauthVersionMax="47" xr10:uidLastSave="{00000000-0000-0000-0000-000000000000}"/>
  <bookViews>
    <workbookView xWindow="-110" yWindow="-110" windowWidth="19420" windowHeight="10300" tabRatio="597" xr2:uid="{DD9B80A2-544D-449C-A933-40AEC7FCDDC4}"/>
  </bookViews>
  <sheets>
    <sheet name="Noisy Activities" sheetId="14" r:id="rId1"/>
    <sheet name="Assessment summary (New)" sheetId="24" state="hidden" r:id="rId2"/>
  </sheets>
  <definedNames>
    <definedName name="_xlnm._FilterDatabase" localSheetId="0" hidden="1">'Noisy Activities'!$A$5:$R$14</definedName>
    <definedName name="ID" localSheetId="1">#REF!</definedName>
    <definedName name="ID">#REF!</definedName>
    <definedName name="SAC_Season_Area" localSheetId="1">#REF!</definedName>
    <definedName name="SAC_Season_Area">#REF!</definedName>
    <definedName name="Summerimpact" localSheetId="1">#REF!</definedName>
    <definedName name="Summerimpact">#REF!</definedName>
    <definedName name="Winterimpact" localSheetId="1">#REF!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W62" i="14" l="1"/>
  <c r="V62" i="14"/>
  <c r="Z62" i="14" s="1"/>
  <c r="U62" i="14"/>
  <c r="Y62" i="14" s="1"/>
  <c r="Z61" i="14"/>
  <c r="Y61" i="14"/>
  <c r="V61" i="14"/>
  <c r="X61" i="14" s="1"/>
  <c r="U61" i="14"/>
  <c r="W61" i="14" s="1"/>
  <c r="W60" i="14"/>
  <c r="V60" i="14"/>
  <c r="Z60" i="14" s="1"/>
  <c r="U60" i="14"/>
  <c r="Y60" i="14" s="1"/>
  <c r="V59" i="14"/>
  <c r="Z59" i="14" s="1"/>
  <c r="U59" i="14"/>
  <c r="W59" i="14" s="1"/>
  <c r="Z58" i="14"/>
  <c r="V58" i="14"/>
  <c r="X58" i="14" s="1"/>
  <c r="U58" i="14"/>
  <c r="Y58" i="14" s="1"/>
  <c r="V57" i="14"/>
  <c r="Z57" i="14" s="1"/>
  <c r="U57" i="14"/>
  <c r="Y57" i="14" s="1"/>
  <c r="Y56" i="14"/>
  <c r="X56" i="14"/>
  <c r="W56" i="14"/>
  <c r="V56" i="14"/>
  <c r="Z56" i="14" s="1"/>
  <c r="U56" i="14"/>
  <c r="V55" i="14"/>
  <c r="X55" i="14" s="1"/>
  <c r="U55" i="14"/>
  <c r="W55" i="14" s="1"/>
  <c r="V54" i="14"/>
  <c r="Z54" i="14" s="1"/>
  <c r="U54" i="14"/>
  <c r="Y54" i="14" s="1"/>
  <c r="Z53" i="14"/>
  <c r="V53" i="14"/>
  <c r="X53" i="14" s="1"/>
  <c r="U53" i="14"/>
  <c r="Y53" i="14" s="1"/>
  <c r="Z52" i="14"/>
  <c r="X52" i="14"/>
  <c r="V52" i="14"/>
  <c r="U52" i="14"/>
  <c r="Y52" i="14" s="1"/>
  <c r="Z51" i="14"/>
  <c r="Y51" i="14"/>
  <c r="X51" i="14"/>
  <c r="V51" i="14"/>
  <c r="U51" i="14"/>
  <c r="W51" i="14" s="1"/>
  <c r="X50" i="14"/>
  <c r="V50" i="14"/>
  <c r="Z50" i="14" s="1"/>
  <c r="U50" i="14"/>
  <c r="Y50" i="14" s="1"/>
  <c r="Y49" i="14"/>
  <c r="W49" i="14"/>
  <c r="V49" i="14"/>
  <c r="X49" i="14" s="1"/>
  <c r="U49" i="14"/>
  <c r="V48" i="14"/>
  <c r="X48" i="14" s="1"/>
  <c r="U48" i="14"/>
  <c r="W48" i="14" s="1"/>
  <c r="V47" i="14"/>
  <c r="Z47" i="14" s="1"/>
  <c r="U47" i="14"/>
  <c r="Y47" i="14" s="1"/>
  <c r="Z46" i="14"/>
  <c r="V46" i="14"/>
  <c r="X46" i="14" s="1"/>
  <c r="U46" i="14"/>
  <c r="Y46" i="14" s="1"/>
  <c r="Z45" i="14"/>
  <c r="X45" i="14"/>
  <c r="V45" i="14"/>
  <c r="U45" i="14"/>
  <c r="Y45" i="14" s="1"/>
  <c r="Z44" i="14"/>
  <c r="Y44" i="14"/>
  <c r="X44" i="14"/>
  <c r="V44" i="14"/>
  <c r="U44" i="14"/>
  <c r="W44" i="14" s="1"/>
  <c r="X43" i="14"/>
  <c r="V43" i="14"/>
  <c r="Z43" i="14" s="1"/>
  <c r="U43" i="14"/>
  <c r="W43" i="14" s="1"/>
  <c r="Y42" i="14"/>
  <c r="W42" i="14"/>
  <c r="V42" i="14"/>
  <c r="Z42" i="14" s="1"/>
  <c r="U42" i="14"/>
  <c r="V41" i="14"/>
  <c r="X41" i="14" s="1"/>
  <c r="U41" i="14"/>
  <c r="W41" i="14" s="1"/>
  <c r="V40" i="14"/>
  <c r="Z40" i="14" s="1"/>
  <c r="U40" i="14"/>
  <c r="W40" i="14" s="1"/>
  <c r="Z39" i="14"/>
  <c r="V39" i="14"/>
  <c r="X39" i="14" s="1"/>
  <c r="U39" i="14"/>
  <c r="Y39" i="14" s="1"/>
  <c r="Z38" i="14"/>
  <c r="X38" i="14"/>
  <c r="V38" i="14"/>
  <c r="U38" i="14"/>
  <c r="W38" i="14" s="1"/>
  <c r="Z37" i="14"/>
  <c r="Y37" i="14"/>
  <c r="X37" i="14"/>
  <c r="V37" i="14"/>
  <c r="U37" i="14"/>
  <c r="W37" i="14" s="1"/>
  <c r="V36" i="14"/>
  <c r="Z36" i="14" s="1"/>
  <c r="U36" i="14"/>
  <c r="Y36" i="14" s="1"/>
  <c r="Y35" i="14"/>
  <c r="W35" i="14"/>
  <c r="V35" i="14"/>
  <c r="Z35" i="14" s="1"/>
  <c r="U35" i="14"/>
  <c r="V34" i="14"/>
  <c r="X34" i="14" s="1"/>
  <c r="U34" i="14"/>
  <c r="W34" i="14" s="1"/>
  <c r="V33" i="14"/>
  <c r="Z33" i="14" s="1"/>
  <c r="U33" i="14"/>
  <c r="Y33" i="14" s="1"/>
  <c r="Z32" i="14"/>
  <c r="V32" i="14"/>
  <c r="X32" i="14" s="1"/>
  <c r="U32" i="14"/>
  <c r="Y32" i="14" s="1"/>
  <c r="Z31" i="14"/>
  <c r="X31" i="14"/>
  <c r="V31" i="14"/>
  <c r="U31" i="14"/>
  <c r="Y31" i="14" s="1"/>
  <c r="Z30" i="14"/>
  <c r="Y30" i="14"/>
  <c r="X30" i="14"/>
  <c r="V30" i="14"/>
  <c r="U30" i="14"/>
  <c r="W30" i="14" s="1"/>
  <c r="V29" i="14"/>
  <c r="Z29" i="14" s="1"/>
  <c r="U29" i="14"/>
  <c r="Y29" i="14" s="1"/>
  <c r="Y28" i="14"/>
  <c r="W28" i="14"/>
  <c r="V28" i="14"/>
  <c r="X28" i="14" s="1"/>
  <c r="U28" i="14"/>
  <c r="V27" i="14"/>
  <c r="X27" i="14" s="1"/>
  <c r="U27" i="14"/>
  <c r="W27" i="14" s="1"/>
  <c r="X26" i="14"/>
  <c r="V26" i="14"/>
  <c r="Z26" i="14" s="1"/>
  <c r="U26" i="14"/>
  <c r="Y26" i="14" s="1"/>
  <c r="Z25" i="14"/>
  <c r="V25" i="14"/>
  <c r="X25" i="14" s="1"/>
  <c r="U25" i="14"/>
  <c r="Y25" i="14" s="1"/>
  <c r="V24" i="14"/>
  <c r="X24" i="14" s="1"/>
  <c r="U24" i="14"/>
  <c r="Y24" i="14" s="1"/>
  <c r="Z23" i="14"/>
  <c r="Y23" i="14"/>
  <c r="X23" i="14"/>
  <c r="V23" i="14"/>
  <c r="U23" i="14"/>
  <c r="W23" i="14" s="1"/>
  <c r="V22" i="14"/>
  <c r="Z22" i="14" s="1"/>
  <c r="U22" i="14"/>
  <c r="W22" i="14" s="1"/>
  <c r="Y21" i="14"/>
  <c r="W21" i="14"/>
  <c r="V21" i="14"/>
  <c r="X21" i="14" s="1"/>
  <c r="U21" i="14"/>
  <c r="V20" i="14"/>
  <c r="X20" i="14" s="1"/>
  <c r="U20" i="14"/>
  <c r="Y20" i="14" s="1"/>
  <c r="V19" i="14"/>
  <c r="Z19" i="14" s="1"/>
  <c r="U19" i="14"/>
  <c r="Y19" i="14" s="1"/>
  <c r="Z18" i="14"/>
  <c r="V18" i="14"/>
  <c r="X18" i="14" s="1"/>
  <c r="U18" i="14"/>
  <c r="Y18" i="14" s="1"/>
  <c r="V17" i="14"/>
  <c r="X17" i="14" s="1"/>
  <c r="U17" i="14"/>
  <c r="Y17" i="14" s="1"/>
  <c r="Z16" i="14"/>
  <c r="Y16" i="14"/>
  <c r="X16" i="14"/>
  <c r="V16" i="14"/>
  <c r="U16" i="14"/>
  <c r="W16" i="14" s="1"/>
  <c r="V15" i="14"/>
  <c r="Z15" i="14" s="1"/>
  <c r="U15" i="14"/>
  <c r="Y15" i="14" s="1"/>
  <c r="Y14" i="14"/>
  <c r="W14" i="14"/>
  <c r="V14" i="14"/>
  <c r="Z14" i="14" s="1"/>
  <c r="U14" i="14"/>
  <c r="V13" i="14"/>
  <c r="X13" i="14" s="1"/>
  <c r="U13" i="14"/>
  <c r="W13" i="14" s="1"/>
  <c r="V12" i="14"/>
  <c r="X12" i="14" s="1"/>
  <c r="U12" i="14"/>
  <c r="W12" i="14" s="1"/>
  <c r="Z11" i="14"/>
  <c r="V11" i="14"/>
  <c r="X11" i="14" s="1"/>
  <c r="U11" i="14"/>
  <c r="Y11" i="14" s="1"/>
  <c r="V10" i="14"/>
  <c r="Z10" i="14" s="1"/>
  <c r="U10" i="14"/>
  <c r="Y10" i="14" s="1"/>
  <c r="Z9" i="14"/>
  <c r="Y9" i="14"/>
  <c r="X9" i="14"/>
  <c r="V9" i="14"/>
  <c r="U9" i="14"/>
  <c r="W9" i="14" s="1"/>
  <c r="V8" i="14"/>
  <c r="Z8" i="14" s="1"/>
  <c r="U8" i="14"/>
  <c r="W8" i="14" s="1"/>
  <c r="Y7" i="14"/>
  <c r="W7" i="14"/>
  <c r="V7" i="14"/>
  <c r="Z7" i="14" s="1"/>
  <c r="U7" i="14"/>
  <c r="V6" i="14"/>
  <c r="X6" i="14" s="1"/>
  <c r="U6" i="14"/>
  <c r="Y6" i="14" s="1"/>
  <c r="O3" i="14"/>
  <c r="O2" i="14"/>
  <c r="X35" i="14" l="1"/>
  <c r="X42" i="14"/>
  <c r="W47" i="14"/>
  <c r="W54" i="14"/>
  <c r="X19" i="14"/>
  <c r="Z21" i="14"/>
  <c r="Y40" i="14"/>
  <c r="W45" i="14"/>
  <c r="W52" i="14"/>
  <c r="Z12" i="14"/>
  <c r="W15" i="14"/>
  <c r="Y38" i="14"/>
  <c r="W50" i="14"/>
  <c r="W57" i="14"/>
  <c r="Z17" i="14"/>
  <c r="Z24" i="14"/>
  <c r="W6" i="14"/>
  <c r="Y8" i="14"/>
  <c r="W20" i="14"/>
  <c r="Y22" i="14"/>
  <c r="W11" i="14"/>
  <c r="Y13" i="14"/>
  <c r="W18" i="14"/>
  <c r="W25" i="14"/>
  <c r="Y27" i="14"/>
  <c r="W32" i="14"/>
  <c r="Y34" i="14"/>
  <c r="W39" i="14"/>
  <c r="Y41" i="14"/>
  <c r="W46" i="14"/>
  <c r="Y48" i="14"/>
  <c r="W53" i="14"/>
  <c r="Y55" i="14"/>
  <c r="X60" i="14"/>
  <c r="Z6" i="14"/>
  <c r="Z13" i="14"/>
  <c r="Z20" i="14"/>
  <c r="Z27" i="14"/>
  <c r="Z34" i="14"/>
  <c r="Z41" i="14"/>
  <c r="Z48" i="14"/>
  <c r="Z55" i="14"/>
  <c r="W58" i="14"/>
  <c r="Z28" i="14"/>
  <c r="X33" i="14"/>
  <c r="X40" i="14"/>
  <c r="X47" i="14"/>
  <c r="Z49" i="14"/>
  <c r="X54" i="14"/>
  <c r="X7" i="14"/>
  <c r="X14" i="14"/>
  <c r="W26" i="14"/>
  <c r="W10" i="14"/>
  <c r="Y12" i="14"/>
  <c r="W17" i="14"/>
  <c r="W24" i="14"/>
  <c r="W31" i="14"/>
  <c r="X10" i="14"/>
  <c r="X59" i="14"/>
  <c r="W33" i="14"/>
  <c r="X57" i="14"/>
  <c r="W36" i="14"/>
  <c r="X15" i="14"/>
  <c r="X62" i="14"/>
  <c r="W19" i="14"/>
  <c r="W29" i="14"/>
  <c r="X8" i="14"/>
  <c r="X22" i="14"/>
  <c r="X29" i="14"/>
  <c r="X36" i="14"/>
  <c r="Y43" i="14"/>
  <c r="F51" i="24"/>
  <c r="E51" i="24"/>
  <c r="D51" i="24"/>
  <c r="C51" i="24"/>
  <c r="B51" i="24"/>
  <c r="F50" i="24"/>
  <c r="E50" i="24"/>
  <c r="D50" i="24"/>
  <c r="C50" i="24"/>
  <c r="B50" i="24"/>
  <c r="F49" i="24"/>
  <c r="E49" i="24"/>
  <c r="D49" i="24"/>
  <c r="C49" i="24"/>
  <c r="B49" i="24"/>
  <c r="F48" i="24"/>
  <c r="E48" i="24"/>
  <c r="D48" i="24"/>
  <c r="C48" i="24"/>
  <c r="B48" i="24"/>
  <c r="F47" i="24"/>
  <c r="E47" i="24"/>
  <c r="D47" i="24"/>
  <c r="C47" i="24"/>
  <c r="B47" i="24"/>
  <c r="H3" i="24"/>
  <c r="F3" i="24"/>
  <c r="C3" i="24"/>
  <c r="F2" i="24"/>
  <c r="H2" i="24" l="1"/>
  <c r="A13" i="24" l="1" a="1"/>
  <c r="F46" i="24" l="1"/>
  <c r="E46" i="24"/>
  <c r="D46" i="24"/>
  <c r="C46" i="24"/>
  <c r="B46" i="24"/>
  <c r="F45" i="24"/>
  <c r="E45" i="24"/>
  <c r="D45" i="24"/>
  <c r="C45" i="24"/>
  <c r="B45" i="24"/>
  <c r="F44" i="24"/>
  <c r="E44" i="24"/>
  <c r="D44" i="24"/>
  <c r="C44" i="24"/>
  <c r="B44" i="24"/>
  <c r="F43" i="24"/>
  <c r="E43" i="24"/>
  <c r="D43" i="24"/>
  <c r="C43" i="24"/>
  <c r="B43" i="24"/>
  <c r="F42" i="24"/>
  <c r="E42" i="24"/>
  <c r="D42" i="24"/>
  <c r="C42" i="24"/>
  <c r="B42" i="24"/>
  <c r="F41" i="24"/>
  <c r="E41" i="24"/>
  <c r="D41" i="24"/>
  <c r="C41" i="24"/>
  <c r="B41" i="24"/>
  <c r="F40" i="24"/>
  <c r="E40" i="24"/>
  <c r="D40" i="24"/>
  <c r="C40" i="24"/>
  <c r="G51" i="24" s="1" a="1"/>
  <c r="G51" i="24" s="1"/>
  <c r="H51" i="24" s="1"/>
  <c r="B40" i="24"/>
  <c r="F39" i="24"/>
  <c r="E39" i="24"/>
  <c r="D39" i="24"/>
  <c r="C39" i="24"/>
  <c r="G50" i="24" s="1" a="1"/>
  <c r="G50" i="24" s="1"/>
  <c r="H50" i="24" s="1"/>
  <c r="B39" i="24"/>
  <c r="D38" i="24"/>
  <c r="C38" i="24"/>
  <c r="G49" i="24" s="1" a="1"/>
  <c r="G49" i="24" s="1"/>
  <c r="H49" i="24" s="1"/>
  <c r="E38" i="24"/>
  <c r="B38" i="24"/>
  <c r="F38" i="24"/>
  <c r="D37" i="24"/>
  <c r="B37" i="24"/>
  <c r="F36" i="24"/>
  <c r="E36" i="24"/>
  <c r="B36" i="24"/>
  <c r="B35" i="24"/>
  <c r="D36" i="24"/>
  <c r="C35" i="24"/>
  <c r="G46" i="24" s="1" a="1"/>
  <c r="G46" i="24" s="1"/>
  <c r="H46" i="24" s="1"/>
  <c r="C36" i="24"/>
  <c r="G47" i="24" s="1" a="1"/>
  <c r="G47" i="24" s="1"/>
  <c r="H47" i="24" s="1"/>
  <c r="E35" i="24"/>
  <c r="C37" i="24"/>
  <c r="G48" i="24" s="1" a="1"/>
  <c r="G48" i="24" s="1"/>
  <c r="H48" i="24" s="1"/>
  <c r="F35" i="24"/>
  <c r="F37" i="24"/>
  <c r="D35" i="24"/>
  <c r="E37" i="24"/>
  <c r="F34" i="24"/>
  <c r="E34" i="24"/>
  <c r="D34" i="24"/>
  <c r="C34" i="24"/>
  <c r="G45" i="24" s="1" a="1"/>
  <c r="G45" i="24" s="1"/>
  <c r="H45" i="24" s="1"/>
  <c r="B34" i="24"/>
  <c r="E32" i="24"/>
  <c r="D32" i="24"/>
  <c r="C32" i="24"/>
  <c r="G43" i="24" s="1" a="1"/>
  <c r="G43" i="24" s="1"/>
  <c r="H43" i="24" s="1"/>
  <c r="B32" i="24"/>
  <c r="F32" i="24"/>
  <c r="F31" i="24"/>
  <c r="B33" i="24"/>
  <c r="E31" i="24"/>
  <c r="C33" i="24"/>
  <c r="G44" i="24" s="1" a="1"/>
  <c r="G44" i="24" s="1"/>
  <c r="H44" i="24" s="1"/>
  <c r="F33" i="24"/>
  <c r="D31" i="24"/>
  <c r="E33" i="24"/>
  <c r="C31" i="24"/>
  <c r="G42" i="24" s="1" a="1"/>
  <c r="G42" i="24" s="1"/>
  <c r="H42" i="24" s="1"/>
  <c r="D33" i="24"/>
  <c r="B31" i="24"/>
  <c r="F30" i="24"/>
  <c r="E30" i="24"/>
  <c r="D30" i="24"/>
  <c r="C30" i="24"/>
  <c r="G41" i="24" s="1" a="1"/>
  <c r="G41" i="24" s="1"/>
  <c r="H41" i="24" s="1"/>
  <c r="B30" i="24"/>
  <c r="F29" i="24"/>
  <c r="E29" i="24"/>
  <c r="D29" i="24"/>
  <c r="C29" i="24"/>
  <c r="G40" i="24" s="1" a="1"/>
  <c r="G40" i="24" s="1"/>
  <c r="H40" i="24" s="1"/>
  <c r="B29" i="24"/>
  <c r="G20" i="24" a="1"/>
  <c r="G20" i="24" s="1"/>
  <c r="H20" i="24" s="1"/>
  <c r="G19" i="24" a="1"/>
  <c r="G19" i="24" s="1"/>
  <c r="H19" i="24" s="1"/>
  <c r="G18" i="24" a="1"/>
  <c r="G18" i="24" s="1"/>
  <c r="H18" i="24" s="1"/>
  <c r="G23" i="24" a="1"/>
  <c r="G23" i="24" s="1"/>
  <c r="H23" i="24" s="1"/>
  <c r="G17" i="24" a="1"/>
  <c r="G17" i="24" s="1"/>
  <c r="H17" i="24" s="1"/>
  <c r="G22" i="24" a="1"/>
  <c r="G22" i="24" s="1"/>
  <c r="H22" i="24" s="1"/>
  <c r="G16" i="24" a="1"/>
  <c r="G16" i="24" s="1"/>
  <c r="H16" i="24" s="1"/>
  <c r="G14" i="24" a="1"/>
  <c r="G14" i="24" s="1"/>
  <c r="H14" i="24" s="1"/>
  <c r="G21" i="24" a="1"/>
  <c r="G21" i="24" s="1"/>
  <c r="H21" i="24" s="1"/>
  <c r="G15" i="24" a="1"/>
  <c r="G15" i="24" s="1"/>
  <c r="H15" i="24" s="1"/>
  <c r="E25" i="24"/>
  <c r="D24" i="24"/>
  <c r="B16" i="24"/>
  <c r="E21" i="24"/>
  <c r="B28" i="24"/>
  <c r="F17" i="24"/>
  <c r="C28" i="24"/>
  <c r="G39" i="24" s="1" a="1"/>
  <c r="G39" i="24" s="1"/>
  <c r="H39" i="24" s="1"/>
  <c r="C16" i="24"/>
  <c r="G27" i="24" s="1" a="1"/>
  <c r="G27" i="24" s="1"/>
  <c r="H27" i="24" s="1"/>
  <c r="C20" i="24"/>
  <c r="G31" i="24" s="1" a="1"/>
  <c r="G31" i="24" s="1"/>
  <c r="H31" i="24" s="1"/>
  <c r="C24" i="24"/>
  <c r="G35" i="24" s="1" a="1"/>
  <c r="G35" i="24" s="1"/>
  <c r="H35" i="24" s="1"/>
  <c r="F25" i="24"/>
  <c r="D16" i="24"/>
  <c r="D20" i="24"/>
  <c r="B15" i="24"/>
  <c r="B19" i="24"/>
  <c r="C15" i="24"/>
  <c r="G26" i="24" s="1" a="1"/>
  <c r="G26" i="24" s="1"/>
  <c r="H26" i="24" s="1"/>
  <c r="F16" i="24"/>
  <c r="C19" i="24"/>
  <c r="G30" i="24" s="1" a="1"/>
  <c r="G30" i="24" s="1"/>
  <c r="H30" i="24" s="1"/>
  <c r="F20" i="24"/>
  <c r="C23" i="24"/>
  <c r="G34" i="24" s="1" a="1"/>
  <c r="G34" i="24" s="1"/>
  <c r="H34" i="24" s="1"/>
  <c r="F24" i="24"/>
  <c r="C27" i="24"/>
  <c r="G38" i="24" s="1" a="1"/>
  <c r="G38" i="24" s="1"/>
  <c r="H38" i="24" s="1"/>
  <c r="F28" i="24"/>
  <c r="E17" i="24"/>
  <c r="B24" i="24"/>
  <c r="F21" i="24"/>
  <c r="D28" i="24"/>
  <c r="E16" i="24"/>
  <c r="E20" i="24"/>
  <c r="B23" i="24"/>
  <c r="E24" i="24"/>
  <c r="B27" i="24"/>
  <c r="E28" i="24"/>
  <c r="D15" i="24"/>
  <c r="D19" i="24"/>
  <c r="D23" i="24"/>
  <c r="D27" i="24"/>
  <c r="B14" i="24"/>
  <c r="E15" i="24"/>
  <c r="B18" i="24"/>
  <c r="E19" i="24"/>
  <c r="B22" i="24"/>
  <c r="E23" i="24"/>
  <c r="B26" i="24"/>
  <c r="E27" i="24"/>
  <c r="C14" i="24"/>
  <c r="G25" i="24" s="1" a="1"/>
  <c r="G25" i="24" s="1"/>
  <c r="H25" i="24" s="1"/>
  <c r="F15" i="24"/>
  <c r="C18" i="24"/>
  <c r="G29" i="24" s="1" a="1"/>
  <c r="G29" i="24" s="1"/>
  <c r="H29" i="24" s="1"/>
  <c r="F19" i="24"/>
  <c r="C22" i="24"/>
  <c r="G33" i="24" s="1" a="1"/>
  <c r="G33" i="24" s="1"/>
  <c r="H33" i="24" s="1"/>
  <c r="F23" i="24"/>
  <c r="C26" i="24"/>
  <c r="G37" i="24" s="1" a="1"/>
  <c r="G37" i="24" s="1"/>
  <c r="H37" i="24" s="1"/>
  <c r="F27" i="24"/>
  <c r="B20" i="24"/>
  <c r="A13" i="24"/>
  <c r="D14" i="24"/>
  <c r="D18" i="24"/>
  <c r="D22" i="24"/>
  <c r="D26" i="24"/>
  <c r="E14" i="24"/>
  <c r="B17" i="24"/>
  <c r="E18" i="24"/>
  <c r="B21" i="24"/>
  <c r="E22" i="24"/>
  <c r="B25" i="24"/>
  <c r="E26" i="24"/>
  <c r="F14" i="24"/>
  <c r="C17" i="24"/>
  <c r="G28" i="24" s="1" a="1"/>
  <c r="G28" i="24" s="1"/>
  <c r="H28" i="24" s="1"/>
  <c r="F18" i="24"/>
  <c r="C21" i="24"/>
  <c r="G32" i="24" s="1" a="1"/>
  <c r="G32" i="24" s="1"/>
  <c r="H32" i="24" s="1"/>
  <c r="F22" i="24"/>
  <c r="C25" i="24"/>
  <c r="G36" i="24" s="1" a="1"/>
  <c r="G36" i="24" s="1"/>
  <c r="H36" i="24" s="1"/>
  <c r="F26" i="24"/>
  <c r="D17" i="24"/>
  <c r="D21" i="24"/>
  <c r="D25" i="24"/>
  <c r="J51" i="24" l="1"/>
  <c r="I51" i="24"/>
  <c r="I50" i="24"/>
  <c r="J50" i="24"/>
  <c r="I49" i="24"/>
  <c r="J49" i="24"/>
  <c r="I48" i="24"/>
  <c r="J48" i="24"/>
  <c r="I47" i="24"/>
  <c r="J47" i="24"/>
  <c r="I46" i="24"/>
  <c r="J46" i="24"/>
  <c r="J45" i="24"/>
  <c r="I45" i="24"/>
  <c r="I42" i="24"/>
  <c r="J42" i="24"/>
  <c r="J44" i="24"/>
  <c r="I44" i="24"/>
  <c r="J43" i="24"/>
  <c r="I43" i="24"/>
  <c r="J40" i="24"/>
  <c r="I40" i="24"/>
  <c r="J41" i="24"/>
  <c r="I41" i="24"/>
  <c r="I36" i="24"/>
  <c r="J36" i="24"/>
  <c r="J32" i="24"/>
  <c r="I32" i="24"/>
  <c r="J28" i="24"/>
  <c r="I28" i="24"/>
  <c r="G13" i="24" a="1"/>
  <c r="G13" i="24" s="1"/>
  <c r="H13" i="24" s="1"/>
  <c r="D13" i="24"/>
  <c r="C13" i="24"/>
  <c r="G24" i="24" s="1" a="1"/>
  <c r="G24" i="24" s="1"/>
  <c r="H24" i="24" s="1"/>
  <c r="B13" i="24"/>
  <c r="F13" i="24"/>
  <c r="E13" i="24"/>
  <c r="J37" i="24"/>
  <c r="I37" i="24"/>
  <c r="J33" i="24"/>
  <c r="I33" i="24"/>
  <c r="J29" i="24"/>
  <c r="I29" i="24"/>
  <c r="I25" i="24"/>
  <c r="J25" i="24"/>
  <c r="I38" i="24"/>
  <c r="J38" i="24"/>
  <c r="I34" i="24"/>
  <c r="J34" i="24"/>
  <c r="J30" i="24"/>
  <c r="I30" i="24"/>
  <c r="I26" i="24"/>
  <c r="J26" i="24"/>
  <c r="I35" i="24"/>
  <c r="J35" i="24"/>
  <c r="I31" i="24"/>
  <c r="J31" i="24"/>
  <c r="I27" i="24"/>
  <c r="J27" i="24"/>
  <c r="I39" i="24"/>
  <c r="J39" i="24"/>
  <c r="I15" i="24"/>
  <c r="J15" i="24"/>
  <c r="I21" i="24"/>
  <c r="J21" i="24"/>
  <c r="J14" i="24"/>
  <c r="I14" i="24"/>
  <c r="I16" i="24"/>
  <c r="J16" i="24"/>
  <c r="J22" i="24"/>
  <c r="I22" i="24"/>
  <c r="I17" i="24"/>
  <c r="J17" i="24"/>
  <c r="I23" i="24"/>
  <c r="J23" i="24"/>
  <c r="J18" i="24"/>
  <c r="I18" i="24"/>
  <c r="I19" i="24"/>
  <c r="J19" i="24"/>
  <c r="I20" i="24"/>
  <c r="J20" i="24"/>
  <c r="I24" i="24" l="1"/>
  <c r="J24" i="24"/>
  <c r="D6" i="24" a="1"/>
  <c r="D6" i="24" s="1"/>
  <c r="D7" i="24" a="1"/>
  <c r="D7" i="24" s="1"/>
  <c r="I13" i="24"/>
  <c r="J13" i="24"/>
  <c r="F7" i="24" l="1"/>
  <c r="F6" i="24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<sst xmlns="http://schemas.openxmlformats.org/spreadsheetml/2006/main" count="581" uniqueCount="245">
  <si>
    <t>Southern North Sea (SNS) Special Area Of Conservation (SAC) Noise Tracker</t>
  </si>
  <si>
    <r>
      <rPr>
        <b/>
        <sz val="12"/>
        <color theme="0"/>
        <rFont val="Calibri Light"/>
        <family val="2"/>
        <scheme val="major"/>
      </rPr>
      <t xml:space="preserve">Daily Threshold: </t>
    </r>
    <r>
      <rPr>
        <sz val="12"/>
        <color theme="0"/>
        <rFont val="Calibri Light"/>
        <family val="2"/>
        <scheme val="major"/>
      </rPr>
      <t>Harbour porpoise not excluded from more than 20% of the SAC on any  day.</t>
    </r>
  </si>
  <si>
    <t>Winter 25/26</t>
  </si>
  <si>
    <t>Summer 26</t>
  </si>
  <si>
    <t>Summer Area (km2)</t>
  </si>
  <si>
    <t>Summer Days</t>
  </si>
  <si>
    <r>
      <rPr>
        <b/>
        <sz val="12"/>
        <color theme="0"/>
        <rFont val="Calibri Light"/>
        <family val="2"/>
        <scheme val="major"/>
      </rPr>
      <t>Seasonal Threshold</t>
    </r>
    <r>
      <rPr>
        <sz val="12"/>
        <color theme="0"/>
        <rFont val="Calibri Light"/>
        <family val="2"/>
        <scheme val="major"/>
      </rPr>
      <t xml:space="preserve">: Harbour porpoise not excluded for more than 10% of the SAC per day, on average over the season. </t>
    </r>
  </si>
  <si>
    <t>Winter Area (km2)</t>
  </si>
  <si>
    <t>Winter Days</t>
  </si>
  <si>
    <t>Project/Activity Name</t>
  </si>
  <si>
    <t>Applicant</t>
  </si>
  <si>
    <t>Regulator</t>
  </si>
  <si>
    <t>Activity Type</t>
  </si>
  <si>
    <t>Which seasonal area of the SAC does this activity impact?</t>
  </si>
  <si>
    <t>Quad/Block
(OPRED only)</t>
  </si>
  <si>
    <t>Case Reference</t>
  </si>
  <si>
    <t>Wildlife Licence Reference</t>
  </si>
  <si>
    <t>Case Status</t>
  </si>
  <si>
    <t>Tracker Last Updated</t>
  </si>
  <si>
    <t>Start Date</t>
  </si>
  <si>
    <t>End Date</t>
  </si>
  <si>
    <t>Duration of Activity Impacting SAC (days)</t>
  </si>
  <si>
    <t>Area Overlap with SAC (km2)</t>
  </si>
  <si>
    <t>Magnitude
(OPRED only)</t>
  </si>
  <si>
    <t>Area Overlap with Summer SAC (km2) (NEW)</t>
  </si>
  <si>
    <t>Area Overlap with Winter SAC (km2) (NEW)</t>
  </si>
  <si>
    <t>Abatement/Mitigation
(MMO only)</t>
  </si>
  <si>
    <t>Any Other Comments</t>
  </si>
  <si>
    <t>Include in assessment?</t>
  </si>
  <si>
    <t>Include in Winter Calendar</t>
  </si>
  <si>
    <t>Include in Summer Calendar</t>
  </si>
  <si>
    <t>% of Winter SAC Impacted (NEW)</t>
  </si>
  <si>
    <t>% of Summer SAC Impacted (NEW)</t>
  </si>
  <si>
    <t>% of Winter SAC Impacted</t>
  </si>
  <si>
    <t>% of Summer SAC Impacted</t>
  </si>
  <si>
    <t>TrackerID</t>
  </si>
  <si>
    <t>East Anglia Three - Monopiling (Unabated)</t>
  </si>
  <si>
    <t>Scottish Power Renewables</t>
  </si>
  <si>
    <t>MMO</t>
  </si>
  <si>
    <t>Piling</t>
  </si>
  <si>
    <t>Both</t>
  </si>
  <si>
    <t>DCO/2018/00001</t>
  </si>
  <si>
    <t>Approved</t>
  </si>
  <si>
    <t>No</t>
  </si>
  <si>
    <t>East Anglia Three - Monopiling (Abated Scanario 2)</t>
  </si>
  <si>
    <t>Piling Abated</t>
  </si>
  <si>
    <t>MENCK Hammer</t>
  </si>
  <si>
    <t xml:space="preserve">Most probable scenario - X1 pile per day. </t>
  </si>
  <si>
    <t>Sofia - UXO Investigations</t>
  </si>
  <si>
    <t>RWE Ltd</t>
  </si>
  <si>
    <t>Geophysical Survey</t>
  </si>
  <si>
    <t>Summer</t>
  </si>
  <si>
    <t>MLA/2020/00489</t>
  </si>
  <si>
    <t xml:space="preserve">Sofia have confirmed that no geophysical surveys will be conducted in 2025. </t>
  </si>
  <si>
    <t>East Anglia Three - Monopiling (Abated Scenario 1)</t>
  </si>
  <si>
    <t xml:space="preserve">Worst case scenario - X2 piles per day. This is outlined in the SIP, but is logisitcially and operationally unlikely. </t>
  </si>
  <si>
    <t>2026 Conductor driving (slot) Cygnus A Wellhead Platform</t>
  </si>
  <si>
    <t>Ithaca (NE) E&amp;P Ltd</t>
  </si>
  <si>
    <t>OPRED</t>
  </si>
  <si>
    <t>Conductor Piling</t>
  </si>
  <si>
    <t>44/12</t>
  </si>
  <si>
    <t>DR/2628/0</t>
  </si>
  <si>
    <t>N/A</t>
  </si>
  <si>
    <t>Yes</t>
  </si>
  <si>
    <t>East Anglia Two - UXO Clearance (LO)</t>
  </si>
  <si>
    <t>UXO Low Order</t>
  </si>
  <si>
    <t>DCO/2022/00005</t>
  </si>
  <si>
    <t xml:space="preserve">With the new EDRs, this activity no longer overlaps with the SNS SAC. Currently awaiting confirmation from case teams whether or not a SIP is required. If a SIP is not required, ask Becca if this activity should be removed from the tracker. </t>
  </si>
  <si>
    <t>East Anglia Two - UXO Clearance (HO)</t>
  </si>
  <si>
    <t>UXO High Order</t>
  </si>
  <si>
    <t>DC0/2022/00005</t>
  </si>
  <si>
    <t>Bubble Curtain</t>
  </si>
  <si>
    <t>Hornsea Three - Monopiling (Abated) Scenario 1</t>
  </si>
  <si>
    <t>Orsted</t>
  </si>
  <si>
    <t>DCO/2016/00001</t>
  </si>
  <si>
    <t xml:space="preserve">Scenario 1: Maximum of one pile per day. 81 piling days in total.  </t>
  </si>
  <si>
    <t>Hornsea Three - Monopiling (Abated) Scenario 2</t>
  </si>
  <si>
    <t>Scenario 2: Maximum of three piles per day. 66 piling days in total.</t>
  </si>
  <si>
    <t>NEP Expansion (C5025) Seismic Survey</t>
  </si>
  <si>
    <t>BP</t>
  </si>
  <si>
    <t>Seismic Survey</t>
  </si>
  <si>
    <t>Cancelled</t>
  </si>
  <si>
    <t>400 cuin source, MMO/PAM as required, compiance with permit conditions aligned with JNCC guidelines</t>
  </si>
  <si>
    <t>Dogger Bank B -Monopiling (Unabated)</t>
  </si>
  <si>
    <t>SSE Renewables</t>
  </si>
  <si>
    <t>DCO/2016/00024</t>
  </si>
  <si>
    <t>Completed</t>
  </si>
  <si>
    <t>Dogger Bank C - Monopiling (Unabated)</t>
  </si>
  <si>
    <t>DCO/2016/00018</t>
  </si>
  <si>
    <t>Dogger Bank D - Geophysical Survey 1</t>
  </si>
  <si>
    <t>DCO/2023/00001</t>
  </si>
  <si>
    <t>EA3 - Pin Piling</t>
  </si>
  <si>
    <t>Pin Piling</t>
  </si>
  <si>
    <t>EA3 - UXO Clearance (LO)</t>
  </si>
  <si>
    <t>MLA/2023/00532/3</t>
  </si>
  <si>
    <t>NEP - EPCI 2 Geophysical Infield</t>
  </si>
  <si>
    <t xml:space="preserve">Various </t>
  </si>
  <si>
    <t>GS/1866</t>
  </si>
  <si>
    <t>Sub-Bottom Profiler, Mu;tibeam Echosounder, Sidescan Sonar, Magnetometer</t>
  </si>
  <si>
    <t>NEP - EPCI 3 Geophysical Offshore Cable</t>
  </si>
  <si>
    <t>Various</t>
  </si>
  <si>
    <t>GS/1871</t>
  </si>
  <si>
    <t xml:space="preserve">Sub-Bottom Profiler, Multibeam, Sidecan Sonar, Magnetometer. Potentially two full route runs (148km) in 48 hours. </t>
  </si>
  <si>
    <t>Hornsea Three - UXO Clearance (Transmission) (LO)</t>
  </si>
  <si>
    <t>MLA/2024/00088/1</t>
  </si>
  <si>
    <t>Hornsea Three - UXO Clearance (Generation) (LO)</t>
  </si>
  <si>
    <t>MLA/2024/00675</t>
  </si>
  <si>
    <t>Hornsea Three - UXO Clearance (Transmission) (HO)</t>
  </si>
  <si>
    <t>BBC</t>
  </si>
  <si>
    <t>Only X1 HO detonation was required as part of this campagin.</t>
  </si>
  <si>
    <t>Pegasus West - Pipeline and Site Geophysical Survey (Sub-Bottom Profiler)</t>
  </si>
  <si>
    <t>INEOS</t>
  </si>
  <si>
    <t>GS/1886/0</t>
  </si>
  <si>
    <t>Sub-Bottom Profiler</t>
  </si>
  <si>
    <t>NEP - Phase 1 2DHR</t>
  </si>
  <si>
    <t>42/25, 42/30, 43/21, 43/26</t>
  </si>
  <si>
    <t>GS/1853</t>
  </si>
  <si>
    <t>160 cu in</t>
  </si>
  <si>
    <t>2D High-Resolution Seismic</t>
  </si>
  <si>
    <t>Sofia - Monopiling (Abated)</t>
  </si>
  <si>
    <t>Sofia Offshore Wind Farm Ltd</t>
  </si>
  <si>
    <t>DCO/2013/00011</t>
  </si>
  <si>
    <t>Sofia - Monopiling (Unabated)</t>
  </si>
  <si>
    <t>Norfolk Vanguard West - UXO Investigations (Marine Licence Application 1)</t>
  </si>
  <si>
    <t>RWE Renewables UK</t>
  </si>
  <si>
    <t>MLA/2024/00345</t>
  </si>
  <si>
    <t>Norfolk Vanguard West - UXO Investigations (Marine Licence Application 2)</t>
  </si>
  <si>
    <t>MLA/2024/00419</t>
  </si>
  <si>
    <t>Sizewell C - Nearshore (Subtidal) UXO Investigations</t>
  </si>
  <si>
    <t>Sizewell C Ltd</t>
  </si>
  <si>
    <t>Winter</t>
  </si>
  <si>
    <t>MLA/2024/00601</t>
  </si>
  <si>
    <t>Cygnus - Conductor Driving of the 44/12a-AFF Well</t>
  </si>
  <si>
    <t>Other</t>
  </si>
  <si>
    <t>DR/2500/5</t>
  </si>
  <si>
    <t>90 KJ</t>
  </si>
  <si>
    <t>Conductor driving with 15km EDR</t>
  </si>
  <si>
    <t>Cygnus - Conductor Driving of the 44/12a-AJ Well</t>
  </si>
  <si>
    <t>DR/2528/0</t>
  </si>
  <si>
    <t>Cygnus - Conductor Driving of the 44/12a-Slot 1 Well</t>
  </si>
  <si>
    <t>DR/2532/0</t>
  </si>
  <si>
    <t>Cygnus - Conductor Driving of the 44/12a-Slot 6 Well</t>
  </si>
  <si>
    <t>DR/2533/0</t>
  </si>
  <si>
    <t>NEP - EPCI 1 Geophysical Pipeline</t>
  </si>
  <si>
    <t>GS/1913</t>
  </si>
  <si>
    <t xml:space="preserve">N/A </t>
  </si>
  <si>
    <t>Geophysical Unexploded Ordnance Survey utilising Sub-Bottom Profiler, Sidescan Sonar, Multibeam Echo Sounder and Magnetometer</t>
  </si>
  <si>
    <t>Expansion Seismic Part 1 (CS007) (NEP Expansion Stores)</t>
  </si>
  <si>
    <t>GS/1867</t>
  </si>
  <si>
    <t>400 cu in</t>
  </si>
  <si>
    <t>3D Seismic Survey, Multibeam Echosounder, Acoustic Doppler Current Profiler</t>
  </si>
  <si>
    <t>Baker and Abbey Site Surveys (Sub-Bottom Profiler)</t>
  </si>
  <si>
    <t>Petrogas</t>
  </si>
  <si>
    <t>GS/1900/0</t>
  </si>
  <si>
    <t>Sub-Bottom Profiler Survey</t>
  </si>
  <si>
    <t>Platypus</t>
  </si>
  <si>
    <t>Perenco</t>
  </si>
  <si>
    <t>GS/1976/0</t>
  </si>
  <si>
    <t>Harbour Energy - Geophysical Survey</t>
  </si>
  <si>
    <t>Harbour Energy</t>
  </si>
  <si>
    <t xml:space="preserve">Awaiting further information from the developer. </t>
  </si>
  <si>
    <t>Hornsea Three - Pin Piling</t>
  </si>
  <si>
    <t>Pin Piling Abated</t>
  </si>
  <si>
    <t>Single bubble curtain</t>
  </si>
  <si>
    <t xml:space="preserve">4 piling days within a 41 day window </t>
  </si>
  <si>
    <t xml:space="preserve">Stephenson Well Survey </t>
  </si>
  <si>
    <t>Hartshead Resources</t>
  </si>
  <si>
    <t>GS/2068/0</t>
  </si>
  <si>
    <t>Sub Bottom - Pinger Survey</t>
  </si>
  <si>
    <t>Rough Storage - Geophysical Survey</t>
  </si>
  <si>
    <t>Centrica Energy Storage Ltd</t>
  </si>
  <si>
    <t>47/2, 47/3, 4/7, 47/8</t>
  </si>
  <si>
    <t>GS/1822/0</t>
  </si>
  <si>
    <t>Postponed</t>
  </si>
  <si>
    <t xml:space="preserve">Postponed until Autumn 2025. 2D High-Resolution Seismic, Ultra-High-Resolution Seismic, Sub-Bottom Profiler Pinger, Single and Multibeam Echo Sounder, Sidescan Sonar, Grab Sampling, Drop-Down Camera. </t>
  </si>
  <si>
    <t>Hornsea Four - UXO Investigations</t>
  </si>
  <si>
    <t>DCO/2023/00005</t>
  </si>
  <si>
    <t>Proposed</t>
  </si>
  <si>
    <t xml:space="preserve">DCO put back into development phase. Due to submit MLA in July 2025 (have included DCO reference in meantime). Surveys likely to occur after new Contracts for Difference is aquired. </t>
  </si>
  <si>
    <t>Perenco Well Explosive use - Leman SW</t>
  </si>
  <si>
    <t>Perenco/Petrodec</t>
  </si>
  <si>
    <t>In well explosive use close to/at the seabed surface</t>
  </si>
  <si>
    <t xml:space="preserve">Sizewell C - Pin Piling </t>
  </si>
  <si>
    <t>EDF Energy</t>
  </si>
  <si>
    <t>DCO/2013/00021</t>
  </si>
  <si>
    <t>Submitted</t>
  </si>
  <si>
    <t>Soft / slow start and marine mammal obervers</t>
  </si>
  <si>
    <t xml:space="preserve">55 piling days within a 180 day window </t>
  </si>
  <si>
    <t xml:space="preserve">30 piling days within a 180 day window </t>
  </si>
  <si>
    <t xml:space="preserve">Ithaca - Conductor Piling </t>
  </si>
  <si>
    <t>Ithaca</t>
  </si>
  <si>
    <t>Soft start, marine mammal observer</t>
  </si>
  <si>
    <t>Conductor piling</t>
  </si>
  <si>
    <t>Hoton Platform - New Well Conductor</t>
  </si>
  <si>
    <t>NEP Phase 1 UXO Clearance (LO)</t>
  </si>
  <si>
    <t>MMO/PAM as required, compiance with permit conditions aligned with JNCC guidelines</t>
  </si>
  <si>
    <t>Main UXO clearance planned fro winter months outside the SAC. Contingency for 'low order' clearance of up to 10 chance encountered UXO during construction</t>
  </si>
  <si>
    <t>NEP Phase 1 UXO Clearance (HO Contingency)</t>
  </si>
  <si>
    <t>Main UXO clearance planned fro winter months outside the SAC. Contingency for 'high order' clearance of up to 3 chance encountered UXO during construction</t>
  </si>
  <si>
    <t>NEP Expansion Pipeline Routing Geophysical Survey</t>
  </si>
  <si>
    <t>NEP Phase 1 Development Wells Vertical Seismic Profiling</t>
  </si>
  <si>
    <t>450 cuin source, MMO/PAM as required, compiance with permit conditions aligned with JNCC guidelines</t>
  </si>
  <si>
    <t>NEP Expansion Appraisal Well Vertical Seismic Profiling</t>
  </si>
  <si>
    <t>Norfolk Vanguard West - UXO Clearance (HO)</t>
  </si>
  <si>
    <t>MLA/2025/00512</t>
  </si>
  <si>
    <t>Data has been provided with and without NAS. Without NAS the area overlap would be 938.31.</t>
  </si>
  <si>
    <t>Hornsea Three - Contingency UXO Clearance (Transmission &amp; Generation) (LO)</t>
  </si>
  <si>
    <t>MLA/2025/00366</t>
  </si>
  <si>
    <t>MMMP ( MMObs, PAM, ADD's), 500m safety zone, Ntms, post-clearance MBES surveys</t>
  </si>
  <si>
    <t xml:space="preserve">LO deflagration only. </t>
  </si>
  <si>
    <t>BritNed Cable</t>
  </si>
  <si>
    <t>Fugro</t>
  </si>
  <si>
    <t>MLA/2026/00141</t>
  </si>
  <si>
    <t>MMO and PAM proposed</t>
  </si>
  <si>
    <t>Survey will be conducted using side scan sonar, multibeam echosounder, sub-bottom profiler and USBL positioning equipment.</t>
  </si>
  <si>
    <t>Norfolk Vanguard West - UXO Clearance (LO)</t>
  </si>
  <si>
    <t>Without NAS - only applicable to high order</t>
  </si>
  <si>
    <t>NEP Phase 1 Pin Piling Monitoring Equipment - CANCELLED</t>
  </si>
  <si>
    <t>Instalation methodology tbc. Pin piling worst case assumption</t>
  </si>
  <si>
    <t>Eastern Green Link 2 - HO Contingency UXO Clearance</t>
  </si>
  <si>
    <t>National Grid</t>
  </si>
  <si>
    <t>Commitment to LOD; no overlap with LOD EDR and SNS SAC HOD is not a planned activity, and would only be accidental/unplanned</t>
  </si>
  <si>
    <t>No activity within the SNS SAC is likely; update to be provided when target investigation is completed. If LOD is sucessful there with be no overlap with SNS SAC</t>
  </si>
  <si>
    <t>Select Season</t>
  </si>
  <si>
    <t>Season start</t>
  </si>
  <si>
    <t>Days in season</t>
  </si>
  <si>
    <t>Date of assessment:</t>
  </si>
  <si>
    <t>Season end</t>
  </si>
  <si>
    <t>SAC Area (km2)</t>
  </si>
  <si>
    <t>Projected disturbance levels - worst case scenario</t>
  </si>
  <si>
    <t>Projected maximum daily disturbance (% of the SAC disturbed)</t>
  </si>
  <si>
    <t>Projected seasonal disturbance (Absolute worst case scenario)</t>
  </si>
  <si>
    <t>Number of days with &gt;20% disturbance</t>
  </si>
  <si>
    <t>Projected seasonal disturbance (Realistic worst case scenario)</t>
  </si>
  <si>
    <t>These summary figures are based on a worst case scenario, and further management measures will be employed to ensure that there is no AEOI. 
Please see Desk Note for guidance on how these figures have been calculated.</t>
  </si>
  <si>
    <t xml:space="preserve">The following projects were included in the in-combination assesssment - </t>
  </si>
  <si>
    <t>Tracker ID</t>
  </si>
  <si>
    <t>Project name</t>
  </si>
  <si>
    <t>Proposed Start Date</t>
  </si>
  <si>
    <t>Proposed End Date</t>
  </si>
  <si>
    <t>Proposed days</t>
  </si>
  <si>
    <t>Impact on SAC (km2)</t>
  </si>
  <si>
    <t>Impact on SAC (%)</t>
  </si>
  <si>
    <t>Contribution to seasonal disturbance (absolute worst case)</t>
  </si>
  <si>
    <t>Contribution to seasonal disturbance (realistic worst case)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</si>
</sst>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9" x14ac:knownFonts="1">
    <font>
      <sz val="11"/>
      <color theme="1"/>
      <name val="Calibri"/>
      <family val="2"/>
      <scheme val="minor"/>
    </font>
    <font>
      <b/>
      <sz val="14"/>
      <color theme="0"/>
      <name val="Calibri Light"/>
      <family val="2"/>
      <scheme val="major"/>
    </font>
    <font>
      <sz val="12"/>
      <color theme="0"/>
      <name val="Calibri Light"/>
      <family val="2"/>
      <scheme val="major"/>
    </font>
    <font>
      <b/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4"/>
      <color theme="1"/>
      <name val="Calibri"/>
      <family val="2"/>
      <scheme val="minor"/>
    </font>
    <font>
      <i/>
      <sz val="11"/>
      <color theme="1"/>
      <name val="Calibri"/>
      <family val="2"/>
      <scheme val="minor"/>
    </font>
    <font>
      <sz val="12"/>
      <name val="Calibri Light"/>
      <family val="2"/>
      <scheme val="major"/>
    </font>
    <font>
      <b/>
      <sz val="11"/>
      <color theme="0"/>
      <name val="Calibri"/>
      <family val="2"/>
      <scheme val="minor"/>
    </font>
    <font>
      <sz val="11"/>
      <name val="Calibri"/>
      <family val="2"/>
      <scheme val="minor"/>
    </font>
    <font>
      <b/>
      <sz val="14"/>
      <color theme="0"/>
      <name val="Calibri"/>
      <family val="2"/>
      <scheme val="minor"/>
    </font>
    <font>
      <b/>
      <sz val="12"/>
      <color theme="0"/>
      <name val="Calibri Light"/>
      <family val="2"/>
      <scheme val="major"/>
    </font>
    <font>
      <b/>
      <sz val="12"/>
      <name val="Calibri Light"/>
      <family val="2"/>
      <scheme val="major"/>
    </font>
    <font>
      <b/>
      <sz val="18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8"/>
      <color theme="0"/>
      <name val="Calibri"/>
      <family val="2"/>
      <scheme val="minor"/>
    </font>
    <font>
      <sz val="8"/>
      <name val="Calibri"/>
      <family val="2"/>
      <scheme val="minor"/>
    </font>
    <font>
      <sz val="11"/>
      <color rgb="FF000000"/>
      <name val="Calibri"/>
      <family val="2"/>
    </font>
  </fonts>
  <fills count="17">
    <fill>
      <patternFill patternType="none"/>
    </fill>
    <fill>
      <patternFill patternType="gray125"/>
    </fill>
    <fill>
      <patternFill patternType="solid">
        <fgColor rgb="FF0070C0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FCE4D6"/>
        <bgColor rgb="FF000000"/>
      </patternFill>
    </fill>
    <fill>
      <patternFill patternType="solid">
        <fgColor theme="0" tint="-0.499984740745262"/>
        <bgColor indexed="64"/>
      </patternFill>
    </fill>
    <fill>
      <patternFill patternType="solid">
        <fgColor theme="9" tint="0.79998168889431442"/>
        <bgColor indexed="64"/>
      </patternFill>
    </fill>
  </fills>
  <borders count="42">
    <border>
      <left/>
      <right/>
      <top/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rgb="FF000000"/>
      </top>
      <bottom/>
      <diagonal/>
    </border>
    <border>
      <left/>
      <right/>
      <top/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/>
      <right style="thin">
        <color indexed="64"/>
      </right>
      <top/>
      <bottom/>
      <diagonal/>
    </border>
  </borders>
  <cellStyleXfs count="2">
    <xf numFmtId="0" fontId="0" fillId="0" borderId="0"/>
    <xf numFmtId="9" fontId="4" fillId="0" borderId="0" applyFont="0" applyFill="0" applyBorder="0" applyAlignment="0" applyProtection="0"/>
  </cellStyleXfs>
  <cellXfs count="206">
    <xf numFmtId="0" fontId="0" fillId="0" borderId="0" xfId="0"/>
    <xf numFmtId="0" fontId="0" fillId="0" borderId="0" xfId="0" applyAlignment="1">
      <alignment horizontal="center" vertical="center" wrapText="1"/>
    </xf>
    <xf numFmtId="0" fontId="0" fillId="3" borderId="0" xfId="0" applyFill="1"/>
    <xf numFmtId="0" fontId="0" fillId="0" borderId="0" xfId="0" applyAlignment="1">
      <alignment horizontal="center" vertical="center"/>
    </xf>
    <xf numFmtId="0" fontId="8" fillId="0" borderId="0" xfId="0" applyFont="1" applyAlignment="1">
      <alignment horizontal="center" vertical="center" wrapText="1"/>
    </xf>
    <xf numFmtId="0" fontId="2" fillId="2" borderId="3" xfId="0" applyFont="1" applyFill="1" applyBorder="1" applyAlignment="1">
      <alignment horizontal="center" vertical="center" wrapText="1"/>
    </xf>
    <xf numFmtId="49" fontId="2" fillId="4" borderId="9" xfId="0" applyNumberFormat="1" applyFont="1" applyFill="1" applyBorder="1" applyAlignment="1" applyProtection="1">
      <alignment horizontal="center" vertical="center" wrapText="1"/>
      <protection locked="0"/>
    </xf>
    <xf numFmtId="14" fontId="0" fillId="7" borderId="4" xfId="0" applyNumberFormat="1" applyFill="1" applyBorder="1" applyAlignment="1" applyProtection="1">
      <alignment horizontal="center" vertical="center" wrapText="1"/>
      <protection locked="0"/>
    </xf>
    <xf numFmtId="14" fontId="0" fillId="7" borderId="4" xfId="0" applyNumberFormat="1" applyFill="1" applyBorder="1" applyAlignment="1" applyProtection="1">
      <alignment horizontal="center" vertical="center"/>
      <protection locked="0"/>
    </xf>
    <xf numFmtId="0" fontId="0" fillId="7" borderId="4" xfId="0" applyFill="1" applyBorder="1" applyAlignment="1" applyProtection="1">
      <alignment horizontal="center" vertical="center" wrapText="1"/>
      <protection locked="0"/>
    </xf>
    <xf numFmtId="0" fontId="0" fillId="7" borderId="4" xfId="0" applyFill="1" applyBorder="1" applyAlignment="1" applyProtection="1">
      <alignment horizontal="center" vertical="center"/>
      <protection locked="0"/>
    </xf>
    <xf numFmtId="0" fontId="1" fillId="0" borderId="0" xfId="0" applyFont="1" applyAlignment="1">
      <alignment vertical="center" wrapText="1"/>
    </xf>
    <xf numFmtId="14" fontId="5" fillId="2" borderId="18" xfId="0" applyNumberFormat="1" applyFont="1" applyFill="1" applyBorder="1" applyAlignment="1" applyProtection="1">
      <alignment horizontal="center" vertical="center"/>
      <protection locked="0"/>
    </xf>
    <xf numFmtId="14" fontId="5" fillId="2" borderId="13" xfId="0" applyNumberFormat="1" applyFont="1" applyFill="1" applyBorder="1" applyAlignment="1" applyProtection="1">
      <alignment horizontal="center" vertical="center"/>
      <protection locked="0"/>
    </xf>
    <xf numFmtId="14" fontId="2" fillId="2" borderId="1" xfId="0" applyNumberFormat="1" applyFont="1" applyFill="1" applyBorder="1" applyAlignment="1" applyProtection="1">
      <alignment horizontal="center" vertical="center" wrapText="1"/>
      <protection locked="0"/>
    </xf>
    <xf numFmtId="14" fontId="2" fillId="2" borderId="3" xfId="0" applyNumberFormat="1" applyFont="1" applyFill="1" applyBorder="1" applyAlignment="1" applyProtection="1">
      <alignment horizontal="center" vertical="center" wrapText="1"/>
      <protection locked="0"/>
    </xf>
    <xf numFmtId="0" fontId="12" fillId="2" borderId="20" xfId="0" applyFont="1" applyFill="1" applyBorder="1" applyAlignment="1">
      <alignment horizontal="center" vertical="center" wrapText="1"/>
    </xf>
    <xf numFmtId="0" fontId="2" fillId="2" borderId="13" xfId="0" applyFont="1" applyFill="1" applyBorder="1" applyAlignment="1">
      <alignment horizontal="center" vertical="center" wrapText="1"/>
    </xf>
    <xf numFmtId="0" fontId="12" fillId="2" borderId="21" xfId="0" applyFont="1" applyFill="1" applyBorder="1" applyAlignment="1">
      <alignment horizontal="center" vertical="center" wrapText="1"/>
    </xf>
    <xf numFmtId="0" fontId="12" fillId="2" borderId="22" xfId="0" applyFont="1" applyFill="1" applyBorder="1" applyAlignment="1">
      <alignment horizontal="center" vertical="center" wrapText="1"/>
    </xf>
    <xf numFmtId="0" fontId="2" fillId="2" borderId="24" xfId="0" applyFont="1" applyFill="1" applyBorder="1" applyAlignment="1">
      <alignment horizontal="center" vertical="center" wrapText="1"/>
    </xf>
    <xf numFmtId="0" fontId="12" fillId="2" borderId="23" xfId="0" applyFont="1" applyFill="1" applyBorder="1" applyAlignment="1">
      <alignment horizontal="center" vertical="center" wrapText="1"/>
    </xf>
    <xf numFmtId="0" fontId="2" fillId="2" borderId="7" xfId="0" applyFont="1" applyFill="1" applyBorder="1" applyAlignment="1">
      <alignment horizontal="center" vertical="center" wrapText="1"/>
    </xf>
    <xf numFmtId="0" fontId="2" fillId="0" borderId="0" xfId="0" applyFont="1" applyAlignment="1">
      <alignment vertical="center" wrapText="1"/>
    </xf>
    <xf numFmtId="0" fontId="0" fillId="0" borderId="0" xfId="0" applyProtection="1">
      <protection locked="0"/>
    </xf>
    <xf numFmtId="0" fontId="0" fillId="8" borderId="4" xfId="0" applyFill="1" applyBorder="1" applyAlignment="1" applyProtection="1">
      <alignment horizontal="center" vertical="center" wrapText="1"/>
      <protection locked="0"/>
    </xf>
    <xf numFmtId="0" fontId="0" fillId="8" borderId="4" xfId="0" applyFill="1" applyBorder="1" applyAlignment="1" applyProtection="1">
      <alignment horizontal="center" vertical="center"/>
      <protection locked="0"/>
    </xf>
    <xf numFmtId="0" fontId="0" fillId="8" borderId="14" xfId="0" applyFill="1" applyBorder="1" applyAlignment="1" applyProtection="1">
      <alignment horizontal="center" vertical="center" wrapText="1"/>
      <protection locked="0"/>
    </xf>
    <xf numFmtId="0" fontId="0" fillId="8" borderId="14" xfId="0" applyFill="1" applyBorder="1" applyAlignment="1" applyProtection="1">
      <alignment horizontal="center" vertical="center"/>
      <protection locked="0"/>
    </xf>
    <xf numFmtId="49" fontId="2" fillId="9" borderId="9" xfId="0" applyNumberFormat="1" applyFont="1" applyFill="1" applyBorder="1" applyAlignment="1" applyProtection="1">
      <alignment horizontal="center" vertical="center" wrapText="1"/>
      <protection locked="0"/>
    </xf>
    <xf numFmtId="0" fontId="0" fillId="10" borderId="4" xfId="0" applyFill="1" applyBorder="1" applyAlignment="1" applyProtection="1">
      <alignment horizontal="center" vertical="center"/>
      <protection locked="0"/>
    </xf>
    <xf numFmtId="2" fontId="0" fillId="10" borderId="4" xfId="0" applyNumberFormat="1" applyFill="1" applyBorder="1" applyAlignment="1" applyProtection="1">
      <alignment horizontal="center" vertical="center"/>
      <protection locked="0"/>
    </xf>
    <xf numFmtId="2" fontId="0" fillId="10" borderId="16" xfId="0" applyNumberFormat="1" applyFill="1" applyBorder="1" applyAlignment="1" applyProtection="1">
      <alignment horizontal="center" vertical="center"/>
      <protection locked="0"/>
    </xf>
    <xf numFmtId="0" fontId="0" fillId="10" borderId="4" xfId="0" applyFill="1" applyBorder="1" applyAlignment="1" applyProtection="1">
      <alignment horizontal="center" vertical="center" wrapText="1"/>
      <protection locked="0"/>
    </xf>
    <xf numFmtId="2" fontId="0" fillId="10" borderId="4" xfId="0" applyNumberFormat="1" applyFill="1" applyBorder="1" applyAlignment="1" applyProtection="1">
      <alignment horizontal="center" vertical="center" wrapText="1"/>
      <protection locked="0"/>
    </xf>
    <xf numFmtId="2" fontId="0" fillId="10" borderId="16" xfId="0" applyNumberFormat="1" applyFill="1" applyBorder="1" applyAlignment="1" applyProtection="1">
      <alignment horizontal="center" vertical="center" wrapText="1"/>
      <protection locked="0"/>
    </xf>
    <xf numFmtId="0" fontId="0" fillId="10" borderId="16" xfId="0" applyFill="1" applyBorder="1" applyAlignment="1" applyProtection="1">
      <alignment horizontal="center" vertical="center" wrapText="1"/>
      <protection locked="0"/>
    </xf>
    <xf numFmtId="49" fontId="2" fillId="4" borderId="31" xfId="0" applyNumberFormat="1" applyFont="1" applyFill="1" applyBorder="1" applyAlignment="1" applyProtection="1">
      <alignment horizontal="center" vertical="center" wrapText="1"/>
      <protection locked="0"/>
    </xf>
    <xf numFmtId="2" fontId="0" fillId="7" borderId="4" xfId="0" applyNumberFormat="1" applyFill="1" applyBorder="1" applyAlignment="1" applyProtection="1">
      <alignment horizontal="center" vertical="center"/>
      <protection locked="0"/>
    </xf>
    <xf numFmtId="2" fontId="0" fillId="7" borderId="4" xfId="0" applyNumberFormat="1" applyFill="1" applyBorder="1" applyAlignment="1" applyProtection="1">
      <alignment horizontal="center" vertical="center" wrapText="1"/>
      <protection locked="0"/>
    </xf>
    <xf numFmtId="9" fontId="0" fillId="0" borderId="0" xfId="1" applyFont="1"/>
    <xf numFmtId="0" fontId="3" fillId="0" borderId="0" xfId="0" applyFont="1" applyAlignment="1">
      <alignment wrapText="1"/>
    </xf>
    <xf numFmtId="0" fontId="3" fillId="5" borderId="0" xfId="0" applyFont="1" applyFill="1" applyAlignment="1">
      <alignment wrapText="1"/>
    </xf>
    <xf numFmtId="0" fontId="0" fillId="7" borderId="16" xfId="0" applyFill="1" applyBorder="1" applyAlignment="1" applyProtection="1">
      <alignment horizontal="center" vertical="center"/>
      <protection locked="0"/>
    </xf>
    <xf numFmtId="0" fontId="0" fillId="7" borderId="4" xfId="0" applyFill="1" applyBorder="1" applyProtection="1">
      <protection locked="0"/>
    </xf>
    <xf numFmtId="49" fontId="2" fillId="11" borderId="2" xfId="0" applyNumberFormat="1" applyFont="1" applyFill="1" applyBorder="1" applyAlignment="1" applyProtection="1">
      <alignment horizontal="center" vertical="center" wrapText="1"/>
      <protection locked="0"/>
    </xf>
    <xf numFmtId="0" fontId="0" fillId="0" borderId="4" xfId="0" applyBorder="1" applyAlignment="1" applyProtection="1">
      <alignment horizontal="center" vertical="center" wrapText="1"/>
      <protection locked="0"/>
    </xf>
    <xf numFmtId="49" fontId="2" fillId="11" borderId="7" xfId="0" applyNumberFormat="1" applyFont="1" applyFill="1" applyBorder="1" applyAlignment="1" applyProtection="1">
      <alignment horizontal="center" vertical="center" wrapText="1"/>
      <protection locked="0"/>
    </xf>
    <xf numFmtId="0" fontId="0" fillId="0" borderId="4" xfId="0" applyBorder="1" applyAlignment="1" applyProtection="1">
      <alignment horizontal="center" vertical="center"/>
      <protection locked="0"/>
    </xf>
    <xf numFmtId="0" fontId="0" fillId="0" borderId="16" xfId="0" applyBorder="1" applyAlignment="1" applyProtection="1">
      <alignment horizontal="center" vertical="center" wrapText="1"/>
      <protection locked="0"/>
    </xf>
    <xf numFmtId="14" fontId="0" fillId="0" borderId="0" xfId="0" applyNumberFormat="1"/>
    <xf numFmtId="0" fontId="0" fillId="0" borderId="0" xfId="1" applyNumberFormat="1" applyFont="1"/>
    <xf numFmtId="10" fontId="2" fillId="0" borderId="0" xfId="1" applyNumberFormat="1" applyFont="1" applyFill="1" applyBorder="1" applyAlignment="1">
      <alignment horizontal="center" vertical="center" wrapText="1"/>
    </xf>
    <xf numFmtId="0" fontId="14" fillId="0" borderId="0" xfId="0" applyFont="1"/>
    <xf numFmtId="0" fontId="3" fillId="0" borderId="0" xfId="0" applyFont="1" applyAlignment="1">
      <alignment horizontal="center" vertical="center" wrapText="1"/>
    </xf>
    <xf numFmtId="0" fontId="12" fillId="2" borderId="22" xfId="0" applyFont="1" applyFill="1" applyBorder="1" applyAlignment="1">
      <alignment vertical="center" wrapText="1"/>
    </xf>
    <xf numFmtId="0" fontId="12" fillId="2" borderId="20" xfId="0" applyFont="1" applyFill="1" applyBorder="1" applyAlignment="1">
      <alignment vertical="center" wrapText="1"/>
    </xf>
    <xf numFmtId="0" fontId="0" fillId="7" borderId="14" xfId="0" applyFill="1" applyBorder="1" applyAlignment="1" applyProtection="1">
      <alignment horizontal="center" vertical="center" wrapText="1"/>
      <protection locked="0"/>
    </xf>
    <xf numFmtId="0" fontId="10" fillId="3" borderId="0" xfId="0" applyFont="1" applyFill="1" applyAlignment="1">
      <alignment horizontal="center" vertical="center" wrapText="1"/>
    </xf>
    <xf numFmtId="2" fontId="10" fillId="3" borderId="0" xfId="0" applyNumberFormat="1" applyFont="1" applyFill="1" applyAlignment="1">
      <alignment horizontal="center" vertical="center" wrapText="1"/>
    </xf>
    <xf numFmtId="0" fontId="0" fillId="3" borderId="0" xfId="0" applyFill="1" applyAlignment="1">
      <alignment horizontal="center" vertical="center" wrapText="1"/>
    </xf>
    <xf numFmtId="2" fontId="10" fillId="3" borderId="0" xfId="0" applyNumberFormat="1" applyFont="1" applyFill="1" applyAlignment="1">
      <alignment horizontal="center" vertical="center"/>
    </xf>
    <xf numFmtId="1" fontId="10" fillId="3" borderId="10" xfId="0" applyNumberFormat="1" applyFont="1" applyFill="1" applyBorder="1" applyAlignment="1">
      <alignment horizontal="center" vertical="center" wrapText="1"/>
    </xf>
    <xf numFmtId="0" fontId="0" fillId="12" borderId="0" xfId="0" applyFill="1" applyAlignment="1">
      <alignment horizontal="center" vertical="center" wrapText="1"/>
    </xf>
    <xf numFmtId="2" fontId="10" fillId="12" borderId="0" xfId="0" applyNumberFormat="1" applyFont="1" applyFill="1" applyAlignment="1">
      <alignment horizontal="center" vertical="center"/>
    </xf>
    <xf numFmtId="1" fontId="10" fillId="12" borderId="10" xfId="0" applyNumberFormat="1" applyFont="1" applyFill="1" applyBorder="1" applyAlignment="1">
      <alignment horizontal="center" vertical="center" wrapText="1"/>
    </xf>
    <xf numFmtId="0" fontId="0" fillId="3" borderId="0" xfId="0" applyFill="1" applyAlignment="1">
      <alignment horizontal="center" vertical="center"/>
    </xf>
    <xf numFmtId="0" fontId="10" fillId="3" borderId="0" xfId="0" applyFont="1" applyFill="1" applyAlignment="1">
      <alignment horizontal="center" vertical="center"/>
    </xf>
    <xf numFmtId="14" fontId="8" fillId="0" borderId="0" xfId="0" applyNumberFormat="1" applyFont="1" applyAlignment="1">
      <alignment horizontal="center" vertical="center" wrapText="1"/>
    </xf>
    <xf numFmtId="14" fontId="2" fillId="2" borderId="13" xfId="0" applyNumberFormat="1" applyFont="1" applyFill="1" applyBorder="1" applyAlignment="1">
      <alignment horizontal="center" vertical="center" wrapText="1"/>
    </xf>
    <xf numFmtId="0" fontId="15" fillId="0" borderId="0" xfId="0" applyFont="1" applyAlignment="1">
      <alignment horizontal="center" vertical="center"/>
    </xf>
    <xf numFmtId="14" fontId="2" fillId="2" borderId="24" xfId="0" applyNumberFormat="1" applyFont="1" applyFill="1" applyBorder="1" applyAlignment="1">
      <alignment horizontal="center" vertical="center" wrapText="1"/>
    </xf>
    <xf numFmtId="10" fontId="15" fillId="0" borderId="0" xfId="1" applyNumberFormat="1" applyFont="1" applyAlignment="1">
      <alignment horizontal="center" vertical="center"/>
    </xf>
    <xf numFmtId="10" fontId="13" fillId="10" borderId="7" xfId="1" applyNumberFormat="1" applyFont="1" applyFill="1" applyBorder="1" applyAlignment="1">
      <alignment horizontal="center" vertical="center" wrapText="1"/>
    </xf>
    <xf numFmtId="10" fontId="13" fillId="10" borderId="3" xfId="1" applyNumberFormat="1" applyFont="1" applyFill="1" applyBorder="1" applyAlignment="1">
      <alignment horizontal="center" vertical="center" wrapText="1"/>
    </xf>
    <xf numFmtId="0" fontId="11" fillId="4" borderId="8" xfId="0" applyFont="1" applyFill="1" applyBorder="1" applyAlignment="1" applyProtection="1">
      <alignment horizontal="center" vertical="center" wrapText="1"/>
      <protection locked="0"/>
    </xf>
    <xf numFmtId="0" fontId="0" fillId="0" borderId="32" xfId="0" applyBorder="1" applyAlignment="1" applyProtection="1">
      <alignment horizontal="center" vertical="center"/>
      <protection locked="0"/>
    </xf>
    <xf numFmtId="0" fontId="0" fillId="10" borderId="32" xfId="0" applyFill="1" applyBorder="1" applyAlignment="1" applyProtection="1">
      <alignment horizontal="center" vertical="center" wrapText="1"/>
      <protection locked="0"/>
    </xf>
    <xf numFmtId="0" fontId="0" fillId="10" borderId="32" xfId="0" applyFill="1" applyBorder="1" applyAlignment="1" applyProtection="1">
      <alignment horizontal="center" vertical="center"/>
      <protection locked="0"/>
    </xf>
    <xf numFmtId="0" fontId="0" fillId="10" borderId="16" xfId="0" applyFill="1" applyBorder="1" applyProtection="1">
      <protection locked="0"/>
    </xf>
    <xf numFmtId="0" fontId="0" fillId="8" borderId="16" xfId="0" applyFill="1" applyBorder="1" applyAlignment="1" applyProtection="1">
      <alignment horizontal="center" vertical="center" wrapText="1"/>
      <protection locked="0"/>
    </xf>
    <xf numFmtId="0" fontId="0" fillId="8" borderId="16" xfId="0" applyFill="1" applyBorder="1" applyAlignment="1" applyProtection="1">
      <alignment horizontal="center" vertical="center"/>
      <protection locked="0"/>
    </xf>
    <xf numFmtId="49" fontId="2" fillId="6" borderId="0" xfId="0" applyNumberFormat="1" applyFont="1" applyFill="1" applyAlignment="1" applyProtection="1">
      <alignment horizontal="center" vertical="center" wrapText="1"/>
      <protection locked="0"/>
    </xf>
    <xf numFmtId="14" fontId="0" fillId="7" borderId="32" xfId="0" applyNumberFormat="1" applyFill="1" applyBorder="1" applyAlignment="1" applyProtection="1">
      <alignment horizontal="center" vertical="center"/>
      <protection locked="0"/>
    </xf>
    <xf numFmtId="14" fontId="0" fillId="7" borderId="32" xfId="0" applyNumberFormat="1" applyFill="1" applyBorder="1" applyAlignment="1" applyProtection="1">
      <alignment horizontal="center" vertical="center" wrapText="1"/>
      <protection locked="0"/>
    </xf>
    <xf numFmtId="0" fontId="0" fillId="10" borderId="16" xfId="0" applyFill="1" applyBorder="1" applyAlignment="1" applyProtection="1">
      <alignment horizontal="center" vertical="center"/>
      <protection locked="0"/>
    </xf>
    <xf numFmtId="49" fontId="2" fillId="13" borderId="0" xfId="0" applyNumberFormat="1" applyFont="1" applyFill="1" applyAlignment="1" applyProtection="1">
      <alignment horizontal="center" vertical="center" wrapText="1"/>
      <protection locked="0"/>
    </xf>
    <xf numFmtId="49" fontId="2" fillId="13" borderId="2" xfId="0" applyNumberFormat="1" applyFont="1" applyFill="1" applyBorder="1" applyAlignment="1" applyProtection="1">
      <alignment horizontal="center" vertical="center" wrapText="1"/>
      <protection locked="0"/>
    </xf>
    <xf numFmtId="2" fontId="0" fillId="12" borderId="0" xfId="0" applyNumberFormat="1" applyFill="1" applyAlignment="1">
      <alignment horizontal="center" vertical="center" wrapText="1"/>
    </xf>
    <xf numFmtId="2" fontId="0" fillId="3" borderId="0" xfId="0" applyNumberFormat="1" applyFill="1" applyAlignment="1">
      <alignment horizontal="center" vertical="center" wrapText="1"/>
    </xf>
    <xf numFmtId="2" fontId="0" fillId="3" borderId="0" xfId="0" applyNumberFormat="1" applyFill="1" applyAlignment="1">
      <alignment horizontal="center" vertical="center"/>
    </xf>
    <xf numFmtId="0" fontId="13" fillId="10" borderId="33" xfId="0" applyFont="1" applyFill="1" applyBorder="1" applyAlignment="1" applyProtection="1">
      <alignment horizontal="center" vertical="center" wrapText="1"/>
      <protection locked="0"/>
    </xf>
    <xf numFmtId="14" fontId="13" fillId="10" borderId="33" xfId="0" applyNumberFormat="1" applyFont="1" applyFill="1" applyBorder="1" applyAlignment="1" applyProtection="1">
      <alignment horizontal="center" vertical="center" wrapText="1"/>
      <protection locked="0"/>
    </xf>
    <xf numFmtId="0" fontId="10" fillId="12" borderId="0" xfId="0" applyFont="1" applyFill="1" applyAlignment="1">
      <alignment horizontal="center" vertical="center" wrapText="1"/>
    </xf>
    <xf numFmtId="0" fontId="7" fillId="8" borderId="4" xfId="0" applyFont="1" applyFill="1" applyBorder="1" applyAlignment="1" applyProtection="1">
      <alignment horizontal="center" vertical="center" wrapText="1"/>
      <protection locked="0"/>
    </xf>
    <xf numFmtId="0" fontId="0" fillId="8" borderId="31" xfId="0" applyFill="1" applyBorder="1" applyAlignment="1" applyProtection="1">
      <alignment horizontal="center" vertical="center"/>
      <protection locked="0"/>
    </xf>
    <xf numFmtId="0" fontId="0" fillId="7" borderId="32" xfId="0" applyFill="1" applyBorder="1" applyAlignment="1" applyProtection="1">
      <alignment horizontal="center" vertical="center" wrapText="1"/>
      <protection locked="0"/>
    </xf>
    <xf numFmtId="0" fontId="0" fillId="7" borderId="14" xfId="0" applyFill="1" applyBorder="1" applyAlignment="1" applyProtection="1">
      <alignment horizontal="center" vertical="center"/>
      <protection locked="0"/>
    </xf>
    <xf numFmtId="0" fontId="11" fillId="4" borderId="34" xfId="0" applyFont="1" applyFill="1" applyBorder="1" applyAlignment="1" applyProtection="1">
      <alignment horizontal="center" vertical="center" wrapText="1"/>
      <protection locked="0"/>
    </xf>
    <xf numFmtId="2" fontId="0" fillId="7" borderId="14" xfId="0" applyNumberFormat="1" applyFill="1" applyBorder="1" applyAlignment="1" applyProtection="1">
      <alignment horizontal="center" vertical="center"/>
      <protection locked="0"/>
    </xf>
    <xf numFmtId="0" fontId="18" fillId="10" borderId="35" xfId="0" applyFont="1" applyFill="1" applyBorder="1" applyAlignment="1" applyProtection="1">
      <alignment horizontal="center" vertical="center"/>
      <protection locked="0"/>
    </xf>
    <xf numFmtId="0" fontId="18" fillId="10" borderId="14" xfId="0" applyFont="1" applyFill="1" applyBorder="1" applyAlignment="1" applyProtection="1">
      <alignment horizontal="center" vertical="center"/>
      <protection locked="0"/>
    </xf>
    <xf numFmtId="2" fontId="18" fillId="10" borderId="14" xfId="0" applyNumberFormat="1" applyFont="1" applyFill="1" applyBorder="1" applyAlignment="1" applyProtection="1">
      <alignment horizontal="center" vertical="center"/>
      <protection locked="0"/>
    </xf>
    <xf numFmtId="0" fontId="0" fillId="10" borderId="15" xfId="0" applyFill="1" applyBorder="1" applyProtection="1">
      <protection locked="0"/>
    </xf>
    <xf numFmtId="0" fontId="0" fillId="8" borderId="15" xfId="0" applyFill="1" applyBorder="1" applyAlignment="1" applyProtection="1">
      <alignment horizontal="center" vertical="center"/>
      <protection locked="0"/>
    </xf>
    <xf numFmtId="14" fontId="0" fillId="7" borderId="35" xfId="0" applyNumberFormat="1" applyFill="1" applyBorder="1" applyAlignment="1" applyProtection="1">
      <alignment horizontal="center" vertical="center"/>
      <protection locked="0"/>
    </xf>
    <xf numFmtId="0" fontId="0" fillId="15" borderId="14" xfId="0" applyFill="1" applyBorder="1" applyAlignment="1" applyProtection="1">
      <alignment horizontal="center" vertical="center"/>
      <protection locked="0"/>
    </xf>
    <xf numFmtId="14" fontId="0" fillId="15" borderId="4" xfId="0" applyNumberFormat="1" applyFill="1" applyBorder="1" applyAlignment="1" applyProtection="1">
      <alignment horizontal="center" vertical="center"/>
      <protection locked="0"/>
    </xf>
    <xf numFmtId="0" fontId="10" fillId="15" borderId="0" xfId="0" applyFont="1" applyFill="1" applyAlignment="1">
      <alignment horizontal="center" vertical="center"/>
    </xf>
    <xf numFmtId="0" fontId="0" fillId="15" borderId="0" xfId="0" applyFill="1" applyAlignment="1">
      <alignment horizontal="center" vertical="center"/>
    </xf>
    <xf numFmtId="2" fontId="0" fillId="15" borderId="0" xfId="0" applyNumberFormat="1" applyFill="1" applyAlignment="1">
      <alignment horizontal="center" vertical="center"/>
    </xf>
    <xf numFmtId="2" fontId="10" fillId="15" borderId="0" xfId="0" applyNumberFormat="1" applyFont="1" applyFill="1" applyAlignment="1">
      <alignment horizontal="center" vertical="center"/>
    </xf>
    <xf numFmtId="1" fontId="10" fillId="15" borderId="10" xfId="0" applyNumberFormat="1" applyFont="1" applyFill="1" applyBorder="1" applyAlignment="1">
      <alignment horizontal="center" vertical="center" wrapText="1"/>
    </xf>
    <xf numFmtId="0" fontId="0" fillId="15" borderId="0" xfId="0" applyFill="1"/>
    <xf numFmtId="0" fontId="11" fillId="15" borderId="34" xfId="0" applyFont="1" applyFill="1" applyBorder="1" applyAlignment="1" applyProtection="1">
      <alignment horizontal="center" vertical="center" wrapText="1"/>
      <protection locked="0"/>
    </xf>
    <xf numFmtId="0" fontId="0" fillId="15" borderId="35" xfId="0" applyFill="1" applyBorder="1" applyAlignment="1" applyProtection="1">
      <alignment horizontal="center" vertical="center"/>
      <protection locked="0"/>
    </xf>
    <xf numFmtId="2" fontId="0" fillId="15" borderId="14" xfId="0" applyNumberFormat="1" applyFill="1" applyBorder="1" applyAlignment="1" applyProtection="1">
      <alignment horizontal="center" vertical="center"/>
      <protection locked="0"/>
    </xf>
    <xf numFmtId="0" fontId="0" fillId="15" borderId="15" xfId="0" applyFill="1" applyBorder="1" applyProtection="1">
      <protection locked="0"/>
    </xf>
    <xf numFmtId="0" fontId="0" fillId="10" borderId="16" xfId="0" applyFill="1" applyBorder="1" applyAlignment="1" applyProtection="1">
      <alignment vertical="center"/>
      <protection locked="0"/>
    </xf>
    <xf numFmtId="0" fontId="0" fillId="15" borderId="15" xfId="0" applyFill="1" applyBorder="1" applyAlignment="1" applyProtection="1">
      <alignment horizontal="center" vertical="center"/>
      <protection locked="0"/>
    </xf>
    <xf numFmtId="14" fontId="0" fillId="15" borderId="35" xfId="0" applyNumberFormat="1" applyFill="1" applyBorder="1" applyAlignment="1" applyProtection="1">
      <alignment horizontal="center" vertical="center"/>
      <protection locked="0"/>
    </xf>
    <xf numFmtId="14" fontId="0" fillId="15" borderId="14" xfId="0" applyNumberFormat="1" applyFill="1" applyBorder="1" applyAlignment="1" applyProtection="1">
      <alignment horizontal="center" vertical="center"/>
      <protection locked="0"/>
    </xf>
    <xf numFmtId="14" fontId="18" fillId="14" borderId="14" xfId="0" applyNumberFormat="1" applyFont="1" applyFill="1" applyBorder="1" applyAlignment="1">
      <alignment horizontal="center" vertical="center"/>
    </xf>
    <xf numFmtId="0" fontId="18" fillId="14" borderId="14" xfId="0" applyFont="1" applyFill="1" applyBorder="1" applyAlignment="1">
      <alignment horizontal="center" vertical="center"/>
    </xf>
    <xf numFmtId="0" fontId="0" fillId="7" borderId="4" xfId="0" applyFill="1" applyBorder="1" applyAlignment="1" applyProtection="1">
      <alignment vertical="center"/>
      <protection locked="0"/>
    </xf>
    <xf numFmtId="0" fontId="0" fillId="7" borderId="35" xfId="0" applyFill="1" applyBorder="1" applyProtection="1">
      <protection locked="0"/>
    </xf>
    <xf numFmtId="0" fontId="0" fillId="10" borderId="35" xfId="0" applyFill="1" applyBorder="1" applyAlignment="1" applyProtection="1">
      <alignment horizontal="center" vertical="center"/>
      <protection locked="0"/>
    </xf>
    <xf numFmtId="0" fontId="0" fillId="10" borderId="14" xfId="0" applyFill="1" applyBorder="1" applyAlignment="1" applyProtection="1">
      <alignment horizontal="center" vertical="center"/>
      <protection locked="0"/>
    </xf>
    <xf numFmtId="2" fontId="0" fillId="10" borderId="14" xfId="0" applyNumberFormat="1" applyFill="1" applyBorder="1" applyAlignment="1" applyProtection="1">
      <alignment horizontal="center" vertical="center"/>
      <protection locked="0"/>
    </xf>
    <xf numFmtId="14" fontId="0" fillId="7" borderId="14" xfId="0" applyNumberFormat="1" applyFill="1" applyBorder="1" applyAlignment="1" applyProtection="1">
      <alignment horizontal="center" vertical="center"/>
      <protection locked="0"/>
    </xf>
    <xf numFmtId="0" fontId="0" fillId="7" borderId="14" xfId="0" applyFill="1" applyBorder="1" applyProtection="1">
      <protection locked="0"/>
    </xf>
    <xf numFmtId="14" fontId="0" fillId="7" borderId="9" xfId="0" applyNumberFormat="1" applyFill="1" applyBorder="1" applyAlignment="1" applyProtection="1">
      <alignment horizontal="center" vertical="center"/>
      <protection locked="0"/>
    </xf>
    <xf numFmtId="0" fontId="11" fillId="15" borderId="8" xfId="0" applyFont="1" applyFill="1" applyBorder="1" applyAlignment="1" applyProtection="1">
      <alignment horizontal="center" vertical="center" wrapText="1"/>
      <protection locked="0"/>
    </xf>
    <xf numFmtId="0" fontId="0" fillId="15" borderId="32" xfId="0" applyFill="1" applyBorder="1" applyAlignment="1" applyProtection="1">
      <alignment horizontal="center" vertical="center"/>
      <protection locked="0"/>
    </xf>
    <xf numFmtId="0" fontId="0" fillId="10" borderId="35" xfId="0" applyFill="1" applyBorder="1" applyAlignment="1" applyProtection="1">
      <alignment horizontal="center" vertical="center" wrapText="1"/>
      <protection locked="0"/>
    </xf>
    <xf numFmtId="0" fontId="0" fillId="15" borderId="4" xfId="0" applyFill="1" applyBorder="1" applyAlignment="1" applyProtection="1">
      <alignment horizontal="center" vertical="center"/>
      <protection locked="0"/>
    </xf>
    <xf numFmtId="0" fontId="0" fillId="10" borderId="14" xfId="0" applyFill="1" applyBorder="1" applyAlignment="1" applyProtection="1">
      <alignment horizontal="center" vertical="center" wrapText="1"/>
      <protection locked="0"/>
    </xf>
    <xf numFmtId="2" fontId="0" fillId="15" borderId="4" xfId="0" applyNumberFormat="1" applyFill="1" applyBorder="1" applyAlignment="1" applyProtection="1">
      <alignment horizontal="center" vertical="center"/>
      <protection locked="0"/>
    </xf>
    <xf numFmtId="2" fontId="0" fillId="10" borderId="14" xfId="0" applyNumberFormat="1" applyFill="1" applyBorder="1" applyAlignment="1" applyProtection="1">
      <alignment horizontal="center" vertical="center" wrapText="1"/>
      <protection locked="0"/>
    </xf>
    <xf numFmtId="0" fontId="0" fillId="15" borderId="16" xfId="0" applyFill="1" applyBorder="1" applyProtection="1">
      <protection locked="0"/>
    </xf>
    <xf numFmtId="0" fontId="0" fillId="10" borderId="15" xfId="0" applyFill="1" applyBorder="1" applyAlignment="1" applyProtection="1">
      <alignment wrapText="1"/>
      <protection locked="0"/>
    </xf>
    <xf numFmtId="0" fontId="0" fillId="8" borderId="0" xfId="0" applyFill="1" applyAlignment="1" applyProtection="1">
      <alignment horizontal="center" vertical="center"/>
      <protection locked="0"/>
    </xf>
    <xf numFmtId="0" fontId="0" fillId="15" borderId="16" xfId="0" applyFill="1" applyBorder="1" applyAlignment="1" applyProtection="1">
      <alignment horizontal="center" vertical="center"/>
      <protection locked="0"/>
    </xf>
    <xf numFmtId="0" fontId="0" fillId="8" borderId="15" xfId="0" applyFill="1" applyBorder="1" applyAlignment="1" applyProtection="1">
      <alignment horizontal="center" vertical="center" wrapText="1"/>
      <protection locked="0"/>
    </xf>
    <xf numFmtId="14" fontId="0" fillId="15" borderId="32" xfId="0" applyNumberFormat="1" applyFill="1" applyBorder="1" applyAlignment="1" applyProtection="1">
      <alignment horizontal="center" vertical="center"/>
      <protection locked="0"/>
    </xf>
    <xf numFmtId="14" fontId="0" fillId="7" borderId="35" xfId="0" applyNumberFormat="1" applyFill="1" applyBorder="1" applyAlignment="1" applyProtection="1">
      <alignment horizontal="center" vertical="center" wrapText="1"/>
      <protection locked="0"/>
    </xf>
    <xf numFmtId="14" fontId="0" fillId="7" borderId="14" xfId="0" applyNumberFormat="1" applyFill="1" applyBorder="1" applyAlignment="1" applyProtection="1">
      <alignment horizontal="center" vertical="center" wrapText="1"/>
      <protection locked="0"/>
    </xf>
    <xf numFmtId="0" fontId="0" fillId="7" borderId="36" xfId="0" applyFill="1" applyBorder="1" applyAlignment="1" applyProtection="1">
      <alignment horizontal="center" vertical="center"/>
      <protection locked="0"/>
    </xf>
    <xf numFmtId="0" fontId="0" fillId="15" borderId="0" xfId="0" applyFill="1" applyAlignment="1" applyProtection="1">
      <alignment horizontal="center" vertical="center"/>
      <protection locked="0"/>
    </xf>
    <xf numFmtId="0" fontId="0" fillId="15" borderId="4" xfId="0" applyFill="1" applyBorder="1" applyProtection="1">
      <protection locked="0"/>
    </xf>
    <xf numFmtId="0" fontId="0" fillId="15" borderId="35" xfId="0" applyFill="1" applyBorder="1" applyProtection="1">
      <protection locked="0"/>
    </xf>
    <xf numFmtId="0" fontId="0" fillId="7" borderId="35" xfId="0" applyFill="1" applyBorder="1" applyAlignment="1" applyProtection="1">
      <alignment wrapText="1"/>
      <protection locked="0"/>
    </xf>
    <xf numFmtId="0" fontId="0" fillId="15" borderId="4" xfId="0" applyFill="1" applyBorder="1" applyAlignment="1" applyProtection="1">
      <alignment horizontal="center" vertical="center" wrapText="1"/>
      <protection locked="0"/>
    </xf>
    <xf numFmtId="0" fontId="18" fillId="14" borderId="4" xfId="0" applyFont="1" applyFill="1" applyBorder="1" applyAlignment="1">
      <alignment wrapText="1"/>
    </xf>
    <xf numFmtId="0" fontId="0" fillId="15" borderId="0" xfId="0" applyFill="1" applyAlignment="1" applyProtection="1">
      <alignment horizontal="center" vertical="center" wrapText="1"/>
      <protection locked="0"/>
    </xf>
    <xf numFmtId="0" fontId="0" fillId="7" borderId="9" xfId="0" applyFill="1" applyBorder="1" applyAlignment="1" applyProtection="1">
      <alignment horizontal="center" vertical="center"/>
      <protection locked="0"/>
    </xf>
    <xf numFmtId="0" fontId="0" fillId="7" borderId="9" xfId="0" applyFill="1" applyBorder="1" applyProtection="1">
      <protection locked="0"/>
    </xf>
    <xf numFmtId="2" fontId="0" fillId="7" borderId="9" xfId="0" applyNumberFormat="1" applyFill="1" applyBorder="1" applyAlignment="1" applyProtection="1">
      <alignment horizontal="center" vertical="center"/>
      <protection locked="0"/>
    </xf>
    <xf numFmtId="0" fontId="18" fillId="14" borderId="9" xfId="0" applyFont="1" applyFill="1" applyBorder="1" applyAlignment="1">
      <alignment wrapText="1"/>
    </xf>
    <xf numFmtId="0" fontId="0" fillId="7" borderId="0" xfId="0" applyFill="1" applyAlignment="1" applyProtection="1">
      <alignment horizontal="center" vertical="center"/>
      <protection locked="0"/>
    </xf>
    <xf numFmtId="49" fontId="2" fillId="6" borderId="1" xfId="0" applyNumberFormat="1" applyFont="1" applyFill="1" applyBorder="1" applyAlignment="1" applyProtection="1">
      <alignment horizontal="center" vertical="center" wrapText="1"/>
      <protection locked="0"/>
    </xf>
    <xf numFmtId="0" fontId="0" fillId="7" borderId="16" xfId="0" applyFill="1" applyBorder="1" applyAlignment="1" applyProtection="1">
      <alignment horizontal="center" vertical="center" wrapText="1"/>
      <protection locked="0"/>
    </xf>
    <xf numFmtId="0" fontId="10" fillId="7" borderId="16" xfId="0" applyFont="1" applyFill="1" applyBorder="1" applyAlignment="1" applyProtection="1">
      <alignment horizontal="center" vertical="center"/>
      <protection locked="0"/>
    </xf>
    <xf numFmtId="0" fontId="10" fillId="7" borderId="31" xfId="0" applyFont="1" applyFill="1" applyBorder="1" applyAlignment="1" applyProtection="1">
      <alignment horizontal="center" vertical="center"/>
      <protection locked="0"/>
    </xf>
    <xf numFmtId="0" fontId="0" fillId="7" borderId="15" xfId="0" applyFill="1" applyBorder="1" applyAlignment="1" applyProtection="1">
      <alignment horizontal="center" vertical="center"/>
      <protection locked="0"/>
    </xf>
    <xf numFmtId="0" fontId="0" fillId="16" borderId="35" xfId="0" applyFill="1" applyBorder="1" applyAlignment="1" applyProtection="1">
      <alignment horizontal="center" vertical="center"/>
      <protection locked="0"/>
    </xf>
    <xf numFmtId="0" fontId="0" fillId="16" borderId="14" xfId="0" applyFill="1" applyBorder="1" applyAlignment="1" applyProtection="1">
      <alignment horizontal="center" vertical="center"/>
      <protection locked="0"/>
    </xf>
    <xf numFmtId="2" fontId="0" fillId="16" borderId="14" xfId="0" applyNumberFormat="1" applyFill="1" applyBorder="1" applyAlignment="1" applyProtection="1">
      <alignment horizontal="center" vertical="center"/>
      <protection locked="0"/>
    </xf>
    <xf numFmtId="0" fontId="0" fillId="16" borderId="15" xfId="0" applyFill="1" applyBorder="1" applyProtection="1">
      <protection locked="0"/>
    </xf>
    <xf numFmtId="0" fontId="0" fillId="16" borderId="15" xfId="0" applyFill="1" applyBorder="1" applyAlignment="1" applyProtection="1">
      <alignment horizontal="center" vertical="center"/>
      <protection locked="0"/>
    </xf>
    <xf numFmtId="14" fontId="0" fillId="16" borderId="35" xfId="0" applyNumberFormat="1" applyFill="1" applyBorder="1" applyAlignment="1" applyProtection="1">
      <alignment horizontal="center" vertical="center"/>
      <protection locked="0"/>
    </xf>
    <xf numFmtId="14" fontId="0" fillId="16" borderId="14" xfId="0" applyNumberFormat="1" applyFill="1" applyBorder="1" applyAlignment="1" applyProtection="1">
      <alignment horizontal="center" vertical="center"/>
      <protection locked="0"/>
    </xf>
    <xf numFmtId="0" fontId="0" fillId="16" borderId="36" xfId="0" applyFill="1" applyBorder="1" applyAlignment="1" applyProtection="1">
      <alignment horizontal="center" vertical="center"/>
      <protection locked="0"/>
    </xf>
    <xf numFmtId="0" fontId="0" fillId="16" borderId="14" xfId="0" applyFill="1" applyBorder="1" applyProtection="1">
      <protection locked="0"/>
    </xf>
    <xf numFmtId="0" fontId="0" fillId="16" borderId="14" xfId="0" applyFill="1" applyBorder="1" applyAlignment="1" applyProtection="1">
      <alignment horizontal="center" vertical="center" wrapText="1"/>
      <protection locked="0"/>
    </xf>
    <xf numFmtId="0" fontId="0" fillId="16" borderId="38" xfId="0" applyFill="1" applyBorder="1" applyAlignment="1" applyProtection="1">
      <alignment horizontal="center" vertical="center" wrapText="1"/>
      <protection locked="0"/>
    </xf>
    <xf numFmtId="0" fontId="0" fillId="16" borderId="39" xfId="0" applyFill="1" applyBorder="1" applyAlignment="1" applyProtection="1">
      <alignment horizontal="center" vertical="center"/>
      <protection locked="0"/>
    </xf>
    <xf numFmtId="0" fontId="10" fillId="16" borderId="0" xfId="0" applyFont="1" applyFill="1" applyAlignment="1">
      <alignment horizontal="center" vertical="center"/>
    </xf>
    <xf numFmtId="0" fontId="0" fillId="16" borderId="0" xfId="0" applyFill="1" applyAlignment="1">
      <alignment horizontal="center" vertical="center"/>
    </xf>
    <xf numFmtId="2" fontId="0" fillId="16" borderId="0" xfId="0" applyNumberFormat="1" applyFill="1" applyAlignment="1">
      <alignment horizontal="center" vertical="center"/>
    </xf>
    <xf numFmtId="2" fontId="10" fillId="16" borderId="0" xfId="0" applyNumberFormat="1" applyFont="1" applyFill="1" applyAlignment="1">
      <alignment horizontal="center" vertical="center"/>
    </xf>
    <xf numFmtId="1" fontId="10" fillId="16" borderId="10" xfId="0" applyNumberFormat="1" applyFont="1" applyFill="1" applyBorder="1" applyAlignment="1">
      <alignment horizontal="center" vertical="center" wrapText="1"/>
    </xf>
    <xf numFmtId="0" fontId="0" fillId="7" borderId="37" xfId="0" applyFill="1" applyBorder="1" applyAlignment="1" applyProtection="1">
      <alignment horizontal="center" vertical="center" wrapText="1"/>
      <protection locked="0"/>
    </xf>
    <xf numFmtId="0" fontId="10" fillId="7" borderId="40" xfId="0" applyFont="1" applyFill="1" applyBorder="1" applyAlignment="1" applyProtection="1">
      <alignment horizontal="center" vertical="center"/>
      <protection locked="0"/>
    </xf>
    <xf numFmtId="0" fontId="0" fillId="7" borderId="15" xfId="0" applyFill="1" applyBorder="1" applyAlignment="1" applyProtection="1">
      <alignment horizontal="center" vertical="center" wrapText="1"/>
      <protection locked="0"/>
    </xf>
    <xf numFmtId="0" fontId="10" fillId="7" borderId="15" xfId="0" applyFont="1" applyFill="1" applyBorder="1" applyAlignment="1" applyProtection="1">
      <alignment horizontal="center" vertical="center"/>
      <protection locked="0"/>
    </xf>
    <xf numFmtId="0" fontId="10" fillId="7" borderId="15" xfId="0" applyFont="1" applyFill="1" applyBorder="1" applyAlignment="1" applyProtection="1">
      <alignment horizontal="center" vertical="center" wrapText="1"/>
      <protection locked="0"/>
    </xf>
    <xf numFmtId="0" fontId="0" fillId="15" borderId="41" xfId="0" applyFill="1" applyBorder="1" applyAlignment="1" applyProtection="1">
      <alignment horizontal="center" vertical="center" wrapText="1"/>
      <protection locked="0"/>
    </xf>
    <xf numFmtId="0" fontId="1" fillId="2" borderId="12" xfId="0" applyFont="1" applyFill="1" applyBorder="1" applyAlignment="1">
      <alignment horizontal="center" vertical="center" wrapText="1"/>
    </xf>
    <xf numFmtId="0" fontId="1" fillId="2" borderId="11" xfId="0" applyFont="1" applyFill="1" applyBorder="1" applyAlignment="1">
      <alignment horizontal="center" vertical="center" wrapText="1"/>
    </xf>
    <xf numFmtId="0" fontId="2" fillId="2" borderId="25" xfId="0" applyFont="1" applyFill="1" applyBorder="1" applyAlignment="1">
      <alignment horizontal="center" vertical="center" wrapText="1"/>
    </xf>
    <xf numFmtId="0" fontId="2" fillId="2" borderId="26" xfId="0" applyFont="1" applyFill="1" applyBorder="1" applyAlignment="1">
      <alignment horizontal="center" vertical="center" wrapText="1"/>
    </xf>
    <xf numFmtId="0" fontId="2" fillId="2" borderId="27" xfId="0" applyFont="1" applyFill="1" applyBorder="1" applyAlignment="1">
      <alignment horizontal="center" vertical="center" wrapText="1"/>
    </xf>
    <xf numFmtId="0" fontId="9" fillId="2" borderId="17" xfId="0" applyFont="1" applyFill="1" applyBorder="1" applyAlignment="1">
      <alignment horizontal="center" vertical="center"/>
    </xf>
    <xf numFmtId="0" fontId="9" fillId="2" borderId="20" xfId="0" applyFont="1" applyFill="1" applyBorder="1" applyAlignment="1">
      <alignment horizontal="center" vertical="center"/>
    </xf>
    <xf numFmtId="0" fontId="9" fillId="2" borderId="19" xfId="0" applyFont="1" applyFill="1" applyBorder="1" applyAlignment="1">
      <alignment horizontal="center" vertical="center"/>
    </xf>
    <xf numFmtId="0" fontId="9" fillId="2" borderId="21" xfId="0" applyFont="1" applyFill="1" applyBorder="1" applyAlignment="1">
      <alignment horizontal="center" vertical="center"/>
    </xf>
    <xf numFmtId="0" fontId="2" fillId="2" borderId="28" xfId="0" applyFont="1" applyFill="1" applyBorder="1" applyAlignment="1">
      <alignment horizontal="center" vertical="center" wrapText="1"/>
    </xf>
    <xf numFmtId="0" fontId="2" fillId="2" borderId="29" xfId="0" applyFont="1" applyFill="1" applyBorder="1" applyAlignment="1">
      <alignment horizontal="center" vertical="center" wrapText="1"/>
    </xf>
    <xf numFmtId="0" fontId="2" fillId="2" borderId="30" xfId="0" applyFont="1" applyFill="1" applyBorder="1" applyAlignment="1">
      <alignment horizontal="center" vertical="center" wrapText="1"/>
    </xf>
    <xf numFmtId="0" fontId="16" fillId="2" borderId="5" xfId="0" applyFont="1" applyFill="1" applyBorder="1" applyAlignment="1">
      <alignment horizontal="center" vertical="center"/>
    </xf>
    <xf numFmtId="0" fontId="16" fillId="2" borderId="6" xfId="0" applyFont="1" applyFill="1" applyBorder="1" applyAlignment="1">
      <alignment horizontal="center" vertical="center"/>
    </xf>
    <xf numFmtId="0" fontId="16" fillId="2" borderId="7" xfId="0" applyFont="1" applyFill="1" applyBorder="1" applyAlignment="1">
      <alignment horizontal="center" vertical="center"/>
    </xf>
    <xf numFmtId="0" fontId="6" fillId="0" borderId="5" xfId="0" applyFont="1" applyBorder="1" applyAlignment="1">
      <alignment horizontal="left" vertical="top" wrapText="1"/>
    </xf>
    <xf numFmtId="0" fontId="6" fillId="0" borderId="6" xfId="0" applyFont="1" applyBorder="1" applyAlignment="1">
      <alignment horizontal="left" vertical="top" wrapText="1"/>
    </xf>
    <xf numFmtId="0" fontId="6" fillId="0" borderId="7" xfId="0" applyFont="1" applyBorder="1" applyAlignment="1">
      <alignment horizontal="left" vertical="top" wrapText="1"/>
    </xf>
  </cellXfs>
  <cellStyles count="2">
    <cellStyle name="Normal" xfId="0" builtinId="0"/>
    <cellStyle name="Per cent" xfId="1" builtinId="5"/>
  </cellStyles>
  <dxfs count="59">
    <dxf>
      <fill>
        <patternFill>
          <bgColor rgb="FFFF0000"/>
        </patternFill>
      </fill>
    </dxf>
    <dxf>
      <fill>
        <patternFill>
          <bgColor theme="2" tint="-9.9948118533890809E-2"/>
        </patternFill>
      </fill>
    </dxf>
    <dxf>
      <fill>
        <patternFill>
          <bgColor theme="2" tint="-9.9948118533890809E-2"/>
        </patternFill>
      </fill>
    </dxf>
    <dxf>
      <fill>
        <patternFill>
          <bgColor theme="2" tint="-9.9948118533890809E-2"/>
        </patternFill>
      </fill>
    </dxf>
    <dxf>
      <fill>
        <patternFill>
          <bgColor theme="2" tint="-9.9948118533890809E-2"/>
        </patternFill>
      </fill>
    </dxf>
    <dxf>
      <font>
        <color auto="1"/>
      </font>
      <fill>
        <patternFill patternType="lightUp">
          <fgColor theme="9" tint="0.79998168889431442"/>
          <bgColor rgb="FFEFF6EA"/>
        </patternFill>
      </fill>
    </dxf>
    <dxf>
      <fill>
        <patternFill>
          <bgColor theme="2" tint="-9.9948118533890809E-2"/>
        </patternFill>
      </fill>
    </dxf>
    <dxf>
      <font>
        <color auto="1"/>
      </font>
      <fill>
        <patternFill patternType="lightUp">
          <fgColor theme="9" tint="0.79998168889431442"/>
          <bgColor rgb="FFEFF6EA"/>
        </patternFill>
      </fill>
    </dxf>
    <dxf>
      <fill>
        <patternFill>
          <bgColor theme="2" tint="-9.9948118533890809E-2"/>
        </patternFill>
      </fill>
    </dxf>
    <dxf>
      <font>
        <color auto="1"/>
      </font>
      <fill>
        <patternFill patternType="lightUp">
          <fgColor theme="9" tint="0.79998168889431442"/>
          <bgColor rgb="FFEFF6EA"/>
        </patternFill>
      </fill>
    </dxf>
    <dxf>
      <fill>
        <patternFill>
          <bgColor theme="2" tint="-9.9948118533890809E-2"/>
        </patternFill>
      </fill>
    </dxf>
    <dxf>
      <font>
        <color auto="1"/>
      </font>
      <fill>
        <patternFill patternType="lightUp">
          <fgColor theme="9" tint="0.79998168889431442"/>
          <bgColor rgb="FFEFF6EA"/>
        </patternFill>
      </fill>
    </dxf>
    <dxf>
      <fill>
        <patternFill>
          <bgColor rgb="FFFF0000"/>
        </patternFill>
      </fill>
    </dxf>
    <dxf>
      <fill>
        <patternFill>
          <bgColor theme="2" tint="-9.9948118533890809E-2"/>
        </patternFill>
      </fill>
    </dxf>
    <dxf>
      <font>
        <color auto="1"/>
      </font>
      <fill>
        <patternFill patternType="lightUp">
          <fgColor theme="9" tint="0.79998168889431442"/>
          <bgColor rgb="FFEFF6EA"/>
        </patternFill>
      </fill>
    </dxf>
    <dxf>
      <fill>
        <patternFill>
          <bgColor rgb="FFFF0000"/>
        </patternFill>
      </fill>
    </dxf>
    <dxf>
      <fill>
        <patternFill>
          <bgColor theme="2" tint="-9.9948118533890809E-2"/>
        </patternFill>
      </fill>
    </dxf>
    <dxf>
      <font>
        <color auto="1"/>
      </font>
      <fill>
        <patternFill patternType="lightUp">
          <fgColor theme="9" tint="0.79998168889431442"/>
          <bgColor rgb="FFEFF6EA"/>
        </patternFill>
      </fill>
    </dxf>
    <dxf>
      <numFmt numFmtId="13" formatCode="0%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numFmt numFmtId="13" formatCode="0%"/>
    </dxf>
    <dxf>
      <numFmt numFmtId="13" formatCode="0%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numFmt numFmtId="0" formatCode="General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numFmt numFmtId="0" formatCode="General"/>
    </dxf>
    <dxf>
      <numFmt numFmtId="19" formatCode="dd/mm/yyyy"/>
    </dxf>
    <dxf>
      <numFmt numFmtId="19" formatCode="dd/mm/yyyy"/>
    </dxf>
    <dxf>
      <numFmt numFmtId="0" formatCode="General"/>
    </dxf>
    <dxf>
      <numFmt numFmtId="0" formatCode="General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alignment horizontal="general" vertical="bottom" textRotation="0" wrapText="1" indent="0" justifyLastLine="0" shrinkToFit="0" readingOrder="0"/>
    </dxf>
    <dxf>
      <font>
        <i val="0"/>
        <strike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numFmt numFmtId="1" formatCode="0"/>
      <fill>
        <patternFill patternType="solid">
          <fgColor indexed="64"/>
          <bgColor theme="2" tint="-9.9978637043366805E-2"/>
        </patternFill>
      </fill>
      <alignment horizontal="center" vertical="center" textRotation="0" wrapText="1" indent="0" justifyLastLine="0" shrinkToFit="0" readingOrder="0"/>
      <border diagonalUp="0" diagonalDown="0">
        <left/>
        <right style="medium">
          <color indexed="64"/>
        </right>
        <top/>
        <bottom/>
        <vertical/>
        <horizontal/>
      </border>
      <protection locked="1" hidden="0"/>
    </dxf>
    <dxf>
      <font>
        <i val="0"/>
        <strike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numFmt numFmtId="2" formatCode="0.00"/>
      <fill>
        <patternFill patternType="solid">
          <fgColor indexed="64"/>
          <bgColor theme="2" tint="-9.9978637043366805E-2"/>
        </patternFill>
      </fill>
      <alignment horizontal="center" vertical="center" textRotation="0" indent="0" justifyLastLine="0" shrinkToFit="0" readingOrder="0"/>
      <protection locked="1" hidden="0"/>
    </dxf>
    <dxf>
      <font>
        <i val="0"/>
        <strike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numFmt numFmtId="2" formatCode="0.00"/>
      <fill>
        <patternFill patternType="solid">
          <fgColor indexed="64"/>
          <bgColor theme="2" tint="-9.9978637043366805E-2"/>
        </patternFill>
      </fill>
      <alignment horizontal="center" vertical="center" textRotation="0" indent="0" justifyLastLine="0" shrinkToFit="0" readingOrder="0"/>
      <protection locked="1" hidden="0"/>
    </dxf>
    <dxf>
      <numFmt numFmtId="2" formatCode="0.00"/>
      <fill>
        <patternFill patternType="solid">
          <fgColor indexed="64"/>
          <bgColor theme="2" tint="-9.9978637043366805E-2"/>
        </patternFill>
      </fill>
      <alignment horizontal="center" vertical="center" textRotation="0" wrapText="0" indent="0" justifyLastLine="0" shrinkToFit="0" readingOrder="0"/>
    </dxf>
    <dxf>
      <numFmt numFmtId="2" formatCode="0.00"/>
      <fill>
        <patternFill patternType="solid">
          <fgColor indexed="64"/>
          <bgColor theme="2" tint="-9.9978637043366805E-2"/>
        </patternFill>
      </fill>
      <alignment horizontal="center" vertical="center" textRotation="0" wrapText="0" indent="0" justifyLastLine="0" shrinkToFit="0" readingOrder="0"/>
    </dxf>
    <dxf>
      <numFmt numFmtId="0" formatCode="General"/>
      <fill>
        <patternFill patternType="solid">
          <fgColor indexed="64"/>
          <bgColor theme="2" tint="-9.9978637043366805E-2"/>
        </patternFill>
      </fill>
      <alignment horizontal="center" vertical="center" textRotation="0" indent="0" justifyLastLine="0" shrinkToFit="0" readingOrder="0"/>
      <protection locked="1" hidden="0"/>
    </dxf>
    <dxf>
      <font>
        <strike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numFmt numFmtId="0" formatCode="General"/>
      <fill>
        <patternFill patternType="solid">
          <fgColor indexed="64"/>
          <bgColor theme="2" tint="-9.9978637043366805E-2"/>
        </patternFill>
      </fill>
      <alignment horizontal="center" vertical="center" textRotation="0" indent="0" justifyLastLine="0" shrinkToFit="0" readingOrder="0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fill>
        <patternFill patternType="solid">
          <fgColor indexed="64"/>
          <bgColor theme="5" tint="0.79998168889431442"/>
        </patternFill>
      </fill>
      <alignment horizontal="center" vertical="center" textRotation="0" wrapText="0" indent="0" justifyLastLine="0" shrinkToFit="0" readingOrder="0"/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  <protection locked="0" hidden="0"/>
    </dxf>
    <dxf>
      <fill>
        <patternFill patternType="solid">
          <fgColor indexed="64"/>
          <bgColor theme="5" tint="0.79998168889431442"/>
        </patternFill>
      </fill>
      <alignment horizontal="center" vertical="center" textRotation="0" indent="0" justifyLastLine="0" shrinkToFit="0" readingOrder="0"/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</border>
      <protection locked="0" hidden="0"/>
    </dxf>
    <dxf>
      <fill>
        <patternFill patternType="solid">
          <fgColor indexed="64"/>
          <bgColor theme="5" tint="0.79998168889431442"/>
        </patternFill>
      </fill>
      <alignment horizontal="center" vertical="center" textRotation="0" wrapText="0" indent="0" justifyLastLine="0" shrinkToFit="0" readingOrder="0"/>
      <border diagonalUp="0" diagonalDown="0">
        <left/>
        <right/>
        <top style="thin">
          <color auto="1"/>
        </top>
        <bottom style="thin">
          <color auto="1"/>
        </bottom>
      </border>
      <protection locked="0" hidden="0"/>
    </dxf>
    <dxf>
      <numFmt numFmtId="2" formatCode="0.00"/>
      <fill>
        <patternFill patternType="solid">
          <fgColor indexed="64"/>
          <bgColor theme="5" tint="0.79998168889431442"/>
        </patternFill>
      </fill>
      <alignment horizontal="center" vertical="center" textRotation="0" wrapText="0" indent="0" justifyLastLine="0" shrinkToFit="0" readingOrder="0"/>
      <border diagonalUp="0" diagonalDown="0">
        <left/>
        <right/>
        <top style="thin">
          <color indexed="64"/>
        </top>
        <bottom style="thin">
          <color indexed="64"/>
        </bottom>
        <vertical/>
        <horizontal/>
      </border>
      <protection locked="0" hidden="0"/>
    </dxf>
    <dxf>
      <numFmt numFmtId="2" formatCode="0.00"/>
      <fill>
        <patternFill patternType="solid">
          <fgColor indexed="64"/>
          <bgColor theme="5" tint="0.79998168889431442"/>
        </patternFill>
      </fill>
      <alignment horizontal="center" vertical="center" textRotation="0" wrapText="0" indent="0" justifyLastLine="0" shrinkToFit="0" readingOrder="0"/>
      <border diagonalUp="0" diagonalDown="0">
        <left/>
        <right/>
        <top style="thin">
          <color indexed="64"/>
        </top>
        <bottom style="thin">
          <color indexed="64"/>
        </bottom>
        <vertical/>
        <horizontal/>
      </border>
      <protection locked="0" hidden="0"/>
    </dxf>
    <dxf>
      <fill>
        <patternFill patternType="solid">
          <fgColor indexed="64"/>
          <bgColor theme="5" tint="0.79998168889431442"/>
        </patternFill>
      </fill>
      <border diagonalUp="0" diagonalDown="0">
        <left style="thin">
          <color indexed="64"/>
        </left>
        <right/>
        <top style="thin">
          <color auto="1"/>
        </top>
        <bottom style="thin">
          <color auto="1"/>
        </bottom>
      </border>
      <protection locked="0" hidden="0"/>
    </dxf>
    <dxf>
      <fill>
        <patternFill patternType="solid">
          <fgColor indexed="64"/>
          <bgColor theme="5" tint="0.79998168889431442"/>
        </patternFill>
      </fill>
      <alignment horizontal="center" vertical="center" textRotation="0" wrapText="0" indent="0" justifyLastLine="0" shrinkToFit="0" readingOrder="0"/>
      <border diagonalUp="0" diagonalDown="0">
        <left/>
        <right/>
        <top style="thin">
          <color indexed="64"/>
        </top>
        <bottom style="thin">
          <color indexed="64"/>
        </bottom>
        <vertical/>
        <horizontal/>
      </border>
      <protection locked="0" hidden="0"/>
    </dxf>
    <dxf>
      <fill>
        <patternFill patternType="solid">
          <fgColor indexed="64"/>
          <bgColor theme="5" tint="0.79998168889431442"/>
        </patternFill>
      </fill>
      <alignment horizontal="center" vertical="center" textRotation="0" wrapText="0" indent="0" justifyLastLine="0" shrinkToFit="0" readingOrder="0"/>
      <border diagonalUp="0" diagonalDown="0">
        <left/>
        <right/>
        <top style="thin">
          <color auto="1"/>
        </top>
        <bottom style="thin">
          <color auto="1"/>
        </bottom>
      </border>
      <protection locked="0" hidden="0"/>
    </dxf>
    <dxf>
      <fill>
        <patternFill patternType="solid">
          <fgColor indexed="64"/>
          <bgColor theme="5" tint="0.79998168889431442"/>
        </patternFill>
      </fill>
      <alignment horizontal="center" vertical="center" textRotation="0" indent="0" justifyLastLine="0" shrinkToFit="0" readingOrder="0"/>
      <border diagonalUp="0" diagonalDown="0">
        <left/>
        <right/>
        <top style="thin">
          <color auto="1"/>
        </top>
        <bottom style="thin">
          <color auto="1"/>
        </bottom>
      </border>
      <protection locked="0" hidden="0"/>
    </dxf>
    <dxf>
      <fill>
        <patternFill patternType="solid">
          <fgColor indexed="64"/>
          <bgColor theme="5" tint="0.79998168889431442"/>
        </patternFill>
      </fill>
      <alignment horizontal="center" vertical="center" textRotation="0" indent="0" justifyLastLine="0" shrinkToFit="0" readingOrder="0"/>
      <border diagonalUp="0" diagonalDown="0">
        <left/>
        <right/>
        <top style="thin">
          <color auto="1"/>
        </top>
        <bottom style="thin">
          <color auto="1"/>
        </bottom>
      </border>
      <protection locked="0" hidden="0"/>
    </dxf>
    <dxf>
      <numFmt numFmtId="19" formatCode="dd/mm/yyyy"/>
      <fill>
        <patternFill patternType="solid">
          <fgColor indexed="64"/>
          <bgColor theme="5" tint="0.79998168889431442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/>
        <top style="thin">
          <color auto="1"/>
        </top>
        <bottom style="thin">
          <color auto="1"/>
        </bottom>
      </border>
      <protection locked="0" hidden="0"/>
    </dxf>
    <dxf>
      <fill>
        <patternFill patternType="solid">
          <fgColor indexed="64"/>
          <bgColor theme="7" tint="0.79998168889431442"/>
        </patternFill>
      </fill>
      <alignment horizontal="center" vertical="center" textRotation="0" wrapText="0" indent="0" justifyLastLine="0" shrinkToFit="0" readingOrder="0"/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  <vertical/>
      </border>
      <protection locked="0" hidden="0"/>
    </dxf>
    <dxf>
      <fill>
        <patternFill patternType="solid">
          <fgColor indexed="64"/>
          <bgColor theme="7" tint="0.79998168889431442"/>
        </patternFill>
      </fill>
      <alignment horizontal="center" vertical="center" textRotation="0" wrapText="0" indent="0" justifyLastLine="0" shrinkToFit="0" readingOrder="0"/>
      <border diagonalUp="0" diagonalDown="0">
        <left/>
        <right/>
        <top style="thin">
          <color indexed="64"/>
        </top>
        <bottom/>
        <vertical/>
        <horizontal/>
      </border>
      <protection locked="0" hidden="0"/>
    </dxf>
    <dxf>
      <fill>
        <patternFill patternType="solid">
          <fgColor indexed="64"/>
          <bgColor theme="7" tint="0.79998168889431442"/>
        </patternFill>
      </fill>
      <alignment horizontal="center" vertical="center" textRotation="0" wrapText="0" indent="0" justifyLastLine="0" shrinkToFit="0" readingOrder="0"/>
      <border diagonalUp="0" diagonalDown="0">
        <left/>
        <right/>
        <top style="thin">
          <color auto="1"/>
        </top>
        <bottom style="thin">
          <color auto="1"/>
        </bottom>
        <vertical/>
      </border>
      <protection locked="0" hidden="0"/>
    </dxf>
    <dxf>
      <fill>
        <patternFill patternType="solid">
          <fgColor indexed="64"/>
          <bgColor theme="0"/>
        </patternFill>
      </fill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  <vertical/>
      </border>
      <protection locked="0" hidden="0"/>
    </dxf>
    <dxf>
      <numFmt numFmtId="2" formatCode="0.00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>
        <left/>
        <right/>
        <top style="thin">
          <color auto="1"/>
        </top>
        <bottom style="thin">
          <color auto="1"/>
        </bottom>
        <vertical/>
      </border>
      <protection locked="0" hidden="0"/>
    </dxf>
    <dxf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>
        <left/>
        <right/>
        <top style="thin">
          <color auto="1"/>
        </top>
        <bottom style="thin">
          <color auto="1"/>
        </bottom>
        <vertical/>
      </border>
      <protection locked="0" hidden="0"/>
    </dxf>
    <dxf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>
        <left/>
        <right/>
        <top style="thin">
          <color auto="1"/>
        </top>
        <bottom style="thin">
          <color auto="1"/>
        </bottom>
        <vertical/>
      </border>
      <protection locked="0" hidden="0"/>
    </dxf>
    <dxf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/>
        <top style="thin">
          <color auto="1"/>
        </top>
        <bottom style="thin">
          <color auto="1"/>
        </bottom>
        <vertical/>
      </border>
      <protection locked="0" hidden="0"/>
    </dxf>
    <dxf>
      <font>
        <b/>
        <strike val="0"/>
        <outline val="0"/>
        <shadow val="0"/>
        <u val="none"/>
        <vertAlign val="baseline"/>
        <sz val="14"/>
        <color theme="0"/>
        <name val="Calibri"/>
        <family val="2"/>
        <scheme val="minor"/>
      </font>
      <fill>
        <patternFill patternType="solid">
          <fgColor indexed="64"/>
          <bgColor theme="4" tint="-0.249977111117893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auto="1"/>
        </top>
        <bottom style="thin">
          <color auto="1"/>
        </bottom>
        <vertical/>
      </border>
      <protection locked="0" hidden="0"/>
    </dxf>
    <dxf>
      <border diagonalUp="0" diagonalDown="0">
        <left/>
        <right/>
        <top style="medium">
          <color rgb="FF000000"/>
        </top>
        <bottom style="thin">
          <color rgb="FF000000"/>
        </bottom>
      </border>
    </dxf>
    <dxf>
      <numFmt numFmtId="30" formatCode="@"/>
      <alignment horizontal="center" vertical="center" textRotation="0" indent="0" justifyLastLine="0" shrinkToFit="0" readingOrder="0"/>
      <protection locked="0" hidden="0"/>
    </dxf>
    <dxf>
      <border outline="0">
        <bottom style="medium">
          <color rgb="FF000000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0"/>
        <name val="Calibri Light"/>
        <family val="2"/>
        <scheme val="major"/>
      </font>
      <numFmt numFmtId="30" formatCode="@"/>
      <fill>
        <patternFill patternType="solid">
          <fgColor indexed="64"/>
          <bgColor theme="4" tint="-0.249977111117893"/>
        </patternFill>
      </fill>
      <alignment horizontal="center" vertical="center" textRotation="0" wrapText="1" indent="0" justifyLastLine="0" shrinkToFit="0" readingOrder="0"/>
      <protection locked="0" hidden="0"/>
    </dxf>
  </dxfs>
  <tableStyles count="0" defaultTableStyle="TableStyleMedium2" defaultPivotStyle="PivotStyleLight16"/>
  <colors>
    <mruColors>
      <color rgb="FFFF9797"/>
      <color rgb="FF009900"/>
      <color rgb="FFFFA7A7"/>
      <color rgb="FFEF8F03"/>
      <color rgb="FF00CC66"/>
      <color rgb="FFFFBDBD"/>
      <color rgb="FFA54C0F"/>
      <color rgb="FFFFEFC1"/>
      <color rgb="FFEFF6EA"/>
      <color rgb="FF00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1.xml"/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11" Type="http://schemas.openxmlformats.org/officeDocument/2006/relationships/customXml" Target="../customXml/item4.xml"/><Relationship Id="rId5" Type="http://schemas.openxmlformats.org/officeDocument/2006/relationships/sharedStrings" Target="sharedStrings.xml"/><Relationship Id="rId10" Type="http://schemas.openxmlformats.org/officeDocument/2006/relationships/customXml" Target="../customXml/item3.xml"/><Relationship Id="rId4" Type="http://schemas.openxmlformats.org/officeDocument/2006/relationships/styles" Target="styles.xml"/><Relationship Id="rId9" Type="http://schemas.openxmlformats.org/officeDocument/2006/relationships/customXml" Target="../customXml/item2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A1561210-EFD8-49C3-AC12-37CAC281F7C6}" name="Table132" displayName="Table132" ref="A5:AA62" totalsRowShown="0" headerRowDxfId="58" dataDxfId="56" headerRowBorderDxfId="57" tableBorderDxfId="55">
  <autoFilter ref="A5:AA62" xr:uid="{A1561210-EFD8-49C3-AC12-37CAC281F7C6}"/>
  <sortState xmlns:xlrd2="http://schemas.microsoft.com/office/spreadsheetml/2017/richdata2" ref="A6:AA62">
    <sortCondition ref="I5:I62"/>
  </sortState>
  <tableColumns count="27">
    <tableColumn id="5" xr3:uid="{19091383-B7A0-4980-801F-459A590B6A47}" name="Project/Activity Name" dataDxfId="54"/>
    <tableColumn id="7" xr3:uid="{524C6F4C-6C32-4315-B4F8-147B69C3A473}" name="Applicant" dataDxfId="53"/>
    <tableColumn id="6" xr3:uid="{4516001B-C60C-4A93-B04E-4C8724BDEFE2}" name="Regulator" dataDxfId="52"/>
    <tableColumn id="13" xr3:uid="{84098DC9-C012-4830-9EBA-E24C823ABE1C}" name="Activity Type" dataDxfId="51"/>
    <tableColumn id="15" xr3:uid="{F1A2A66C-8F7E-4B7C-A0F2-C00F53ABD1A8}" name="Which seasonal area of the SAC does this activity impact?" dataDxfId="50"/>
    <tableColumn id="24" xr3:uid="{13E098DC-8EA4-44CE-91FD-B6964F1A4714}" name="Quad/Block_x000a_(OPRED only)" dataDxfId="49"/>
    <tableColumn id="1" xr3:uid="{BCC530FA-2FCD-48B7-926F-FBA0FE9E9742}" name="Case Reference" dataDxfId="48"/>
    <tableColumn id="26" xr3:uid="{1B24F673-3779-4EDC-AEBC-512F5BA872F2}" name="Wildlife Licence Reference" dataDxfId="47"/>
    <tableColumn id="4" xr3:uid="{6FED5F2E-A0BB-4D2F-A3E8-43F0602DB147}" name="Case Status" dataDxfId="46"/>
    <tableColumn id="3" xr3:uid="{719953C0-599E-4336-9282-24DC92E25E4B}" name="Tracker Last Updated" dataDxfId="45"/>
    <tableColumn id="10" xr3:uid="{F0DD526D-41AF-4446-972B-056EF2850430}" name="Start Date" dataDxfId="44"/>
    <tableColumn id="11" xr3:uid="{C7C648A6-950B-40B9-8901-C77857BB29C1}" name="End Date" dataDxfId="43"/>
    <tableColumn id="12" xr3:uid="{5E1F9FEC-8BB1-4F1C-8AD4-3F9099086993}" name="Duration of Activity Impacting SAC (days)" dataDxfId="42"/>
    <tableColumn id="25" xr3:uid="{12E4BB3B-A0A2-4137-8FC2-9E3059528C21}" name="Area Overlap with SAC (km2)" dataDxfId="41"/>
    <tableColumn id="18" xr3:uid="{059D3D36-A5F6-4AB1-B2C1-5574D606BE69}" name="Magnitude_x000a_(OPRED only)" dataDxfId="40"/>
    <tableColumn id="8" xr3:uid="{4C9E8416-5972-4E0C-BFB5-CD42BB8E014B}" name="Area Overlap with Summer SAC (km2) (NEW)" dataDxfId="39"/>
    <tableColumn id="14" xr3:uid="{1CE12F6D-0930-46A1-916E-4FBC9856E4CB}" name="Area Overlap with Winter SAC (km2) (NEW)" dataDxfId="38"/>
    <tableColumn id="16" xr3:uid="{E75DFDC1-7EC5-4E34-8426-65E01F1803ED}" name="Abatement/Mitigation_x000a_(MMO only)" dataDxfId="37"/>
    <tableColumn id="17" xr3:uid="{3E62ED99-8309-40FF-998C-2A0075BB3AF5}" name="Any Other Comments" dataDxfId="36"/>
    <tableColumn id="9" xr3:uid="{57173FB5-3A32-4E86-84D1-B48CCF7A4A17}" name="Include in assessment?" dataDxfId="35"/>
    <tableColumn id="19" xr3:uid="{0877DD51-1EC8-48CC-99DD-7EE21DCCEF2C}" name="Include in Winter Calendar" dataDxfId="34">
      <calculatedColumnFormula>IF(AND(NOT(OR(Table132[[#This Row],[Case Status]]="Postponed",Table132[[#This Row],[Case Status]]="Cancelled")),NOT(Table132[[#This Row],[Which seasonal area of the SAC does this activity impact?]]="Summer"),OR(OR(MONTH(Table132[[#This Row],[Start Date]])&lt;=3,MONTH(Table132[[#This Row],[Start Date]])&gt;=10),OR(MONTH(Table132[[#This Row],[End Date]])&lt;=3,MONTH(Table132[[#This Row],[End Date]])&gt;=10,(Table132[[#This Row],[End Date]]-Table132[[#This Row],[Start Date]])&gt;=182))),TRUE,FALSE)</calculatedColumnFormula>
    </tableColumn>
    <tableColumn id="20" xr3:uid="{3E832515-DB74-40C1-ABBA-7195ADA03945}" name="Include in Summer Calendar" dataDxfId="33">
      <calculatedColumnFormula>IF(AND(NOT(OR(Table132[[#This Row],[Case Status]]="Postponed",Table132[[#This Row],[Case Status]]="Cancelled")),NOT(Table132[[#This Row],[Which seasonal area of the SAC does this activity impact?]]="Winter"),OR(OR(MONTH(Table132[[#This Row],[Start Date]])&gt;=4,MONTH(Table132[[#This Row],[Start Date]])&lt;=9)),OR(MONTH(Table132[[#This Row],[End Date]])&gt;=4,MONTH(Table132[[#This Row],[End Date]])&lt;=9,(Table132[[#This Row],[End Date]]-Table132[[#This Row],[Start Date]])&gt;=182)),TRUE,FALSE)</calculatedColumnFormula>
    </tableColumn>
    <tableColumn id="27" xr3:uid="{292E97BB-CE5A-47B6-9663-B6DF5847EAF7}" name="% of Winter SAC Impacted (NEW)" dataDxfId="32">
      <calculatedColumnFormula>IF(Table132[[#This Row],[Include in Winter Calendar]],Table132[[#This Row],[Area Overlap with Winter SAC (km2) (NEW)]]*100/$M$3,0)</calculatedColumnFormula>
    </tableColumn>
    <tableColumn id="28" xr3:uid="{488F1360-491C-4A00-A2CF-BDE65572227D}" name="% of Summer SAC Impacted (NEW)" dataDxfId="31">
      <calculatedColumnFormula>IF(Table132[[#This Row],[Include in Summer Calendar]],Table132[[#This Row],[Area Overlap with Summer SAC (km2) (NEW)]]*100/$M$2,0)</calculatedColumnFormula>
    </tableColumn>
    <tableColumn id="21" xr3:uid="{AAAA9D03-023B-4477-9924-C78EE9A839E4}" name="% of Winter SAC Impacted" dataDxfId="30">
      <calculatedColumnFormula>IF(Table132[[#This Row],[Include in Winter Calendar]],Table132[[#This Row],[Area Overlap with SAC (km2)]]*100/$M$3,0)</calculatedColumnFormula>
    </tableColumn>
    <tableColumn id="22" xr3:uid="{3792FE9B-C481-48B0-8F09-BFA53B3CFDE8}" name="% of Summer SAC Impacted" dataDxfId="29">
      <calculatedColumnFormula>IF(Table132[[#This Row],[Include in Summer Calendar]],Table132[[#This Row],[Area Overlap with SAC (km2)]]*100/$M$2,0)</calculatedColumnFormula>
    </tableColumn>
    <tableColumn id="23" xr3:uid="{41E9CD99-2C47-4150-874F-38D2244244CA}" name="TrackerID" dataDxfId="28"/>
  </tableColumns>
  <tableStyleInfo name="TableStyleMedium2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48493170-0821-4FFE-BCD9-1CA0F85A0D35}" name="Table44" displayName="Table44" ref="B12:J51" totalsRowShown="0" headerRowDxfId="27">
  <autoFilter ref="B12:J51" xr:uid="{02B4AB80-8AC4-47D5-8C15-7A71D7753D4B}"/>
  <tableColumns count="9">
    <tableColumn id="1" xr3:uid="{89973DC1-CE94-4249-BAA1-87C40CF0932A}" name="Project name" dataDxfId="26">
      <calculatedColumnFormula>IFERROR(_xlfn.XLOOKUP(A13,#REF!,#REF!),"")</calculatedColumnFormula>
    </tableColumn>
    <tableColumn id="2" xr3:uid="{3F54B527-6D35-48DF-9B5A-F52425B1A0BF}" name="Activity Type" dataDxfId="25">
      <calculatedColumnFormula>IFERROR(_xlfn.XLOOKUP(A13,#REF!,#REF!),"")</calculatedColumnFormula>
    </tableColumn>
    <tableColumn id="3" xr3:uid="{B9B4775D-287F-4987-A48A-F9A2D9397551}" name="Proposed Start Date" dataDxfId="24">
      <calculatedColumnFormula>IFERROR(_xlfn.XLOOKUP(A13,#REF!,#REF!),"")</calculatedColumnFormula>
    </tableColumn>
    <tableColumn id="4" xr3:uid="{7F51CC69-4F0D-4AC1-AAF7-0D1D7DC1BE5F}" name="Proposed End Date" dataDxfId="23">
      <calculatedColumnFormula>IFERROR(_xlfn.XLOOKUP(A13,#REF!,#REF!),"")</calculatedColumnFormula>
    </tableColumn>
    <tableColumn id="5" xr3:uid="{C540FF98-981C-4A62-840F-411477A4FCD3}" name="Proposed days" dataDxfId="22">
      <calculatedColumnFormula>IFERROR(_xlfn.XLOOKUP(A13,#REF!,#REF!),"")</calculatedColumnFormula>
    </tableColumn>
    <tableColumn id="6" xr3:uid="{6946745A-C847-42CC-BF90-C703D45644D2}" name="Impact on SAC (km2)" dataDxfId="21">
      <calculatedColumnFormula array="1">IFERROR(_xlfn.XLOOKUP(A13,#REF!,IF(C2="Summer",#REF!,#REF!)),"")</calculatedColumnFormula>
    </tableColumn>
    <tableColumn id="7" xr3:uid="{5F47B047-ED83-4085-ADCA-C1093A901B5D}" name="Impact on SAC (%)" dataDxfId="20">
      <calculatedColumnFormula>IFERROR(Table44[[#This Row],[Impact on SAC (km2)]]/$H$3,"")</calculatedColumnFormula>
    </tableColumn>
    <tableColumn id="9" xr3:uid="{E9BD74E9-6CDE-4C1E-BB4B-A3D5D4AC23B5}" name="Contribution to seasonal disturbance (absolute worst case)" dataDxfId="19">
      <calculatedColumnFormula>IFERROR(Table44[[#This Row],[Impact on SAC (%)]]*(MIN(Table44[[#This Row],[Proposed End Date]],$F$3)-MAX(Table44[[#This Row],[Proposed Start Date]],$F$2)+1)/$H$2,"")</calculatedColumnFormula>
    </tableColumn>
    <tableColumn id="8" xr3:uid="{340D97B9-9CD8-4190-A1CA-8EE12AAF4592}" name="Contribution to seasonal disturbance (realistic worst case)" dataDxfId="18">
      <calculatedColumnFormula>IFERROR(Table44[[#This Row],[Impact on SAC (%)]]*Table44[[#This Row],[Proposed days]]/$H$2,"")</calculatedColumnFormula>
    </tableColumn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table" Target="../tables/table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AF2C65F-6B26-428B-9755-560549F16C18}">
  <sheetPr codeName="Sheet2">
    <tabColor theme="8" tint="0.79998168889431442"/>
  </sheetPr>
  <dimension ref="A1:AA62"/>
  <sheetViews>
    <sheetView tabSelected="1" topLeftCell="A43" zoomScale="60" zoomScaleNormal="60" workbookViewId="0">
      <selection activeCell="A46" sqref="A46"/>
    </sheetView>
  </sheetViews>
  <sheetFormatPr defaultRowHeight="14.5" x14ac:dyDescent="0.35"/>
  <cols>
    <col min="1" max="1" width="68.7265625" style="24" customWidth="1"/>
    <col min="2" max="2" width="31.81640625" style="24" customWidth="1"/>
    <col min="3" max="3" width="19.7265625" style="24" bestFit="1" customWidth="1"/>
    <col min="4" max="4" width="18.54296875" style="24" bestFit="1" customWidth="1"/>
    <col min="5" max="5" width="21.7265625" style="24" customWidth="1"/>
    <col min="6" max="6" width="20.54296875" style="24" customWidth="1"/>
    <col min="7" max="7" width="26.453125" style="24" customWidth="1"/>
    <col min="8" max="8" width="19.26953125" style="24" customWidth="1"/>
    <col min="9" max="10" width="16.453125" style="24" customWidth="1"/>
    <col min="11" max="13" width="18.453125" style="24" customWidth="1"/>
    <col min="14" max="14" width="30" style="24" customWidth="1"/>
    <col min="15" max="15" width="18.453125" style="24" customWidth="1"/>
    <col min="16" max="17" width="18.453125" style="24" hidden="1" customWidth="1"/>
    <col min="18" max="18" width="30.26953125" style="24" customWidth="1"/>
    <col min="19" max="19" width="22.26953125" customWidth="1"/>
    <col min="20" max="20" width="14.7265625" customWidth="1"/>
    <col min="21" max="22" width="16.54296875" hidden="1" customWidth="1"/>
    <col min="23" max="23" width="18.7265625" customWidth="1"/>
    <col min="24" max="24" width="21.54296875" customWidth="1"/>
    <col min="25" max="25" width="22.1796875" customWidth="1"/>
    <col min="26" max="26" width="16" customWidth="1"/>
  </cols>
  <sheetData>
    <row r="1" spans="1:27" ht="8.25" customHeight="1" thickBot="1" x14ac:dyDescent="0.4">
      <c r="A1"/>
      <c r="B1"/>
      <c r="C1"/>
      <c r="D1"/>
      <c r="E1"/>
      <c r="F1"/>
      <c r="G1"/>
      <c r="H1"/>
      <c r="I1"/>
      <c r="J1"/>
      <c r="K1"/>
      <c r="L1"/>
      <c r="M1"/>
      <c r="N1"/>
      <c r="O1"/>
      <c r="P1"/>
      <c r="Q1"/>
      <c r="R1"/>
    </row>
    <row r="2" spans="1:27" ht="62.65" customHeight="1" thickBot="1" x14ac:dyDescent="0.4">
      <c r="A2" s="188" t="s">
        <v>0</v>
      </c>
      <c r="B2" s="11"/>
      <c r="C2" s="190" t="s">
        <v>1</v>
      </c>
      <c r="D2" s="191"/>
      <c r="E2" s="192"/>
      <c r="F2" s="23"/>
      <c r="G2" s="193" t="s">
        <v>2</v>
      </c>
      <c r="H2" s="12">
        <v>45931</v>
      </c>
      <c r="I2" s="195" t="s">
        <v>3</v>
      </c>
      <c r="J2" s="14">
        <v>46113</v>
      </c>
      <c r="K2"/>
      <c r="L2" s="19" t="s">
        <v>4</v>
      </c>
      <c r="M2" s="20">
        <v>27028</v>
      </c>
      <c r="N2" s="21" t="s">
        <v>5</v>
      </c>
      <c r="O2" s="22">
        <f>J3-J2+1</f>
        <v>183</v>
      </c>
      <c r="P2"/>
      <c r="Q2"/>
      <c r="R2"/>
    </row>
    <row r="3" spans="1:27" ht="61.15" customHeight="1" thickBot="1" x14ac:dyDescent="0.4">
      <c r="A3" s="189"/>
      <c r="B3" s="11"/>
      <c r="C3" s="197" t="s">
        <v>6</v>
      </c>
      <c r="D3" s="198"/>
      <c r="E3" s="199"/>
      <c r="F3" s="23"/>
      <c r="G3" s="194"/>
      <c r="H3" s="13">
        <v>46112</v>
      </c>
      <c r="I3" s="196"/>
      <c r="J3" s="15">
        <v>46295</v>
      </c>
      <c r="K3"/>
      <c r="L3" s="16" t="s">
        <v>7</v>
      </c>
      <c r="M3" s="17">
        <v>12696</v>
      </c>
      <c r="N3" s="18" t="s">
        <v>8</v>
      </c>
      <c r="O3" s="5">
        <f>H3-H2+1</f>
        <v>182</v>
      </c>
      <c r="P3"/>
      <c r="Q3"/>
      <c r="R3"/>
    </row>
    <row r="4" spans="1:27" ht="30.65" customHeight="1" thickBot="1" x14ac:dyDescent="0.4">
      <c r="A4"/>
      <c r="B4"/>
      <c r="C4"/>
      <c r="D4"/>
      <c r="E4"/>
      <c r="F4"/>
      <c r="G4"/>
      <c r="H4"/>
      <c r="I4"/>
      <c r="J4"/>
      <c r="K4"/>
      <c r="L4"/>
      <c r="M4"/>
      <c r="N4"/>
      <c r="O4"/>
      <c r="P4"/>
      <c r="Q4"/>
      <c r="R4"/>
    </row>
    <row r="5" spans="1:27" s="4" customFormat="1" ht="74.150000000000006" customHeight="1" thickBot="1" x14ac:dyDescent="0.4">
      <c r="A5" s="6" t="s">
        <v>9</v>
      </c>
      <c r="B5" s="6" t="s">
        <v>10</v>
      </c>
      <c r="C5" s="6" t="s">
        <v>11</v>
      </c>
      <c r="D5" s="6" t="s">
        <v>12</v>
      </c>
      <c r="E5" s="6" t="s">
        <v>13</v>
      </c>
      <c r="F5" s="37" t="s">
        <v>14</v>
      </c>
      <c r="G5" s="29" t="s">
        <v>15</v>
      </c>
      <c r="H5" s="29" t="s">
        <v>16</v>
      </c>
      <c r="I5" s="29" t="s">
        <v>17</v>
      </c>
      <c r="J5" s="82" t="s">
        <v>18</v>
      </c>
      <c r="K5" s="82" t="s">
        <v>19</v>
      </c>
      <c r="L5" s="82" t="s">
        <v>20</v>
      </c>
      <c r="M5" s="82" t="s">
        <v>21</v>
      </c>
      <c r="N5" s="82" t="s">
        <v>22</v>
      </c>
      <c r="O5" s="82" t="s">
        <v>23</v>
      </c>
      <c r="P5" s="86" t="s">
        <v>24</v>
      </c>
      <c r="Q5" s="86" t="s">
        <v>25</v>
      </c>
      <c r="R5" s="82" t="s">
        <v>26</v>
      </c>
      <c r="S5" s="82" t="s">
        <v>27</v>
      </c>
      <c r="T5" s="160" t="s">
        <v>28</v>
      </c>
      <c r="U5" s="45" t="s">
        <v>29</v>
      </c>
      <c r="V5" s="45" t="s">
        <v>30</v>
      </c>
      <c r="W5" s="87" t="s">
        <v>31</v>
      </c>
      <c r="X5" s="87" t="s">
        <v>32</v>
      </c>
      <c r="Y5" s="45" t="s">
        <v>33</v>
      </c>
      <c r="Z5" s="45" t="s">
        <v>34</v>
      </c>
      <c r="AA5" s="47" t="s">
        <v>35</v>
      </c>
    </row>
    <row r="6" spans="1:27" s="1" customFormat="1" ht="39" customHeight="1" x14ac:dyDescent="0.35">
      <c r="A6" s="75" t="s">
        <v>36</v>
      </c>
      <c r="B6" s="77" t="s">
        <v>37</v>
      </c>
      <c r="C6" s="33" t="s">
        <v>38</v>
      </c>
      <c r="D6" s="33" t="s">
        <v>39</v>
      </c>
      <c r="E6" s="33" t="s">
        <v>40</v>
      </c>
      <c r="F6" s="36"/>
      <c r="G6" s="25" t="s">
        <v>41</v>
      </c>
      <c r="H6" s="25"/>
      <c r="I6" s="80" t="s">
        <v>42</v>
      </c>
      <c r="J6" s="84">
        <v>46182</v>
      </c>
      <c r="K6" s="7">
        <v>46121</v>
      </c>
      <c r="L6" s="7">
        <v>46295</v>
      </c>
      <c r="M6" s="9">
        <v>100</v>
      </c>
      <c r="N6" s="9">
        <v>1927</v>
      </c>
      <c r="O6" s="9"/>
      <c r="P6" s="38"/>
      <c r="Q6" s="38"/>
      <c r="R6" s="9"/>
      <c r="S6" s="9"/>
      <c r="T6" s="161" t="s">
        <v>43</v>
      </c>
      <c r="U6" s="58" t="b">
        <f>IF(AND(NOT(OR(Table132[[#This Row],[Case Status]]="Postponed",Table132[[#This Row],[Case Status]]="Cancelled")),NOT(Table132[[#This Row],[Which seasonal area of the SAC does this activity impact?]]="Summer"),OR(OR(MONTH(Table132[[#This Row],[Start Date]])&lt;=3,MONTH(Table132[[#This Row],[Start Date]])&gt;=10),OR(MONTH(Table132[[#This Row],[End Date]])&lt;=3,MONTH(Table132[[#This Row],[End Date]])&gt;=10,(Table132[[#This Row],[End Date]]-Table132[[#This Row],[Start Date]])&gt;=182))),TRUE,FALSE)</f>
        <v>0</v>
      </c>
      <c r="V6" s="60" t="b">
        <f>IF(AND(NOT(OR(Table132[[#This Row],[Case Status]]="Postponed",Table132[[#This Row],[Case Status]]="Cancelled")),NOT(Table132[[#This Row],[Which seasonal area of the SAC does this activity impact?]]="Winter"),OR(OR(MONTH(Table132[[#This Row],[Start Date]])&gt;=4,MONTH(Table132[[#This Row],[Start Date]])&lt;=9)),OR(MONTH(Table132[[#This Row],[End Date]])&gt;=4,MONTH(Table132[[#This Row],[End Date]])&lt;=9,(Table132[[#This Row],[End Date]]-Table132[[#This Row],[Start Date]])&gt;=182)),TRUE,FALSE)</f>
        <v>1</v>
      </c>
      <c r="W6" s="89">
        <f>IF(Table132[[#This Row],[Include in Winter Calendar]],Table132[[#This Row],[Area Overlap with Winter SAC (km2) (NEW)]]*100/$M$3,0)</f>
        <v>0</v>
      </c>
      <c r="X6" s="89">
        <f>IF(Table132[[#This Row],[Include in Summer Calendar]],Table132[[#This Row],[Area Overlap with Summer SAC (km2) (NEW)]]*100/$M$2,0)</f>
        <v>0</v>
      </c>
      <c r="Y6" s="59">
        <f>IF(Table132[[#This Row],[Include in Winter Calendar]],Table132[[#This Row],[Area Overlap with SAC (km2)]]*100/$M$3,0)</f>
        <v>0</v>
      </c>
      <c r="Z6" s="59">
        <f>IF(Table132[[#This Row],[Include in Summer Calendar]],Table132[[#This Row],[Area Overlap with SAC (km2)]]*100/$M$2,0)</f>
        <v>7.1296433328400175</v>
      </c>
      <c r="AA6" s="62">
        <v>10</v>
      </c>
    </row>
    <row r="7" spans="1:27" s="1" customFormat="1" ht="39" customHeight="1" x14ac:dyDescent="0.35">
      <c r="A7" s="75" t="s">
        <v>44</v>
      </c>
      <c r="B7" s="77" t="s">
        <v>37</v>
      </c>
      <c r="C7" s="33" t="s">
        <v>38</v>
      </c>
      <c r="D7" s="33" t="s">
        <v>45</v>
      </c>
      <c r="E7" s="33" t="s">
        <v>40</v>
      </c>
      <c r="F7" s="36"/>
      <c r="G7" s="25" t="s">
        <v>41</v>
      </c>
      <c r="H7" s="25"/>
      <c r="I7" s="80" t="s">
        <v>42</v>
      </c>
      <c r="J7" s="84">
        <v>46182</v>
      </c>
      <c r="K7" s="7">
        <v>46121</v>
      </c>
      <c r="L7" s="7">
        <v>46295</v>
      </c>
      <c r="M7" s="9">
        <v>100</v>
      </c>
      <c r="N7" s="9"/>
      <c r="O7" s="9"/>
      <c r="P7" s="39"/>
      <c r="Q7" s="39"/>
      <c r="R7" s="9" t="s">
        <v>46</v>
      </c>
      <c r="S7" s="9" t="s">
        <v>47</v>
      </c>
      <c r="T7" s="161" t="s">
        <v>43</v>
      </c>
      <c r="U7" s="58" t="b">
        <f>IF(AND(NOT(OR(Table132[[#This Row],[Case Status]]="Postponed",Table132[[#This Row],[Case Status]]="Cancelled")),NOT(Table132[[#This Row],[Which seasonal area of the SAC does this activity impact?]]="Summer"),OR(OR(MONTH(Table132[[#This Row],[Start Date]])&lt;=3,MONTH(Table132[[#This Row],[Start Date]])&gt;=10),OR(MONTH(Table132[[#This Row],[End Date]])&lt;=3,MONTH(Table132[[#This Row],[End Date]])&gt;=10,(Table132[[#This Row],[End Date]]-Table132[[#This Row],[Start Date]])&gt;=182))),TRUE,FALSE)</f>
        <v>0</v>
      </c>
      <c r="V7" s="60" t="b">
        <f>IF(AND(NOT(OR(Table132[[#This Row],[Case Status]]="Postponed",Table132[[#This Row],[Case Status]]="Cancelled")),NOT(Table132[[#This Row],[Which seasonal area of the SAC does this activity impact?]]="Winter"),OR(OR(MONTH(Table132[[#This Row],[Start Date]])&gt;=4,MONTH(Table132[[#This Row],[Start Date]])&lt;=9)),OR(MONTH(Table132[[#This Row],[End Date]])&gt;=4,MONTH(Table132[[#This Row],[End Date]])&lt;=9,(Table132[[#This Row],[End Date]]-Table132[[#This Row],[Start Date]])&gt;=182)),TRUE,FALSE)</f>
        <v>1</v>
      </c>
      <c r="W7" s="89">
        <f>IF(Table132[[#This Row],[Include in Winter Calendar]],Table132[[#This Row],[Area Overlap with Winter SAC (km2) (NEW)]]*100/$M$3,0)</f>
        <v>0</v>
      </c>
      <c r="X7" s="89">
        <f>IF(Table132[[#This Row],[Include in Summer Calendar]],Table132[[#This Row],[Area Overlap with Summer SAC (km2) (NEW)]]*100/$M$2,0)</f>
        <v>0</v>
      </c>
      <c r="Y7" s="59">
        <f>IF(Table132[[#This Row],[Include in Winter Calendar]],Table132[[#This Row],[Area Overlap with SAC (km2)]]*100/$M$3,0)</f>
        <v>0</v>
      </c>
      <c r="Z7" s="59">
        <f>IF(Table132[[#This Row],[Include in Summer Calendar]],Table132[[#This Row],[Area Overlap with SAC (km2)]]*100/$M$2,0)</f>
        <v>0</v>
      </c>
      <c r="AA7" s="62">
        <v>11</v>
      </c>
    </row>
    <row r="8" spans="1:27" s="1" customFormat="1" ht="39" customHeight="1" x14ac:dyDescent="0.35">
      <c r="A8" s="75" t="s">
        <v>48</v>
      </c>
      <c r="B8" s="77" t="s">
        <v>49</v>
      </c>
      <c r="C8" s="33" t="s">
        <v>38</v>
      </c>
      <c r="D8" s="33" t="s">
        <v>50</v>
      </c>
      <c r="E8" s="33" t="s">
        <v>51</v>
      </c>
      <c r="F8" s="36"/>
      <c r="G8" s="25" t="s">
        <v>52</v>
      </c>
      <c r="H8" s="27"/>
      <c r="I8" s="80" t="s">
        <v>42</v>
      </c>
      <c r="J8" s="84">
        <v>45853</v>
      </c>
      <c r="K8" s="8">
        <v>45566</v>
      </c>
      <c r="L8" s="8">
        <v>46904</v>
      </c>
      <c r="M8" s="10">
        <v>0</v>
      </c>
      <c r="N8" s="10">
        <v>133.37</v>
      </c>
      <c r="O8" s="9"/>
      <c r="P8" s="39"/>
      <c r="Q8" s="39"/>
      <c r="R8" s="9"/>
      <c r="S8" s="9" t="s">
        <v>53</v>
      </c>
      <c r="T8" s="161" t="s">
        <v>43</v>
      </c>
      <c r="U8" s="58" t="b">
        <f>IF(AND(NOT(OR(Table132[[#This Row],[Case Status]]="Postponed",Table132[[#This Row],[Case Status]]="Cancelled")),NOT(Table132[[#This Row],[Which seasonal area of the SAC does this activity impact?]]="Summer"),OR(OR(MONTH(Table132[[#This Row],[Start Date]])&lt;=3,MONTH(Table132[[#This Row],[Start Date]])&gt;=10),OR(MONTH(Table132[[#This Row],[End Date]])&lt;=3,MONTH(Table132[[#This Row],[End Date]])&gt;=10,(Table132[[#This Row],[End Date]]-Table132[[#This Row],[Start Date]])&gt;=182))),TRUE,FALSE)</f>
        <v>0</v>
      </c>
      <c r="V8" s="66" t="b">
        <f>IF(AND(NOT(OR(Table132[[#This Row],[Case Status]]="Postponed",Table132[[#This Row],[Case Status]]="Cancelled")),NOT(Table132[[#This Row],[Which seasonal area of the SAC does this activity impact?]]="Winter"),OR(OR(MONTH(Table132[[#This Row],[Start Date]])&gt;=4,MONTH(Table132[[#This Row],[Start Date]])&lt;=9)),OR(MONTH(Table132[[#This Row],[End Date]])&gt;=4,MONTH(Table132[[#This Row],[End Date]])&lt;=9,(Table132[[#This Row],[End Date]]-Table132[[#This Row],[Start Date]])&gt;=182)),TRUE,FALSE)</f>
        <v>1</v>
      </c>
      <c r="W8" s="90">
        <f>IF(Table132[[#This Row],[Include in Winter Calendar]],Table132[[#This Row],[Area Overlap with Winter SAC (km2) (NEW)]]*100/$M$3,0)</f>
        <v>0</v>
      </c>
      <c r="X8" s="90">
        <f>IF(Table132[[#This Row],[Include in Summer Calendar]],Table132[[#This Row],[Area Overlap with Summer SAC (km2) (NEW)]]*100/$M$2,0)</f>
        <v>0</v>
      </c>
      <c r="Y8" s="61">
        <f>IF(Table132[[#This Row],[Include in Winter Calendar]],Table132[[#This Row],[Area Overlap with SAC (km2)]]*100/$M$3,0)</f>
        <v>0</v>
      </c>
      <c r="Z8" s="61">
        <f>IF(Table132[[#This Row],[Include in Summer Calendar]],Table132[[#This Row],[Area Overlap with SAC (km2)]]*100/$M$2,0)</f>
        <v>0.49345123575551281</v>
      </c>
      <c r="AA8" s="65">
        <v>33</v>
      </c>
    </row>
    <row r="9" spans="1:27" s="1" customFormat="1" ht="39" customHeight="1" x14ac:dyDescent="0.35">
      <c r="A9" s="75" t="s">
        <v>54</v>
      </c>
      <c r="B9" s="78" t="s">
        <v>37</v>
      </c>
      <c r="C9" s="30" t="s">
        <v>38</v>
      </c>
      <c r="D9" s="30" t="s">
        <v>45</v>
      </c>
      <c r="E9" s="31" t="s">
        <v>40</v>
      </c>
      <c r="F9" s="79"/>
      <c r="G9" s="26" t="s">
        <v>41</v>
      </c>
      <c r="H9" s="26"/>
      <c r="I9" s="81" t="s">
        <v>42</v>
      </c>
      <c r="J9" s="83">
        <v>46182</v>
      </c>
      <c r="K9" s="8">
        <v>46121</v>
      </c>
      <c r="L9" s="7">
        <v>46295</v>
      </c>
      <c r="M9" s="10">
        <v>100</v>
      </c>
      <c r="N9" s="10"/>
      <c r="O9" s="44"/>
      <c r="P9" s="38"/>
      <c r="Q9" s="38"/>
      <c r="R9" s="10" t="s">
        <v>46</v>
      </c>
      <c r="S9" s="9" t="s">
        <v>55</v>
      </c>
      <c r="T9" s="162" t="s">
        <v>43</v>
      </c>
      <c r="U9" s="67" t="b">
        <f>IF(AND(NOT(OR(Table132[[#This Row],[Case Status]]="Postponed",Table132[[#This Row],[Case Status]]="Cancelled")),NOT(Table132[[#This Row],[Which seasonal area of the SAC does this activity impact?]]="Summer"),OR(OR(MONTH(Table132[[#This Row],[Start Date]])&lt;=3,MONTH(Table132[[#This Row],[Start Date]])&gt;=10),OR(MONTH(Table132[[#This Row],[End Date]])&lt;=3,MONTH(Table132[[#This Row],[End Date]])&gt;=10,(Table132[[#This Row],[End Date]]-Table132[[#This Row],[Start Date]])&gt;=182))),TRUE,FALSE)</f>
        <v>0</v>
      </c>
      <c r="V9" s="66" t="b">
        <f>IF(AND(NOT(OR(Table132[[#This Row],[Case Status]]="Postponed",Table132[[#This Row],[Case Status]]="Cancelled")),NOT(Table132[[#This Row],[Which seasonal area of the SAC does this activity impact?]]="Winter"),OR(OR(MONTH(Table132[[#This Row],[Start Date]])&gt;=4,MONTH(Table132[[#This Row],[Start Date]])&lt;=9)),OR(MONTH(Table132[[#This Row],[End Date]])&gt;=4,MONTH(Table132[[#This Row],[End Date]])&lt;=9,(Table132[[#This Row],[End Date]]-Table132[[#This Row],[Start Date]])&gt;=182)),TRUE,FALSE)</f>
        <v>1</v>
      </c>
      <c r="W9" s="90">
        <f>IF(Table132[[#This Row],[Include in Winter Calendar]],Table132[[#This Row],[Area Overlap with Winter SAC (km2) (NEW)]]*100/$M$3,0)</f>
        <v>0</v>
      </c>
      <c r="X9" s="90">
        <f>IF(Table132[[#This Row],[Include in Summer Calendar]],Table132[[#This Row],[Area Overlap with Summer SAC (km2) (NEW)]]*100/$M$2,0)</f>
        <v>0</v>
      </c>
      <c r="Y9" s="61">
        <f>IF(Table132[[#This Row],[Include in Winter Calendar]],Table132[[#This Row],[Area Overlap with SAC (km2)]]*100/$M$3,0)</f>
        <v>0</v>
      </c>
      <c r="Z9" s="61">
        <f>IF(Table132[[#This Row],[Include in Summer Calendar]],Table132[[#This Row],[Area Overlap with SAC (km2)]]*100/$M$2,0)</f>
        <v>0</v>
      </c>
      <c r="AA9" s="62">
        <v>74</v>
      </c>
    </row>
    <row r="10" spans="1:27" s="1" customFormat="1" ht="39" customHeight="1" x14ac:dyDescent="0.35">
      <c r="A10" s="75" t="s">
        <v>56</v>
      </c>
      <c r="B10" s="78" t="s">
        <v>57</v>
      </c>
      <c r="C10" s="30" t="s">
        <v>58</v>
      </c>
      <c r="D10" s="30" t="s">
        <v>59</v>
      </c>
      <c r="E10" s="31" t="s">
        <v>51</v>
      </c>
      <c r="F10" s="118" t="s">
        <v>60</v>
      </c>
      <c r="G10" s="26" t="s">
        <v>61</v>
      </c>
      <c r="H10" s="26" t="s">
        <v>62</v>
      </c>
      <c r="I10" s="81" t="s">
        <v>42</v>
      </c>
      <c r="J10" s="83">
        <v>46182</v>
      </c>
      <c r="K10" s="8">
        <v>46266</v>
      </c>
      <c r="L10" s="8">
        <v>46283</v>
      </c>
      <c r="M10" s="10">
        <v>1</v>
      </c>
      <c r="N10" s="10">
        <v>78.540000000000006</v>
      </c>
      <c r="O10" s="124" t="s">
        <v>62</v>
      </c>
      <c r="P10" s="38"/>
      <c r="Q10" s="38"/>
      <c r="R10" s="10"/>
      <c r="S10" s="10"/>
      <c r="T10" s="162" t="s">
        <v>63</v>
      </c>
      <c r="U10" s="67" t="b">
        <f>IF(AND(NOT(OR(Table132[[#This Row],[Case Status]]="Postponed",Table132[[#This Row],[Case Status]]="Cancelled")),NOT(Table132[[#This Row],[Which seasonal area of the SAC does this activity impact?]]="Summer"),OR(OR(MONTH(Table132[[#This Row],[Start Date]])&lt;=3,MONTH(Table132[[#This Row],[Start Date]])&gt;=10),OR(MONTH(Table132[[#This Row],[End Date]])&lt;=3,MONTH(Table132[[#This Row],[End Date]])&gt;=10,(Table132[[#This Row],[End Date]]-Table132[[#This Row],[Start Date]])&gt;=182))),TRUE,FALSE)</f>
        <v>0</v>
      </c>
      <c r="V10" s="66" t="b">
        <f>IF(AND(NOT(OR(Table132[[#This Row],[Case Status]]="Postponed",Table132[[#This Row],[Case Status]]="Cancelled")),NOT(Table132[[#This Row],[Which seasonal area of the SAC does this activity impact?]]="Winter"),OR(OR(MONTH(Table132[[#This Row],[Start Date]])&gt;=4,MONTH(Table132[[#This Row],[Start Date]])&lt;=9)),OR(MONTH(Table132[[#This Row],[End Date]])&gt;=4,MONTH(Table132[[#This Row],[End Date]])&lt;=9,(Table132[[#This Row],[End Date]]-Table132[[#This Row],[Start Date]])&gt;=182)),TRUE,FALSE)</f>
        <v>1</v>
      </c>
      <c r="W10" s="90">
        <f>IF(Table132[[#This Row],[Include in Winter Calendar]],Table132[[#This Row],[Area Overlap with Winter SAC (km2) (NEW)]]*100/$M$3,0)</f>
        <v>0</v>
      </c>
      <c r="X10" s="90">
        <f>IF(Table132[[#This Row],[Include in Summer Calendar]],Table132[[#This Row],[Area Overlap with Summer SAC (km2) (NEW)]]*100/$M$2,0)</f>
        <v>0</v>
      </c>
      <c r="Y10" s="61">
        <f>IF(Table132[[#This Row],[Include in Winter Calendar]],Table132[[#This Row],[Area Overlap with SAC (km2)]]*100/$M$3,0)</f>
        <v>0</v>
      </c>
      <c r="Z10" s="61">
        <f>IF(Table132[[#This Row],[Include in Summer Calendar]],Table132[[#This Row],[Area Overlap with SAC (km2)]]*100/$M$2,0)</f>
        <v>0.2905875388486015</v>
      </c>
      <c r="AA10" s="62">
        <v>57</v>
      </c>
    </row>
    <row r="11" spans="1:27" s="1" customFormat="1" ht="39" customHeight="1" x14ac:dyDescent="0.35">
      <c r="A11" s="75" t="s">
        <v>64</v>
      </c>
      <c r="B11" s="78" t="s">
        <v>37</v>
      </c>
      <c r="C11" s="30" t="s">
        <v>38</v>
      </c>
      <c r="D11" s="30" t="s">
        <v>65</v>
      </c>
      <c r="E11" s="31" t="s">
        <v>40</v>
      </c>
      <c r="F11" s="79"/>
      <c r="G11" s="26" t="s">
        <v>66</v>
      </c>
      <c r="H11" s="26"/>
      <c r="I11" s="81" t="s">
        <v>42</v>
      </c>
      <c r="J11" s="83">
        <v>46119</v>
      </c>
      <c r="K11" s="8">
        <v>46164</v>
      </c>
      <c r="L11" s="8">
        <v>46234</v>
      </c>
      <c r="M11" s="10">
        <v>80</v>
      </c>
      <c r="N11" s="10">
        <v>0</v>
      </c>
      <c r="O11" s="44"/>
      <c r="P11" s="38"/>
      <c r="Q11" s="38"/>
      <c r="R11" s="10" t="s">
        <v>62</v>
      </c>
      <c r="S11" s="9" t="s">
        <v>67</v>
      </c>
      <c r="T11" s="43" t="s">
        <v>43</v>
      </c>
      <c r="U11" s="67" t="b">
        <f>IF(AND(NOT(OR(Table132[[#This Row],[Case Status]]="Postponed",Table132[[#This Row],[Case Status]]="Cancelled")),NOT(Table132[[#This Row],[Which seasonal area of the SAC does this activity impact?]]="Summer"),OR(OR(MONTH(Table132[[#This Row],[Start Date]])&lt;=3,MONTH(Table132[[#This Row],[Start Date]])&gt;=10),OR(MONTH(Table132[[#This Row],[End Date]])&lt;=3,MONTH(Table132[[#This Row],[End Date]])&gt;=10,(Table132[[#This Row],[End Date]]-Table132[[#This Row],[Start Date]])&gt;=182))),TRUE,FALSE)</f>
        <v>0</v>
      </c>
      <c r="V11" s="66" t="b">
        <f>IF(AND(NOT(OR(Table132[[#This Row],[Case Status]]="Postponed",Table132[[#This Row],[Case Status]]="Cancelled")),NOT(Table132[[#This Row],[Which seasonal area of the SAC does this activity impact?]]="Winter"),OR(OR(MONTH(Table132[[#This Row],[Start Date]])&gt;=4,MONTH(Table132[[#This Row],[Start Date]])&lt;=9)),OR(MONTH(Table132[[#This Row],[End Date]])&gt;=4,MONTH(Table132[[#This Row],[End Date]])&lt;=9,(Table132[[#This Row],[End Date]]-Table132[[#This Row],[Start Date]])&gt;=182)),TRUE,FALSE)</f>
        <v>1</v>
      </c>
      <c r="W11" s="90">
        <f>IF(Table132[[#This Row],[Include in Winter Calendar]],Table132[[#This Row],[Area Overlap with Winter SAC (km2) (NEW)]]*100/$M$3,0)</f>
        <v>0</v>
      </c>
      <c r="X11" s="90">
        <f>IF(Table132[[#This Row],[Include in Summer Calendar]],Table132[[#This Row],[Area Overlap with Summer SAC (km2) (NEW)]]*100/$M$2,0)</f>
        <v>0</v>
      </c>
      <c r="Y11" s="61">
        <f>IF(Table132[[#This Row],[Include in Winter Calendar]],Table132[[#This Row],[Area Overlap with SAC (km2)]]*100/$M$3,0)</f>
        <v>0</v>
      </c>
      <c r="Z11" s="61">
        <f>IF(Table132[[#This Row],[Include in Summer Calendar]],Table132[[#This Row],[Area Overlap with SAC (km2)]]*100/$M$2,0)</f>
        <v>0</v>
      </c>
      <c r="AA11" s="65">
        <v>63</v>
      </c>
    </row>
    <row r="12" spans="1:27" s="1" customFormat="1" ht="39" customHeight="1" x14ac:dyDescent="0.35">
      <c r="A12" s="75" t="s">
        <v>68</v>
      </c>
      <c r="B12" s="78" t="s">
        <v>37</v>
      </c>
      <c r="C12" s="30" t="s">
        <v>38</v>
      </c>
      <c r="D12" s="30" t="s">
        <v>69</v>
      </c>
      <c r="E12" s="31" t="s">
        <v>40</v>
      </c>
      <c r="F12" s="79"/>
      <c r="G12" s="26" t="s">
        <v>70</v>
      </c>
      <c r="H12" s="26"/>
      <c r="I12" s="81" t="s">
        <v>42</v>
      </c>
      <c r="J12" s="83">
        <v>46119</v>
      </c>
      <c r="K12" s="8">
        <v>46164</v>
      </c>
      <c r="L12" s="8">
        <v>46234</v>
      </c>
      <c r="M12" s="10">
        <v>3</v>
      </c>
      <c r="N12" s="10">
        <v>0</v>
      </c>
      <c r="O12" s="44"/>
      <c r="P12" s="38"/>
      <c r="Q12" s="38"/>
      <c r="R12" s="10" t="s">
        <v>71</v>
      </c>
      <c r="S12" s="9" t="s">
        <v>67</v>
      </c>
      <c r="T12" s="43" t="s">
        <v>43</v>
      </c>
      <c r="U12" s="67" t="b">
        <f>IF(AND(NOT(OR(Table132[[#This Row],[Case Status]]="Postponed",Table132[[#This Row],[Case Status]]="Cancelled")),NOT(Table132[[#This Row],[Which seasonal area of the SAC does this activity impact?]]="Summer"),OR(OR(MONTH(Table132[[#This Row],[Start Date]])&lt;=3,MONTH(Table132[[#This Row],[Start Date]])&gt;=10),OR(MONTH(Table132[[#This Row],[End Date]])&lt;=3,MONTH(Table132[[#This Row],[End Date]])&gt;=10,(Table132[[#This Row],[End Date]]-Table132[[#This Row],[Start Date]])&gt;=182))),TRUE,FALSE)</f>
        <v>0</v>
      </c>
      <c r="V12" s="66" t="b">
        <f>IF(AND(NOT(OR(Table132[[#This Row],[Case Status]]="Postponed",Table132[[#This Row],[Case Status]]="Cancelled")),NOT(Table132[[#This Row],[Which seasonal area of the SAC does this activity impact?]]="Winter"),OR(OR(MONTH(Table132[[#This Row],[Start Date]])&gt;=4,MONTH(Table132[[#This Row],[Start Date]])&lt;=9)),OR(MONTH(Table132[[#This Row],[End Date]])&gt;=4,MONTH(Table132[[#This Row],[End Date]])&lt;=9,(Table132[[#This Row],[End Date]]-Table132[[#This Row],[Start Date]])&gt;=182)),TRUE,FALSE)</f>
        <v>1</v>
      </c>
      <c r="W12" s="90">
        <f>IF(Table132[[#This Row],[Include in Winter Calendar]],Table132[[#This Row],[Area Overlap with Winter SAC (km2) (NEW)]]*100/$M$3,0)</f>
        <v>0</v>
      </c>
      <c r="X12" s="90">
        <f>IF(Table132[[#This Row],[Include in Summer Calendar]],Table132[[#This Row],[Area Overlap with Summer SAC (km2) (NEW)]]*100/$M$2,0)</f>
        <v>0</v>
      </c>
      <c r="Y12" s="61">
        <f>IF(Table132[[#This Row],[Include in Winter Calendar]],Table132[[#This Row],[Area Overlap with SAC (km2)]]*100/$M$3,0)</f>
        <v>0</v>
      </c>
      <c r="Z12" s="61">
        <f>IF(Table132[[#This Row],[Include in Summer Calendar]],Table132[[#This Row],[Area Overlap with SAC (km2)]]*100/$M$2,0)</f>
        <v>0</v>
      </c>
      <c r="AA12" s="62">
        <v>64</v>
      </c>
    </row>
    <row r="13" spans="1:27" s="1" customFormat="1" ht="39" customHeight="1" x14ac:dyDescent="0.35">
      <c r="A13" s="75" t="s">
        <v>72</v>
      </c>
      <c r="B13" s="78" t="s">
        <v>73</v>
      </c>
      <c r="C13" s="30" t="s">
        <v>38</v>
      </c>
      <c r="D13" s="30" t="s">
        <v>45</v>
      </c>
      <c r="E13" s="31" t="s">
        <v>51</v>
      </c>
      <c r="F13" s="79"/>
      <c r="G13" s="26" t="s">
        <v>74</v>
      </c>
      <c r="H13" s="26"/>
      <c r="I13" s="81" t="s">
        <v>42</v>
      </c>
      <c r="J13" s="83">
        <v>46182</v>
      </c>
      <c r="K13" s="8">
        <v>46135</v>
      </c>
      <c r="L13" s="8">
        <v>46295</v>
      </c>
      <c r="M13" s="10">
        <v>81</v>
      </c>
      <c r="N13" s="10">
        <v>129.19999999999999</v>
      </c>
      <c r="O13" s="44"/>
      <c r="P13" s="38"/>
      <c r="Q13" s="38"/>
      <c r="R13" s="153" t="s">
        <v>75</v>
      </c>
      <c r="S13" s="10"/>
      <c r="T13" s="162"/>
      <c r="U13" s="67" t="b">
        <f>IF(AND(NOT(OR(Table132[[#This Row],[Case Status]]="Postponed",Table132[[#This Row],[Case Status]]="Cancelled")),NOT(Table132[[#This Row],[Which seasonal area of the SAC does this activity impact?]]="Summer"),OR(OR(MONTH(Table132[[#This Row],[Start Date]])&lt;=3,MONTH(Table132[[#This Row],[Start Date]])&gt;=10),OR(MONTH(Table132[[#This Row],[End Date]])&lt;=3,MONTH(Table132[[#This Row],[End Date]])&gt;=10,(Table132[[#This Row],[End Date]]-Table132[[#This Row],[Start Date]])&gt;=182))),TRUE,FALSE)</f>
        <v>0</v>
      </c>
      <c r="V13" s="66" t="b">
        <f>IF(AND(NOT(OR(Table132[[#This Row],[Case Status]]="Postponed",Table132[[#This Row],[Case Status]]="Cancelled")),NOT(Table132[[#This Row],[Which seasonal area of the SAC does this activity impact?]]="Winter"),OR(OR(MONTH(Table132[[#This Row],[Start Date]])&gt;=4,MONTH(Table132[[#This Row],[Start Date]])&lt;=9)),OR(MONTH(Table132[[#This Row],[End Date]])&gt;=4,MONTH(Table132[[#This Row],[End Date]])&lt;=9,(Table132[[#This Row],[End Date]]-Table132[[#This Row],[Start Date]])&gt;=182)),TRUE,FALSE)</f>
        <v>1</v>
      </c>
      <c r="W13" s="90">
        <f>IF(Table132[[#This Row],[Include in Winter Calendar]],Table132[[#This Row],[Area Overlap with Winter SAC (km2) (NEW)]]*100/$M$3,0)</f>
        <v>0</v>
      </c>
      <c r="X13" s="90">
        <f>IF(Table132[[#This Row],[Include in Summer Calendar]],Table132[[#This Row],[Area Overlap with Summer SAC (km2) (NEW)]]*100/$M$2,0)</f>
        <v>0</v>
      </c>
      <c r="Y13" s="61">
        <f>IF(Table132[[#This Row],[Include in Winter Calendar]],Table132[[#This Row],[Area Overlap with SAC (km2)]]*100/$M$3,0)</f>
        <v>0</v>
      </c>
      <c r="Z13" s="61">
        <f>IF(Table132[[#This Row],[Include in Summer Calendar]],Table132[[#This Row],[Area Overlap with SAC (km2)]]*100/$M$2,0)</f>
        <v>0.47802279117951746</v>
      </c>
      <c r="AA13" s="62"/>
    </row>
    <row r="14" spans="1:27" ht="39" customHeight="1" x14ac:dyDescent="0.35">
      <c r="A14" s="75" t="s">
        <v>76</v>
      </c>
      <c r="B14" s="78" t="s">
        <v>73</v>
      </c>
      <c r="C14" s="30" t="s">
        <v>38</v>
      </c>
      <c r="D14" s="30" t="s">
        <v>45</v>
      </c>
      <c r="E14" s="31" t="s">
        <v>51</v>
      </c>
      <c r="F14" s="79"/>
      <c r="G14" s="26" t="s">
        <v>74</v>
      </c>
      <c r="H14" s="26"/>
      <c r="I14" s="81" t="s">
        <v>42</v>
      </c>
      <c r="J14" s="83">
        <v>46182</v>
      </c>
      <c r="K14" s="8">
        <v>46135</v>
      </c>
      <c r="L14" s="8">
        <v>46295</v>
      </c>
      <c r="M14" s="10">
        <v>66</v>
      </c>
      <c r="N14" s="10">
        <v>150.1</v>
      </c>
      <c r="O14" s="44"/>
      <c r="P14" s="38"/>
      <c r="Q14" s="38"/>
      <c r="R14" s="153" t="s">
        <v>77</v>
      </c>
      <c r="S14" s="10"/>
      <c r="T14" s="162"/>
      <c r="U14" s="67" t="b">
        <f>IF(AND(NOT(OR(Table132[[#This Row],[Case Status]]="Postponed",Table132[[#This Row],[Case Status]]="Cancelled")),NOT(Table132[[#This Row],[Which seasonal area of the SAC does this activity impact?]]="Summer"),OR(OR(MONTH(Table132[[#This Row],[Start Date]])&lt;=3,MONTH(Table132[[#This Row],[Start Date]])&gt;=10),OR(MONTH(Table132[[#This Row],[End Date]])&lt;=3,MONTH(Table132[[#This Row],[End Date]])&gt;=10,(Table132[[#This Row],[End Date]]-Table132[[#This Row],[Start Date]])&gt;=182))),TRUE,FALSE)</f>
        <v>0</v>
      </c>
      <c r="V14" s="66" t="b">
        <f>IF(AND(NOT(OR(Table132[[#This Row],[Case Status]]="Postponed",Table132[[#This Row],[Case Status]]="Cancelled")),NOT(Table132[[#This Row],[Which seasonal area of the SAC does this activity impact?]]="Winter"),OR(OR(MONTH(Table132[[#This Row],[Start Date]])&gt;=4,MONTH(Table132[[#This Row],[Start Date]])&lt;=9)),OR(MONTH(Table132[[#This Row],[End Date]])&gt;=4,MONTH(Table132[[#This Row],[End Date]])&lt;=9,(Table132[[#This Row],[End Date]]-Table132[[#This Row],[Start Date]])&gt;=182)),TRUE,FALSE)</f>
        <v>1</v>
      </c>
      <c r="W14" s="90">
        <f>IF(Table132[[#This Row],[Include in Winter Calendar]],Table132[[#This Row],[Area Overlap with Winter SAC (km2) (NEW)]]*100/$M$3,0)</f>
        <v>0</v>
      </c>
      <c r="X14" s="90">
        <f>IF(Table132[[#This Row],[Include in Summer Calendar]],Table132[[#This Row],[Area Overlap with Summer SAC (km2) (NEW)]]*100/$M$2,0)</f>
        <v>0</v>
      </c>
      <c r="Y14" s="61">
        <f>IF(Table132[[#This Row],[Include in Winter Calendar]],Table132[[#This Row],[Area Overlap with SAC (km2)]]*100/$M$3,0)</f>
        <v>0</v>
      </c>
      <c r="Z14" s="61">
        <f>IF(Table132[[#This Row],[Include in Summer Calendar]],Table132[[#This Row],[Area Overlap with SAC (km2)]]*100/$M$2,0)</f>
        <v>0.55535000739973361</v>
      </c>
      <c r="AA14" s="62"/>
    </row>
    <row r="15" spans="1:27" s="3" customFormat="1" ht="39" customHeight="1" x14ac:dyDescent="0.35">
      <c r="A15" s="132" t="s">
        <v>78</v>
      </c>
      <c r="B15" s="133" t="s">
        <v>79</v>
      </c>
      <c r="C15" s="135" t="s">
        <v>58</v>
      </c>
      <c r="D15" s="135" t="s">
        <v>80</v>
      </c>
      <c r="E15" s="137" t="s">
        <v>51</v>
      </c>
      <c r="F15" s="139"/>
      <c r="G15" s="135"/>
      <c r="H15" s="135"/>
      <c r="I15" s="142" t="s">
        <v>81</v>
      </c>
      <c r="J15" s="144">
        <v>45966</v>
      </c>
      <c r="K15" s="107">
        <v>46113</v>
      </c>
      <c r="L15" s="107">
        <v>46203</v>
      </c>
      <c r="M15" s="135">
        <v>0</v>
      </c>
      <c r="N15" s="135">
        <v>0</v>
      </c>
      <c r="O15" s="149"/>
      <c r="P15" s="137"/>
      <c r="Q15" s="137"/>
      <c r="R15" s="152" t="s">
        <v>82</v>
      </c>
      <c r="S15" s="152"/>
      <c r="T15" s="142" t="s">
        <v>63</v>
      </c>
      <c r="U15" s="108" t="b">
        <f>IF(AND(NOT(OR(Table132[[#This Row],[Case Status]]="Postponed",Table132[[#This Row],[Case Status]]="Cancelled")),NOT(Table132[[#This Row],[Which seasonal area of the SAC does this activity impact?]]="Summer"),OR(OR(MONTH(Table132[[#This Row],[Start Date]])&lt;=3,MONTH(Table132[[#This Row],[Start Date]])&gt;=10),OR(MONTH(Table132[[#This Row],[End Date]])&lt;=3,MONTH(Table132[[#This Row],[End Date]])&gt;=10,(Table132[[#This Row],[End Date]]-Table132[[#This Row],[Start Date]])&gt;=182))),TRUE,FALSE)</f>
        <v>0</v>
      </c>
      <c r="V15" s="109" t="b">
        <f>IF(AND(NOT(OR(Table132[[#This Row],[Case Status]]="Postponed",Table132[[#This Row],[Case Status]]="Cancelled")),NOT(Table132[[#This Row],[Which seasonal area of the SAC does this activity impact?]]="Winter"),OR(OR(MONTH(Table132[[#This Row],[Start Date]])&gt;=4,MONTH(Table132[[#This Row],[Start Date]])&lt;=9)),OR(MONTH(Table132[[#This Row],[End Date]])&gt;=4,MONTH(Table132[[#This Row],[End Date]])&lt;=9,(Table132[[#This Row],[End Date]]-Table132[[#This Row],[Start Date]])&gt;=182)),TRUE,FALSE)</f>
        <v>0</v>
      </c>
      <c r="W15" s="110">
        <f>IF(Table132[[#This Row],[Include in Winter Calendar]],Table132[[#This Row],[Area Overlap with Winter SAC (km2) (NEW)]]*100/$M$3,0)</f>
        <v>0</v>
      </c>
      <c r="X15" s="110">
        <f>IF(Table132[[#This Row],[Include in Summer Calendar]],Table132[[#This Row],[Area Overlap with Summer SAC (km2) (NEW)]]*100/$M$2,0)</f>
        <v>0</v>
      </c>
      <c r="Y15" s="111">
        <f>IF(Table132[[#This Row],[Include in Winter Calendar]],Table132[[#This Row],[Area Overlap with SAC (km2)]]*100/$M$3,0)</f>
        <v>0</v>
      </c>
      <c r="Z15" s="111">
        <f>IF(Table132[[#This Row],[Include in Summer Calendar]],Table132[[#This Row],[Area Overlap with SAC (km2)]]*100/$M$2,0)</f>
        <v>0</v>
      </c>
      <c r="AA15" s="112">
        <v>69</v>
      </c>
    </row>
    <row r="16" spans="1:27" s="3" customFormat="1" ht="39" customHeight="1" x14ac:dyDescent="0.35">
      <c r="A16" s="75" t="s">
        <v>83</v>
      </c>
      <c r="B16" s="76" t="s">
        <v>84</v>
      </c>
      <c r="C16" s="48" t="s">
        <v>38</v>
      </c>
      <c r="D16" s="48" t="s">
        <v>39</v>
      </c>
      <c r="E16" s="46" t="s">
        <v>51</v>
      </c>
      <c r="F16" s="49"/>
      <c r="G16" s="26" t="s">
        <v>85</v>
      </c>
      <c r="H16" s="26"/>
      <c r="I16" s="80" t="s">
        <v>86</v>
      </c>
      <c r="J16" s="83">
        <v>45853</v>
      </c>
      <c r="K16" s="8">
        <v>45764</v>
      </c>
      <c r="L16" s="8">
        <v>45765</v>
      </c>
      <c r="M16" s="10">
        <v>2</v>
      </c>
      <c r="N16" s="10">
        <v>2873</v>
      </c>
      <c r="O16" s="9"/>
      <c r="P16" s="38"/>
      <c r="Q16" s="38"/>
      <c r="R16" s="10"/>
      <c r="S16" s="10"/>
      <c r="T16" s="43" t="s">
        <v>43</v>
      </c>
      <c r="U16" s="93" t="b">
        <f>IF(AND(NOT(OR(Table132[[#This Row],[Case Status]]="Postponed",Table132[[#This Row],[Case Status]]="Cancelled")),NOT(Table132[[#This Row],[Which seasonal area of the SAC does this activity impact?]]="Summer"),OR(OR(MONTH(Table132[[#This Row],[Start Date]])&lt;=3,MONTH(Table132[[#This Row],[Start Date]])&gt;=10),OR(MONTH(Table132[[#This Row],[End Date]])&lt;=3,MONTH(Table132[[#This Row],[End Date]])&gt;=10,(Table132[[#This Row],[End Date]]-Table132[[#This Row],[Start Date]])&gt;=182))),TRUE,FALSE)</f>
        <v>0</v>
      </c>
      <c r="V16" s="63" t="b">
        <f>IF(AND(NOT(OR(Table132[[#This Row],[Case Status]]="Postponed",Table132[[#This Row],[Case Status]]="Cancelled")),NOT(Table132[[#This Row],[Which seasonal area of the SAC does this activity impact?]]="Winter"),OR(OR(MONTH(Table132[[#This Row],[Start Date]])&gt;=4,MONTH(Table132[[#This Row],[Start Date]])&lt;=9)),OR(MONTH(Table132[[#This Row],[End Date]])&gt;=4,MONTH(Table132[[#This Row],[End Date]])&lt;=9,(Table132[[#This Row],[End Date]]-Table132[[#This Row],[Start Date]])&gt;=182)),TRUE,FALSE)</f>
        <v>1</v>
      </c>
      <c r="W16" s="88">
        <f>IF(Table132[[#This Row],[Include in Winter Calendar]],Table132[[#This Row],[Area Overlap with Winter SAC (km2) (NEW)]]*100/$M$3,0)</f>
        <v>0</v>
      </c>
      <c r="X16" s="88">
        <f>IF(Table132[[#This Row],[Include in Summer Calendar]],Table132[[#This Row],[Area Overlap with Summer SAC (km2) (NEW)]]*100/$M$2,0)</f>
        <v>0</v>
      </c>
      <c r="Y16" s="64">
        <f>IF(Table132[[#This Row],[Include in Winter Calendar]],Table132[[#This Row],[Area Overlap with SAC (km2)]]*100/$M$3,0)</f>
        <v>0</v>
      </c>
      <c r="Z16" s="64">
        <f>IF(Table132[[#This Row],[Include in Summer Calendar]],Table132[[#This Row],[Area Overlap with SAC (km2)]]*100/$M$2,0)</f>
        <v>10.629717330176113</v>
      </c>
      <c r="AA16" s="65">
        <v>6</v>
      </c>
    </row>
    <row r="17" spans="1:27" ht="39" customHeight="1" x14ac:dyDescent="0.35">
      <c r="A17" s="75" t="s">
        <v>87</v>
      </c>
      <c r="B17" s="77" t="s">
        <v>84</v>
      </c>
      <c r="C17" s="33" t="s">
        <v>38</v>
      </c>
      <c r="D17" s="33" t="s">
        <v>39</v>
      </c>
      <c r="E17" s="33" t="s">
        <v>51</v>
      </c>
      <c r="F17" s="36"/>
      <c r="G17" s="25" t="s">
        <v>88</v>
      </c>
      <c r="H17" s="25"/>
      <c r="I17" s="80" t="s">
        <v>86</v>
      </c>
      <c r="J17" s="83">
        <v>45953</v>
      </c>
      <c r="K17" s="8">
        <v>45872</v>
      </c>
      <c r="L17" s="8">
        <v>45885</v>
      </c>
      <c r="M17" s="9">
        <v>3</v>
      </c>
      <c r="N17" s="9">
        <v>150.69999999999999</v>
      </c>
      <c r="O17" s="9"/>
      <c r="P17" s="39"/>
      <c r="Q17" s="39"/>
      <c r="R17" s="9"/>
      <c r="S17" s="9"/>
      <c r="T17" s="161" t="s">
        <v>43</v>
      </c>
      <c r="U17" s="58" t="b">
        <f>IF(AND(NOT(OR(Table132[[#This Row],[Case Status]]="Postponed",Table132[[#This Row],[Case Status]]="Cancelled")),NOT(Table132[[#This Row],[Which seasonal area of the SAC does this activity impact?]]="Summer"),OR(OR(MONTH(Table132[[#This Row],[Start Date]])&lt;=3,MONTH(Table132[[#This Row],[Start Date]])&gt;=10),OR(MONTH(Table132[[#This Row],[End Date]])&lt;=3,MONTH(Table132[[#This Row],[End Date]])&gt;=10,(Table132[[#This Row],[End Date]]-Table132[[#This Row],[Start Date]])&gt;=182))),TRUE,FALSE)</f>
        <v>0</v>
      </c>
      <c r="V17" s="60" t="b">
        <f>IF(AND(NOT(OR(Table132[[#This Row],[Case Status]]="Postponed",Table132[[#This Row],[Case Status]]="Cancelled")),NOT(Table132[[#This Row],[Which seasonal area of the SAC does this activity impact?]]="Winter"),OR(OR(MONTH(Table132[[#This Row],[Start Date]])&gt;=4,MONTH(Table132[[#This Row],[Start Date]])&lt;=9)),OR(MONTH(Table132[[#This Row],[End Date]])&gt;=4,MONTH(Table132[[#This Row],[End Date]])&lt;=9,(Table132[[#This Row],[End Date]]-Table132[[#This Row],[Start Date]])&gt;=182)),TRUE,FALSE)</f>
        <v>1</v>
      </c>
      <c r="W17" s="89">
        <f>IF(Table132[[#This Row],[Include in Winter Calendar]],Table132[[#This Row],[Area Overlap with Winter SAC (km2) (NEW)]]*100/$M$3,0)</f>
        <v>0</v>
      </c>
      <c r="X17" s="89">
        <f>IF(Table132[[#This Row],[Include in Summer Calendar]],Table132[[#This Row],[Area Overlap with Summer SAC (km2) (NEW)]]*100/$M$2,0)</f>
        <v>0</v>
      </c>
      <c r="Y17" s="61">
        <f>IF(Table132[[#This Row],[Include in Winter Calendar]],Table132[[#This Row],[Area Overlap with SAC (km2)]]*100/$M$3,0)</f>
        <v>0</v>
      </c>
      <c r="Z17" s="61">
        <f>IF(Table132[[#This Row],[Include in Summer Calendar]],Table132[[#This Row],[Area Overlap with SAC (km2)]]*100/$M$2,0)</f>
        <v>0.55756992748261058</v>
      </c>
      <c r="AA17" s="62">
        <v>7</v>
      </c>
    </row>
    <row r="18" spans="1:27" ht="39" customHeight="1" x14ac:dyDescent="0.35">
      <c r="A18" s="75" t="s">
        <v>89</v>
      </c>
      <c r="B18" s="77" t="s">
        <v>84</v>
      </c>
      <c r="C18" s="33" t="s">
        <v>38</v>
      </c>
      <c r="D18" s="33" t="s">
        <v>50</v>
      </c>
      <c r="E18" s="33" t="s">
        <v>51</v>
      </c>
      <c r="F18" s="36"/>
      <c r="G18" s="25" t="s">
        <v>90</v>
      </c>
      <c r="H18" s="25"/>
      <c r="I18" s="80" t="s">
        <v>86</v>
      </c>
      <c r="J18" s="84">
        <v>45853</v>
      </c>
      <c r="K18" s="8">
        <v>45787</v>
      </c>
      <c r="L18" s="8">
        <v>45789</v>
      </c>
      <c r="M18" s="9">
        <v>3</v>
      </c>
      <c r="N18" s="9">
        <v>0.2</v>
      </c>
      <c r="O18" s="9"/>
      <c r="P18" s="39"/>
      <c r="Q18" s="39"/>
      <c r="R18" s="9"/>
      <c r="S18" s="9"/>
      <c r="T18" s="161" t="s">
        <v>43</v>
      </c>
      <c r="U18" s="58" t="b">
        <f>IF(AND(NOT(OR(Table132[[#This Row],[Case Status]]="Postponed",Table132[[#This Row],[Case Status]]="Cancelled")),NOT(Table132[[#This Row],[Which seasonal area of the SAC does this activity impact?]]="Summer"),OR(OR(MONTH(Table132[[#This Row],[Start Date]])&lt;=3,MONTH(Table132[[#This Row],[Start Date]])&gt;=10),OR(MONTH(Table132[[#This Row],[End Date]])&lt;=3,MONTH(Table132[[#This Row],[End Date]])&gt;=10,(Table132[[#This Row],[End Date]]-Table132[[#This Row],[Start Date]])&gt;=182))),TRUE,FALSE)</f>
        <v>0</v>
      </c>
      <c r="V18" s="60" t="b">
        <f>IF(AND(NOT(OR(Table132[[#This Row],[Case Status]]="Postponed",Table132[[#This Row],[Case Status]]="Cancelled")),NOT(Table132[[#This Row],[Which seasonal area of the SAC does this activity impact?]]="Winter"),OR(OR(MONTH(Table132[[#This Row],[Start Date]])&gt;=4,MONTH(Table132[[#This Row],[Start Date]])&lt;=9)),OR(MONTH(Table132[[#This Row],[End Date]])&gt;=4,MONTH(Table132[[#This Row],[End Date]])&lt;=9,(Table132[[#This Row],[End Date]]-Table132[[#This Row],[Start Date]])&gt;=182)),TRUE,FALSE)</f>
        <v>1</v>
      </c>
      <c r="W18" s="89">
        <f>IF(Table132[[#This Row],[Include in Winter Calendar]],Table132[[#This Row],[Area Overlap with Winter SAC (km2) (NEW)]]*100/$M$3,0)</f>
        <v>0</v>
      </c>
      <c r="X18" s="89">
        <f>IF(Table132[[#This Row],[Include in Summer Calendar]],Table132[[#This Row],[Area Overlap with Summer SAC (km2) (NEW)]]*100/$M$2,0)</f>
        <v>0</v>
      </c>
      <c r="Y18" s="61">
        <f>IF(Table132[[#This Row],[Include in Winter Calendar]],Table132[[#This Row],[Area Overlap with SAC (km2)]]*100/$M$3,0)</f>
        <v>0</v>
      </c>
      <c r="Z18" s="61">
        <f>IF(Table132[[#This Row],[Include in Summer Calendar]],Table132[[#This Row],[Area Overlap with SAC (km2)]]*100/$M$2,0)</f>
        <v>7.3997336095900552E-4</v>
      </c>
      <c r="AA18" s="65">
        <v>9</v>
      </c>
    </row>
    <row r="19" spans="1:27" ht="102.65" customHeight="1" x14ac:dyDescent="0.35">
      <c r="A19" s="75" t="s">
        <v>91</v>
      </c>
      <c r="B19" s="77" t="s">
        <v>37</v>
      </c>
      <c r="C19" s="33" t="s">
        <v>38</v>
      </c>
      <c r="D19" s="33" t="s">
        <v>92</v>
      </c>
      <c r="E19" s="33" t="s">
        <v>40</v>
      </c>
      <c r="F19" s="36"/>
      <c r="G19" s="25" t="s">
        <v>41</v>
      </c>
      <c r="H19" s="25"/>
      <c r="I19" s="80" t="s">
        <v>86</v>
      </c>
      <c r="J19" s="84">
        <v>45909</v>
      </c>
      <c r="K19" s="7">
        <v>45880</v>
      </c>
      <c r="L19" s="7">
        <v>45880</v>
      </c>
      <c r="M19" s="9">
        <v>1</v>
      </c>
      <c r="N19" s="9">
        <v>706</v>
      </c>
      <c r="O19" s="9"/>
      <c r="P19" s="39"/>
      <c r="Q19" s="39"/>
      <c r="R19" s="9"/>
      <c r="S19" s="9"/>
      <c r="T19" s="161" t="s">
        <v>43</v>
      </c>
      <c r="U19" s="58" t="b">
        <f>IF(AND(NOT(OR(Table132[[#This Row],[Case Status]]="Postponed",Table132[[#This Row],[Case Status]]="Cancelled")),NOT(Table132[[#This Row],[Which seasonal area of the SAC does this activity impact?]]="Summer"),OR(OR(MONTH(Table132[[#This Row],[Start Date]])&lt;=3,MONTH(Table132[[#This Row],[Start Date]])&gt;=10),OR(MONTH(Table132[[#This Row],[End Date]])&lt;=3,MONTH(Table132[[#This Row],[End Date]])&gt;=10,(Table132[[#This Row],[End Date]]-Table132[[#This Row],[Start Date]])&gt;=182))),TRUE,FALSE)</f>
        <v>0</v>
      </c>
      <c r="V19" s="60" t="b">
        <f>IF(AND(NOT(OR(Table132[[#This Row],[Case Status]]="Postponed",Table132[[#This Row],[Case Status]]="Cancelled")),NOT(Table132[[#This Row],[Which seasonal area of the SAC does this activity impact?]]="Winter"),OR(OR(MONTH(Table132[[#This Row],[Start Date]])&gt;=4,MONTH(Table132[[#This Row],[Start Date]])&lt;=9)),OR(MONTH(Table132[[#This Row],[End Date]])&gt;=4,MONTH(Table132[[#This Row],[End Date]])&lt;=9,(Table132[[#This Row],[End Date]]-Table132[[#This Row],[Start Date]])&gt;=182)),TRUE,FALSE)</f>
        <v>1</v>
      </c>
      <c r="W19" s="89">
        <f>IF(Table132[[#This Row],[Include in Winter Calendar]],Table132[[#This Row],[Area Overlap with Winter SAC (km2) (NEW)]]*100/$M$3,0)</f>
        <v>0</v>
      </c>
      <c r="X19" s="89">
        <f>IF(Table132[[#This Row],[Include in Summer Calendar]],Table132[[#This Row],[Area Overlap with Summer SAC (km2) (NEW)]]*100/$M$2,0)</f>
        <v>0</v>
      </c>
      <c r="Y19" s="59">
        <f>IF(Table132[[#This Row],[Include in Winter Calendar]],Table132[[#This Row],[Area Overlap with SAC (km2)]]*100/$M$3,0)</f>
        <v>0</v>
      </c>
      <c r="Z19" s="59">
        <f>IF(Table132[[#This Row],[Include in Summer Calendar]],Table132[[#This Row],[Area Overlap with SAC (km2)]]*100/$M$2,0)</f>
        <v>2.6121059641852895</v>
      </c>
      <c r="AA19" s="65">
        <v>12</v>
      </c>
    </row>
    <row r="20" spans="1:27" s="3" customFormat="1" ht="107.15" customHeight="1" x14ac:dyDescent="0.35">
      <c r="A20" s="75" t="s">
        <v>93</v>
      </c>
      <c r="B20" s="77" t="s">
        <v>37</v>
      </c>
      <c r="C20" s="33" t="s">
        <v>38</v>
      </c>
      <c r="D20" s="33" t="s">
        <v>65</v>
      </c>
      <c r="E20" s="34" t="s">
        <v>40</v>
      </c>
      <c r="F20" s="35"/>
      <c r="G20" s="25" t="s">
        <v>94</v>
      </c>
      <c r="H20" s="25"/>
      <c r="I20" s="80" t="s">
        <v>86</v>
      </c>
      <c r="J20" s="84">
        <v>45853</v>
      </c>
      <c r="K20" s="7">
        <v>45481</v>
      </c>
      <c r="L20" s="7">
        <v>45774</v>
      </c>
      <c r="M20" s="9">
        <v>55</v>
      </c>
      <c r="N20" s="9">
        <v>79</v>
      </c>
      <c r="O20" s="39"/>
      <c r="P20" s="39"/>
      <c r="Q20" s="39"/>
      <c r="R20" s="9"/>
      <c r="S20" s="9"/>
      <c r="T20" s="161" t="s">
        <v>43</v>
      </c>
      <c r="U20" s="58" t="b">
        <f>IF(AND(NOT(OR(Table132[[#This Row],[Case Status]]="Postponed",Table132[[#This Row],[Case Status]]="Cancelled")),NOT(Table132[[#This Row],[Which seasonal area of the SAC does this activity impact?]]="Summer"),OR(OR(MONTH(Table132[[#This Row],[Start Date]])&lt;=3,MONTH(Table132[[#This Row],[Start Date]])&gt;=10),OR(MONTH(Table132[[#This Row],[End Date]])&lt;=3,MONTH(Table132[[#This Row],[End Date]])&gt;=10,(Table132[[#This Row],[End Date]]-Table132[[#This Row],[Start Date]])&gt;=182))),TRUE,FALSE)</f>
        <v>1</v>
      </c>
      <c r="V20" s="60" t="b">
        <f>IF(AND(NOT(OR(Table132[[#This Row],[Case Status]]="Postponed",Table132[[#This Row],[Case Status]]="Cancelled")),NOT(Table132[[#This Row],[Which seasonal area of the SAC does this activity impact?]]="Winter"),OR(OR(MONTH(Table132[[#This Row],[Start Date]])&gt;=4,MONTH(Table132[[#This Row],[Start Date]])&lt;=9)),OR(MONTH(Table132[[#This Row],[End Date]])&gt;=4,MONTH(Table132[[#This Row],[End Date]])&lt;=9,(Table132[[#This Row],[End Date]]-Table132[[#This Row],[Start Date]])&gt;=182)),TRUE,FALSE)</f>
        <v>1</v>
      </c>
      <c r="W20" s="89">
        <f>IF(Table132[[#This Row],[Include in Winter Calendar]],Table132[[#This Row],[Area Overlap with Winter SAC (km2) (NEW)]]*100/$M$3,0)</f>
        <v>0</v>
      </c>
      <c r="X20" s="89">
        <f>IF(Table132[[#This Row],[Include in Summer Calendar]],Table132[[#This Row],[Area Overlap with Summer SAC (km2) (NEW)]]*100/$M$2,0)</f>
        <v>0</v>
      </c>
      <c r="Y20" s="59">
        <f>IF(Table132[[#This Row],[Include in Winter Calendar]],Table132[[#This Row],[Area Overlap with SAC (km2)]]*100/$M$3,0)</f>
        <v>0.62224322621298045</v>
      </c>
      <c r="Z20" s="59">
        <f>IF(Table132[[#This Row],[Include in Summer Calendar]],Table132[[#This Row],[Area Overlap with SAC (km2)]]*100/$M$2,0)</f>
        <v>0.29228947757880719</v>
      </c>
      <c r="AA20" s="62">
        <v>14</v>
      </c>
    </row>
    <row r="21" spans="1:27" s="3" customFormat="1" ht="39" customHeight="1" x14ac:dyDescent="0.35">
      <c r="A21" s="75" t="s">
        <v>95</v>
      </c>
      <c r="B21" s="78" t="s">
        <v>79</v>
      </c>
      <c r="C21" s="30" t="s">
        <v>58</v>
      </c>
      <c r="D21" s="30" t="s">
        <v>50</v>
      </c>
      <c r="E21" s="31" t="s">
        <v>51</v>
      </c>
      <c r="F21" s="32" t="s">
        <v>96</v>
      </c>
      <c r="G21" s="26" t="s">
        <v>97</v>
      </c>
      <c r="H21" s="26"/>
      <c r="I21" s="80" t="s">
        <v>86</v>
      </c>
      <c r="J21" s="83">
        <v>45867</v>
      </c>
      <c r="K21" s="8">
        <v>45762</v>
      </c>
      <c r="L21" s="8">
        <v>45784</v>
      </c>
      <c r="M21" s="10">
        <v>20</v>
      </c>
      <c r="N21" s="10">
        <v>115</v>
      </c>
      <c r="O21" s="38" t="s">
        <v>62</v>
      </c>
      <c r="P21" s="38"/>
      <c r="Q21" s="38"/>
      <c r="R21" s="10"/>
      <c r="S21" s="9" t="s">
        <v>98</v>
      </c>
      <c r="T21" s="161" t="s">
        <v>43</v>
      </c>
      <c r="U21" s="58" t="b">
        <f>IF(AND(NOT(OR(Table132[[#This Row],[Case Status]]="Postponed",Table132[[#This Row],[Case Status]]="Cancelled")),NOT(Table132[[#This Row],[Which seasonal area of the SAC does this activity impact?]]="Summer"),OR(OR(MONTH(Table132[[#This Row],[Start Date]])&lt;=3,MONTH(Table132[[#This Row],[Start Date]])&gt;=10),OR(MONTH(Table132[[#This Row],[End Date]])&lt;=3,MONTH(Table132[[#This Row],[End Date]])&gt;=10,(Table132[[#This Row],[End Date]]-Table132[[#This Row],[Start Date]])&gt;=182))),TRUE,FALSE)</f>
        <v>0</v>
      </c>
      <c r="V21" s="66" t="b">
        <f>IF(AND(NOT(OR(Table132[[#This Row],[Case Status]]="Postponed",Table132[[#This Row],[Case Status]]="Cancelled")),NOT(Table132[[#This Row],[Which seasonal area of the SAC does this activity impact?]]="Winter"),OR(OR(MONTH(Table132[[#This Row],[Start Date]])&gt;=4,MONTH(Table132[[#This Row],[Start Date]])&lt;=9)),OR(MONTH(Table132[[#This Row],[End Date]])&gt;=4,MONTH(Table132[[#This Row],[End Date]])&lt;=9,(Table132[[#This Row],[End Date]]-Table132[[#This Row],[Start Date]])&gt;=182)),TRUE,FALSE)</f>
        <v>1</v>
      </c>
      <c r="W21" s="90">
        <f>IF(Table132[[#This Row],[Include in Winter Calendar]],Table132[[#This Row],[Area Overlap with Winter SAC (km2) (NEW)]]*100/$M$3,0)</f>
        <v>0</v>
      </c>
      <c r="X21" s="90">
        <f>IF(Table132[[#This Row],[Include in Summer Calendar]],Table132[[#This Row],[Area Overlap with Summer SAC (km2) (NEW)]]*100/$M$2,0)</f>
        <v>0</v>
      </c>
      <c r="Y21" s="61">
        <f>IF(Table132[[#This Row],[Include in Winter Calendar]],Table132[[#This Row],[Area Overlap with SAC (km2)]]*100/$M$3,0)</f>
        <v>0</v>
      </c>
      <c r="Z21" s="61">
        <f>IF(Table132[[#This Row],[Include in Summer Calendar]],Table132[[#This Row],[Area Overlap with SAC (km2)]]*100/$M$2,0)</f>
        <v>0.42548468255142813</v>
      </c>
      <c r="AA21" s="62">
        <v>16</v>
      </c>
    </row>
    <row r="22" spans="1:27" s="3" customFormat="1" ht="39" customHeight="1" x14ac:dyDescent="0.35">
      <c r="A22" s="75" t="s">
        <v>99</v>
      </c>
      <c r="B22" s="78" t="s">
        <v>79</v>
      </c>
      <c r="C22" s="30" t="s">
        <v>58</v>
      </c>
      <c r="D22" s="30" t="s">
        <v>50</v>
      </c>
      <c r="E22" s="31" t="s">
        <v>51</v>
      </c>
      <c r="F22" s="32" t="s">
        <v>100</v>
      </c>
      <c r="G22" s="26" t="s">
        <v>101</v>
      </c>
      <c r="H22" s="26"/>
      <c r="I22" s="80" t="s">
        <v>86</v>
      </c>
      <c r="J22" s="83">
        <v>45867</v>
      </c>
      <c r="K22" s="8">
        <v>45769</v>
      </c>
      <c r="L22" s="8">
        <v>45786</v>
      </c>
      <c r="M22" s="10">
        <v>12</v>
      </c>
      <c r="N22" s="10">
        <v>121</v>
      </c>
      <c r="O22" s="38" t="s">
        <v>62</v>
      </c>
      <c r="P22" s="38"/>
      <c r="Q22" s="38"/>
      <c r="R22" s="10"/>
      <c r="S22" s="9" t="s">
        <v>102</v>
      </c>
      <c r="T22" s="161" t="s">
        <v>43</v>
      </c>
      <c r="U22" s="58" t="b">
        <f>IF(AND(NOT(OR(Table132[[#This Row],[Case Status]]="Postponed",Table132[[#This Row],[Case Status]]="Cancelled")),NOT(Table132[[#This Row],[Which seasonal area of the SAC does this activity impact?]]="Summer"),OR(OR(MONTH(Table132[[#This Row],[Start Date]])&lt;=3,MONTH(Table132[[#This Row],[Start Date]])&gt;=10),OR(MONTH(Table132[[#This Row],[End Date]])&lt;=3,MONTH(Table132[[#This Row],[End Date]])&gt;=10,(Table132[[#This Row],[End Date]]-Table132[[#This Row],[Start Date]])&gt;=182))),TRUE,FALSE)</f>
        <v>0</v>
      </c>
      <c r="V22" s="66" t="b">
        <f>IF(AND(NOT(OR(Table132[[#This Row],[Case Status]]="Postponed",Table132[[#This Row],[Case Status]]="Cancelled")),NOT(Table132[[#This Row],[Which seasonal area of the SAC does this activity impact?]]="Winter"),OR(OR(MONTH(Table132[[#This Row],[Start Date]])&gt;=4,MONTH(Table132[[#This Row],[Start Date]])&lt;=9)),OR(MONTH(Table132[[#This Row],[End Date]])&gt;=4,MONTH(Table132[[#This Row],[End Date]])&lt;=9,(Table132[[#This Row],[End Date]]-Table132[[#This Row],[Start Date]])&gt;=182)),TRUE,FALSE)</f>
        <v>1</v>
      </c>
      <c r="W22" s="90">
        <f>IF(Table132[[#This Row],[Include in Winter Calendar]],Table132[[#This Row],[Area Overlap with Winter SAC (km2) (NEW)]]*100/$M$3,0)</f>
        <v>0</v>
      </c>
      <c r="X22" s="90">
        <f>IF(Table132[[#This Row],[Include in Summer Calendar]],Table132[[#This Row],[Area Overlap with Summer SAC (km2) (NEW)]]*100/$M$2,0)</f>
        <v>0</v>
      </c>
      <c r="Y22" s="61">
        <f>IF(Table132[[#This Row],[Include in Winter Calendar]],Table132[[#This Row],[Area Overlap with SAC (km2)]]*100/$M$3,0)</f>
        <v>0</v>
      </c>
      <c r="Z22" s="61">
        <f>IF(Table132[[#This Row],[Include in Summer Calendar]],Table132[[#This Row],[Area Overlap with SAC (km2)]]*100/$M$2,0)</f>
        <v>0.44768388338019832</v>
      </c>
      <c r="AA22" s="62">
        <v>17</v>
      </c>
    </row>
    <row r="23" spans="1:27" s="3" customFormat="1" ht="39" customHeight="1" x14ac:dyDescent="0.35">
      <c r="A23" s="75" t="s">
        <v>103</v>
      </c>
      <c r="B23" s="77" t="s">
        <v>73</v>
      </c>
      <c r="C23" s="33" t="s">
        <v>38</v>
      </c>
      <c r="D23" s="33" t="s">
        <v>65</v>
      </c>
      <c r="E23" s="33" t="s">
        <v>51</v>
      </c>
      <c r="F23" s="36"/>
      <c r="G23" s="25" t="s">
        <v>104</v>
      </c>
      <c r="H23" s="25"/>
      <c r="I23" s="80" t="s">
        <v>86</v>
      </c>
      <c r="J23" s="84">
        <v>45853</v>
      </c>
      <c r="K23" s="8">
        <v>45566</v>
      </c>
      <c r="L23" s="8">
        <v>45762</v>
      </c>
      <c r="M23" s="9">
        <v>24</v>
      </c>
      <c r="N23" s="9">
        <v>79</v>
      </c>
      <c r="O23" s="9"/>
      <c r="P23" s="39"/>
      <c r="Q23" s="39"/>
      <c r="R23" s="9"/>
      <c r="S23" s="9"/>
      <c r="T23" s="161" t="s">
        <v>43</v>
      </c>
      <c r="U23" s="58" t="b">
        <f>IF(AND(NOT(OR(Table132[[#This Row],[Case Status]]="Postponed",Table132[[#This Row],[Case Status]]="Cancelled")),NOT(Table132[[#This Row],[Which seasonal area of the SAC does this activity impact?]]="Summer"),OR(OR(MONTH(Table132[[#This Row],[Start Date]])&lt;=3,MONTH(Table132[[#This Row],[Start Date]])&gt;=10),OR(MONTH(Table132[[#This Row],[End Date]])&lt;=3,MONTH(Table132[[#This Row],[End Date]])&gt;=10,(Table132[[#This Row],[End Date]]-Table132[[#This Row],[Start Date]])&gt;=182))),TRUE,FALSE)</f>
        <v>0</v>
      </c>
      <c r="V23" s="66" t="b">
        <f>IF(AND(NOT(OR(Table132[[#This Row],[Case Status]]="Postponed",Table132[[#This Row],[Case Status]]="Cancelled")),NOT(Table132[[#This Row],[Which seasonal area of the SAC does this activity impact?]]="Winter"),OR(OR(MONTH(Table132[[#This Row],[Start Date]])&gt;=4,MONTH(Table132[[#This Row],[Start Date]])&lt;=9)),OR(MONTH(Table132[[#This Row],[End Date]])&gt;=4,MONTH(Table132[[#This Row],[End Date]])&lt;=9,(Table132[[#This Row],[End Date]]-Table132[[#This Row],[Start Date]])&gt;=182)),TRUE,FALSE)</f>
        <v>1</v>
      </c>
      <c r="W23" s="90">
        <f>IF(Table132[[#This Row],[Include in Winter Calendar]],Table132[[#This Row],[Area Overlap with Winter SAC (km2) (NEW)]]*100/$M$3,0)</f>
        <v>0</v>
      </c>
      <c r="X23" s="90">
        <f>IF(Table132[[#This Row],[Include in Summer Calendar]],Table132[[#This Row],[Area Overlap with Summer SAC (km2) (NEW)]]*100/$M$2,0)</f>
        <v>0</v>
      </c>
      <c r="Y23" s="61">
        <f>IF(Table132[[#This Row],[Include in Winter Calendar]],Table132[[#This Row],[Area Overlap with SAC (km2)]]*100/$M$3,0)</f>
        <v>0</v>
      </c>
      <c r="Z23" s="61">
        <f>IF(Table132[[#This Row],[Include in Summer Calendar]],Table132[[#This Row],[Area Overlap with SAC (km2)]]*100/$M$2,0)</f>
        <v>0.29228947757880719</v>
      </c>
      <c r="AA23" s="65">
        <v>21</v>
      </c>
    </row>
    <row r="24" spans="1:27" s="3" customFormat="1" ht="39" customHeight="1" x14ac:dyDescent="0.35">
      <c r="A24" s="75" t="s">
        <v>105</v>
      </c>
      <c r="B24" s="77" t="s">
        <v>73</v>
      </c>
      <c r="C24" s="33" t="s">
        <v>38</v>
      </c>
      <c r="D24" s="33" t="s">
        <v>65</v>
      </c>
      <c r="E24" s="33" t="s">
        <v>51</v>
      </c>
      <c r="F24" s="36"/>
      <c r="G24" s="25" t="s">
        <v>106</v>
      </c>
      <c r="H24" s="25"/>
      <c r="I24" s="80" t="s">
        <v>86</v>
      </c>
      <c r="J24" s="84">
        <v>45929</v>
      </c>
      <c r="K24" s="8">
        <v>45876</v>
      </c>
      <c r="L24" s="8">
        <v>45907</v>
      </c>
      <c r="M24" s="9">
        <v>27</v>
      </c>
      <c r="N24" s="9">
        <v>79</v>
      </c>
      <c r="O24" s="9"/>
      <c r="P24" s="39"/>
      <c r="Q24" s="39"/>
      <c r="R24" s="9"/>
      <c r="S24" s="9"/>
      <c r="T24" s="161" t="s">
        <v>43</v>
      </c>
      <c r="U24" s="58" t="b">
        <f>IF(AND(NOT(OR(Table132[[#This Row],[Case Status]]="Postponed",Table132[[#This Row],[Case Status]]="Cancelled")),NOT(Table132[[#This Row],[Which seasonal area of the SAC does this activity impact?]]="Summer"),OR(OR(MONTH(Table132[[#This Row],[Start Date]])&lt;=3,MONTH(Table132[[#This Row],[Start Date]])&gt;=10),OR(MONTH(Table132[[#This Row],[End Date]])&lt;=3,MONTH(Table132[[#This Row],[End Date]])&gt;=10,(Table132[[#This Row],[End Date]]-Table132[[#This Row],[Start Date]])&gt;=182))),TRUE,FALSE)</f>
        <v>0</v>
      </c>
      <c r="V24" s="66" t="b">
        <f>IF(AND(NOT(OR(Table132[[#This Row],[Case Status]]="Postponed",Table132[[#This Row],[Case Status]]="Cancelled")),NOT(Table132[[#This Row],[Which seasonal area of the SAC does this activity impact?]]="Winter"),OR(OR(MONTH(Table132[[#This Row],[Start Date]])&gt;=4,MONTH(Table132[[#This Row],[Start Date]])&lt;=9)),OR(MONTH(Table132[[#This Row],[End Date]])&gt;=4,MONTH(Table132[[#This Row],[End Date]])&lt;=9,(Table132[[#This Row],[End Date]]-Table132[[#This Row],[Start Date]])&gt;=182)),TRUE,FALSE)</f>
        <v>1</v>
      </c>
      <c r="W24" s="90">
        <f>IF(Table132[[#This Row],[Include in Winter Calendar]],Table132[[#This Row],[Area Overlap with Winter SAC (km2) (NEW)]]*100/$M$3,0)</f>
        <v>0</v>
      </c>
      <c r="X24" s="90">
        <f>IF(Table132[[#This Row],[Include in Summer Calendar]],Table132[[#This Row],[Area Overlap with Summer SAC (km2) (NEW)]]*100/$M$2,0)</f>
        <v>0</v>
      </c>
      <c r="Y24" s="61">
        <f>IF(Table132[[#This Row],[Include in Winter Calendar]],Table132[[#This Row],[Area Overlap with SAC (km2)]]*100/$M$3,0)</f>
        <v>0</v>
      </c>
      <c r="Z24" s="61">
        <f>IF(Table132[[#This Row],[Include in Summer Calendar]],Table132[[#This Row],[Area Overlap with SAC (km2)]]*100/$M$2,0)</f>
        <v>0.29228947757880719</v>
      </c>
      <c r="AA24" s="62">
        <v>22</v>
      </c>
    </row>
    <row r="25" spans="1:27" s="3" customFormat="1" ht="46.5" customHeight="1" x14ac:dyDescent="0.35">
      <c r="A25" s="75" t="s">
        <v>107</v>
      </c>
      <c r="B25" s="77" t="s">
        <v>73</v>
      </c>
      <c r="C25" s="33" t="s">
        <v>38</v>
      </c>
      <c r="D25" s="33" t="s">
        <v>69</v>
      </c>
      <c r="E25" s="33" t="s">
        <v>51</v>
      </c>
      <c r="F25" s="36"/>
      <c r="G25" s="25" t="s">
        <v>104</v>
      </c>
      <c r="H25" s="27"/>
      <c r="I25" s="80" t="s">
        <v>86</v>
      </c>
      <c r="J25" s="84">
        <v>45853</v>
      </c>
      <c r="K25" s="8">
        <v>45603</v>
      </c>
      <c r="L25" s="8">
        <v>45603</v>
      </c>
      <c r="M25" s="9">
        <v>1</v>
      </c>
      <c r="N25" s="9">
        <v>707</v>
      </c>
      <c r="O25" s="96"/>
      <c r="P25" s="39"/>
      <c r="Q25" s="39"/>
      <c r="R25" s="9" t="s">
        <v>108</v>
      </c>
      <c r="S25" s="161" t="s">
        <v>109</v>
      </c>
      <c r="T25" s="161" t="s">
        <v>43</v>
      </c>
      <c r="U25" s="58" t="b">
        <f>IF(AND(NOT(OR(Table132[[#This Row],[Case Status]]="Postponed",Table132[[#This Row],[Case Status]]="Cancelled")),NOT(Table132[[#This Row],[Which seasonal area of the SAC does this activity impact?]]="Summer"),OR(OR(MONTH(Table132[[#This Row],[Start Date]])&lt;=3,MONTH(Table132[[#This Row],[Start Date]])&gt;=10),OR(MONTH(Table132[[#This Row],[End Date]])&lt;=3,MONTH(Table132[[#This Row],[End Date]])&gt;=10,(Table132[[#This Row],[End Date]]-Table132[[#This Row],[Start Date]])&gt;=182))),TRUE,FALSE)</f>
        <v>0</v>
      </c>
      <c r="V25" s="66" t="b">
        <f>IF(AND(NOT(OR(Table132[[#This Row],[Case Status]]="Postponed",Table132[[#This Row],[Case Status]]="Cancelled")),NOT(Table132[[#This Row],[Which seasonal area of the SAC does this activity impact?]]="Winter"),OR(OR(MONTH(Table132[[#This Row],[Start Date]])&gt;=4,MONTH(Table132[[#This Row],[Start Date]])&lt;=9)),OR(MONTH(Table132[[#This Row],[End Date]])&gt;=4,MONTH(Table132[[#This Row],[End Date]])&lt;=9,(Table132[[#This Row],[End Date]]-Table132[[#This Row],[Start Date]])&gt;=182)),TRUE,FALSE)</f>
        <v>1</v>
      </c>
      <c r="W25" s="90">
        <f>IF(Table132[[#This Row],[Include in Winter Calendar]],Table132[[#This Row],[Area Overlap with Winter SAC (km2) (NEW)]]*100/$M$3,0)</f>
        <v>0</v>
      </c>
      <c r="X25" s="90">
        <f>IF(Table132[[#This Row],[Include in Summer Calendar]],Table132[[#This Row],[Area Overlap with Summer SAC (km2) (NEW)]]*100/$M$2,0)</f>
        <v>0</v>
      </c>
      <c r="Y25" s="61">
        <f>IF(Table132[[#This Row],[Include in Winter Calendar]],Table132[[#This Row],[Area Overlap with SAC (km2)]]*100/$M$3,0)</f>
        <v>0</v>
      </c>
      <c r="Z25" s="61">
        <f>IF(Table132[[#This Row],[Include in Summer Calendar]],Table132[[#This Row],[Area Overlap with SAC (km2)]]*100/$M$2,0)</f>
        <v>2.6158058309900842</v>
      </c>
      <c r="AA25" s="62">
        <v>23</v>
      </c>
    </row>
    <row r="26" spans="1:27" ht="39" customHeight="1" x14ac:dyDescent="0.35">
      <c r="A26" s="75" t="s">
        <v>110</v>
      </c>
      <c r="B26" s="78" t="s">
        <v>111</v>
      </c>
      <c r="C26" s="30" t="s">
        <v>58</v>
      </c>
      <c r="D26" s="30" t="s">
        <v>50</v>
      </c>
      <c r="E26" s="31"/>
      <c r="F26" s="32"/>
      <c r="G26" s="26" t="s">
        <v>112</v>
      </c>
      <c r="H26" s="26"/>
      <c r="I26" s="81" t="s">
        <v>86</v>
      </c>
      <c r="J26" s="83">
        <v>45867</v>
      </c>
      <c r="K26" s="8">
        <v>45768</v>
      </c>
      <c r="L26" s="8">
        <v>45803</v>
      </c>
      <c r="M26" s="10">
        <v>36</v>
      </c>
      <c r="N26" s="43">
        <v>471</v>
      </c>
      <c r="O26" s="38"/>
      <c r="P26" s="39"/>
      <c r="Q26" s="39"/>
      <c r="R26" s="10"/>
      <c r="S26" s="9" t="s">
        <v>113</v>
      </c>
      <c r="T26" s="43" t="s">
        <v>43</v>
      </c>
      <c r="U26" s="58" t="b">
        <f>IF(AND(NOT(OR(Table132[[#This Row],[Case Status]]="Postponed",Table132[[#This Row],[Case Status]]="Cancelled")),NOT(Table132[[#This Row],[Which seasonal area of the SAC does this activity impact?]]="Summer"),OR(OR(MONTH(Table132[[#This Row],[Start Date]])&lt;=3,MONTH(Table132[[#This Row],[Start Date]])&gt;=10),OR(MONTH(Table132[[#This Row],[End Date]])&lt;=3,MONTH(Table132[[#This Row],[End Date]])&gt;=10,(Table132[[#This Row],[End Date]]-Table132[[#This Row],[Start Date]])&gt;=182))),TRUE,FALSE)</f>
        <v>0</v>
      </c>
      <c r="V26" s="66" t="b">
        <f>IF(AND(NOT(OR(Table132[[#This Row],[Case Status]]="Postponed",Table132[[#This Row],[Case Status]]="Cancelled")),NOT(Table132[[#This Row],[Which seasonal area of the SAC does this activity impact?]]="Winter"),OR(OR(MONTH(Table132[[#This Row],[Start Date]])&gt;=4,MONTH(Table132[[#This Row],[Start Date]])&lt;=9)),OR(MONTH(Table132[[#This Row],[End Date]])&gt;=4,MONTH(Table132[[#This Row],[End Date]])&lt;=9,(Table132[[#This Row],[End Date]]-Table132[[#This Row],[Start Date]])&gt;=182)),TRUE,FALSE)</f>
        <v>1</v>
      </c>
      <c r="W26" s="90">
        <f>IF(Table132[[#This Row],[Include in Winter Calendar]],Table132[[#This Row],[Area Overlap with Winter SAC (km2) (NEW)]]*100/$M$3,0)</f>
        <v>0</v>
      </c>
      <c r="X26" s="90">
        <f>IF(Table132[[#This Row],[Include in Summer Calendar]],Table132[[#This Row],[Area Overlap with Summer SAC (km2) (NEW)]]*100/$M$2,0)</f>
        <v>0</v>
      </c>
      <c r="Y26" s="61">
        <f>IF(Table132[[#This Row],[Include in Winter Calendar]],Table132[[#This Row],[Area Overlap with SAC (km2)]]*100/$M$3,0)</f>
        <v>0</v>
      </c>
      <c r="Z26" s="61">
        <f>IF(Table132[[#This Row],[Include in Summer Calendar]],Table132[[#This Row],[Area Overlap with SAC (km2)]]*100/$M$2,0)</f>
        <v>1.7426372650584578</v>
      </c>
      <c r="AA26" s="65">
        <v>27</v>
      </c>
    </row>
    <row r="27" spans="1:27" ht="39" customHeight="1" x14ac:dyDescent="0.35">
      <c r="A27" s="75" t="s">
        <v>114</v>
      </c>
      <c r="B27" s="77" t="s">
        <v>79</v>
      </c>
      <c r="C27" s="33" t="s">
        <v>58</v>
      </c>
      <c r="D27" s="33" t="s">
        <v>80</v>
      </c>
      <c r="E27" s="33" t="s">
        <v>51</v>
      </c>
      <c r="F27" s="36" t="s">
        <v>115</v>
      </c>
      <c r="G27" s="25" t="s">
        <v>116</v>
      </c>
      <c r="H27" s="94"/>
      <c r="I27" s="80" t="s">
        <v>86</v>
      </c>
      <c r="J27" s="83">
        <v>45867</v>
      </c>
      <c r="K27" s="8">
        <v>45748</v>
      </c>
      <c r="L27" s="8">
        <v>45756</v>
      </c>
      <c r="M27" s="9">
        <v>8</v>
      </c>
      <c r="N27" s="9">
        <v>798</v>
      </c>
      <c r="O27" s="9" t="s">
        <v>117</v>
      </c>
      <c r="P27" s="39"/>
      <c r="Q27" s="39"/>
      <c r="R27" s="9"/>
      <c r="S27" s="9" t="s">
        <v>118</v>
      </c>
      <c r="T27" s="161" t="s">
        <v>43</v>
      </c>
      <c r="U27" s="58" t="b">
        <f>IF(AND(NOT(OR(Table132[[#This Row],[Case Status]]="Postponed",Table132[[#This Row],[Case Status]]="Cancelled")),NOT(Table132[[#This Row],[Which seasonal area of the SAC does this activity impact?]]="Summer"),OR(OR(MONTH(Table132[[#This Row],[Start Date]])&lt;=3,MONTH(Table132[[#This Row],[Start Date]])&gt;=10),OR(MONTH(Table132[[#This Row],[End Date]])&lt;=3,MONTH(Table132[[#This Row],[End Date]])&gt;=10,(Table132[[#This Row],[End Date]]-Table132[[#This Row],[Start Date]])&gt;=182))),TRUE,FALSE)</f>
        <v>0</v>
      </c>
      <c r="V27" s="66" t="b">
        <f>IF(AND(NOT(OR(Table132[[#This Row],[Case Status]]="Postponed",Table132[[#This Row],[Case Status]]="Cancelled")),NOT(Table132[[#This Row],[Which seasonal area of the SAC does this activity impact?]]="Winter"),OR(OR(MONTH(Table132[[#This Row],[Start Date]])&gt;=4,MONTH(Table132[[#This Row],[Start Date]])&lt;=9)),OR(MONTH(Table132[[#This Row],[End Date]])&gt;=4,MONTH(Table132[[#This Row],[End Date]])&lt;=9,(Table132[[#This Row],[End Date]]-Table132[[#This Row],[Start Date]])&gt;=182)),TRUE,FALSE)</f>
        <v>1</v>
      </c>
      <c r="W27" s="90">
        <f>IF(Table132[[#This Row],[Include in Winter Calendar]],Table132[[#This Row],[Area Overlap with Winter SAC (km2) (NEW)]]*100/$M$3,0)</f>
        <v>0</v>
      </c>
      <c r="X27" s="90">
        <f>IF(Table132[[#This Row],[Include in Summer Calendar]],Table132[[#This Row],[Area Overlap with Summer SAC (km2) (NEW)]]*100/$M$2,0)</f>
        <v>0</v>
      </c>
      <c r="Y27" s="61">
        <f>IF(Table132[[#This Row],[Include in Winter Calendar]],Table132[[#This Row],[Area Overlap with SAC (km2)]]*100/$M$3,0)</f>
        <v>0</v>
      </c>
      <c r="Z27" s="61">
        <f>IF(Table132[[#This Row],[Include in Summer Calendar]],Table132[[#This Row],[Area Overlap with SAC (km2)]]*100/$M$2,0)</f>
        <v>2.9524937102264319</v>
      </c>
      <c r="AA27" s="62">
        <v>28</v>
      </c>
    </row>
    <row r="28" spans="1:27" ht="39" customHeight="1" x14ac:dyDescent="0.35">
      <c r="A28" s="75" t="s">
        <v>119</v>
      </c>
      <c r="B28" s="77" t="s">
        <v>120</v>
      </c>
      <c r="C28" s="33" t="s">
        <v>38</v>
      </c>
      <c r="D28" s="30" t="s">
        <v>45</v>
      </c>
      <c r="E28" s="31" t="s">
        <v>51</v>
      </c>
      <c r="F28" s="32"/>
      <c r="G28" s="25" t="s">
        <v>121</v>
      </c>
      <c r="H28" s="25"/>
      <c r="I28" s="80" t="s">
        <v>86</v>
      </c>
      <c r="J28" s="84">
        <v>45853</v>
      </c>
      <c r="K28" s="8">
        <v>45749</v>
      </c>
      <c r="L28" s="7">
        <v>45823</v>
      </c>
      <c r="M28" s="10">
        <v>23</v>
      </c>
      <c r="N28" s="10">
        <v>871.58</v>
      </c>
      <c r="O28" s="38"/>
      <c r="P28" s="38"/>
      <c r="Q28" s="38"/>
      <c r="R28" s="10" t="s">
        <v>108</v>
      </c>
      <c r="S28" s="9"/>
      <c r="T28" s="161" t="s">
        <v>43</v>
      </c>
      <c r="U28" s="58" t="b">
        <f>IF(AND(NOT(OR(Table132[[#This Row],[Case Status]]="Postponed",Table132[[#This Row],[Case Status]]="Cancelled")),NOT(Table132[[#This Row],[Which seasonal area of the SAC does this activity impact?]]="Summer"),OR(OR(MONTH(Table132[[#This Row],[Start Date]])&lt;=3,MONTH(Table132[[#This Row],[Start Date]])&gt;=10),OR(MONTH(Table132[[#This Row],[End Date]])&lt;=3,MONTH(Table132[[#This Row],[End Date]])&gt;=10,(Table132[[#This Row],[End Date]]-Table132[[#This Row],[Start Date]])&gt;=182))),TRUE,FALSE)</f>
        <v>0</v>
      </c>
      <c r="V28" s="66" t="b">
        <f>IF(AND(NOT(OR(Table132[[#This Row],[Case Status]]="Postponed",Table132[[#This Row],[Case Status]]="Cancelled")),NOT(Table132[[#This Row],[Which seasonal area of the SAC does this activity impact?]]="Winter"),OR(OR(MONTH(Table132[[#This Row],[Start Date]])&gt;=4,MONTH(Table132[[#This Row],[Start Date]])&lt;=9)),OR(MONTH(Table132[[#This Row],[End Date]])&gt;=4,MONTH(Table132[[#This Row],[End Date]])&lt;=9,(Table132[[#This Row],[End Date]]-Table132[[#This Row],[Start Date]])&gt;=182)),TRUE,FALSE)</f>
        <v>1</v>
      </c>
      <c r="W28" s="90">
        <f>IF(Table132[[#This Row],[Include in Winter Calendar]],Table132[[#This Row],[Area Overlap with Winter SAC (km2) (NEW)]]*100/$M$3,0)</f>
        <v>0</v>
      </c>
      <c r="X28" s="90">
        <f>IF(Table132[[#This Row],[Include in Summer Calendar]],Table132[[#This Row],[Area Overlap with Summer SAC (km2) (NEW)]]*100/$M$2,0)</f>
        <v>0</v>
      </c>
      <c r="Y28" s="61">
        <f>IF(Table132[[#This Row],[Include in Winter Calendar]],Table132[[#This Row],[Area Overlap with SAC (km2)]]*100/$M$3,0)</f>
        <v>0</v>
      </c>
      <c r="Z28" s="61">
        <f>IF(Table132[[#This Row],[Include in Summer Calendar]],Table132[[#This Row],[Area Overlap with SAC (km2)]]*100/$M$2,0)</f>
        <v>3.22472990972325</v>
      </c>
      <c r="AA28" s="62">
        <v>31</v>
      </c>
    </row>
    <row r="29" spans="1:27" ht="39" customHeight="1" x14ac:dyDescent="0.35">
      <c r="A29" s="75" t="s">
        <v>122</v>
      </c>
      <c r="B29" s="77" t="s">
        <v>120</v>
      </c>
      <c r="C29" s="33" t="s">
        <v>38</v>
      </c>
      <c r="D29" s="30" t="s">
        <v>39</v>
      </c>
      <c r="E29" s="31" t="s">
        <v>51</v>
      </c>
      <c r="F29" s="32"/>
      <c r="G29" s="25" t="s">
        <v>121</v>
      </c>
      <c r="H29" s="25"/>
      <c r="I29" s="80" t="s">
        <v>86</v>
      </c>
      <c r="J29" s="84">
        <v>45853</v>
      </c>
      <c r="K29" s="8">
        <v>45777</v>
      </c>
      <c r="L29" s="7">
        <v>45851</v>
      </c>
      <c r="M29" s="10">
        <v>4</v>
      </c>
      <c r="N29" s="10">
        <v>1928.38</v>
      </c>
      <c r="O29" s="38"/>
      <c r="P29" s="38"/>
      <c r="Q29" s="38"/>
      <c r="R29" s="10"/>
      <c r="S29" s="9"/>
      <c r="T29" s="161" t="s">
        <v>43</v>
      </c>
      <c r="U29" s="58" t="b">
        <f>IF(AND(NOT(OR(Table132[[#This Row],[Case Status]]="Postponed",Table132[[#This Row],[Case Status]]="Cancelled")),NOT(Table132[[#This Row],[Which seasonal area of the SAC does this activity impact?]]="Summer"),OR(OR(MONTH(Table132[[#This Row],[Start Date]])&lt;=3,MONTH(Table132[[#This Row],[Start Date]])&gt;=10),OR(MONTH(Table132[[#This Row],[End Date]])&lt;=3,MONTH(Table132[[#This Row],[End Date]])&gt;=10,(Table132[[#This Row],[End Date]]-Table132[[#This Row],[Start Date]])&gt;=182))),TRUE,FALSE)</f>
        <v>0</v>
      </c>
      <c r="V29" s="66" t="b">
        <f>IF(AND(NOT(OR(Table132[[#This Row],[Case Status]]="Postponed",Table132[[#This Row],[Case Status]]="Cancelled")),NOT(Table132[[#This Row],[Which seasonal area of the SAC does this activity impact?]]="Winter"),OR(OR(MONTH(Table132[[#This Row],[Start Date]])&gt;=4,MONTH(Table132[[#This Row],[Start Date]])&lt;=9)),OR(MONTH(Table132[[#This Row],[End Date]])&gt;=4,MONTH(Table132[[#This Row],[End Date]])&lt;=9,(Table132[[#This Row],[End Date]]-Table132[[#This Row],[Start Date]])&gt;=182)),TRUE,FALSE)</f>
        <v>1</v>
      </c>
      <c r="W29" s="90">
        <f>IF(Table132[[#This Row],[Include in Winter Calendar]],Table132[[#This Row],[Area Overlap with Winter SAC (km2) (NEW)]]*100/$M$3,0)</f>
        <v>0</v>
      </c>
      <c r="X29" s="90">
        <f>IF(Table132[[#This Row],[Include in Summer Calendar]],Table132[[#This Row],[Area Overlap with Summer SAC (km2) (NEW)]]*100/$M$2,0)</f>
        <v>0</v>
      </c>
      <c r="Y29" s="61">
        <f>IF(Table132[[#This Row],[Include in Winter Calendar]],Table132[[#This Row],[Area Overlap with SAC (km2)]]*100/$M$3,0)</f>
        <v>0</v>
      </c>
      <c r="Z29" s="61">
        <f>IF(Table132[[#This Row],[Include in Summer Calendar]],Table132[[#This Row],[Area Overlap with SAC (km2)]]*100/$M$2,0)</f>
        <v>7.1347491490306352</v>
      </c>
      <c r="AA29" s="62">
        <v>32</v>
      </c>
    </row>
    <row r="30" spans="1:27" ht="39" customHeight="1" x14ac:dyDescent="0.35">
      <c r="A30" s="75" t="s">
        <v>123</v>
      </c>
      <c r="B30" s="78" t="s">
        <v>124</v>
      </c>
      <c r="C30" s="33" t="s">
        <v>38</v>
      </c>
      <c r="D30" s="33" t="s">
        <v>50</v>
      </c>
      <c r="E30" s="33" t="s">
        <v>40</v>
      </c>
      <c r="F30" s="36"/>
      <c r="G30" s="26" t="s">
        <v>125</v>
      </c>
      <c r="H30" s="26"/>
      <c r="I30" s="80" t="s">
        <v>86</v>
      </c>
      <c r="J30" s="83">
        <v>45853</v>
      </c>
      <c r="K30" s="8">
        <v>45658</v>
      </c>
      <c r="L30" s="8">
        <v>45858</v>
      </c>
      <c r="M30" s="10">
        <v>365</v>
      </c>
      <c r="N30" s="10">
        <v>5.1000000000000004E-4</v>
      </c>
      <c r="O30" s="9"/>
      <c r="P30" s="38"/>
      <c r="Q30" s="38"/>
      <c r="R30" s="10"/>
      <c r="S30" s="9"/>
      <c r="T30" s="43" t="s">
        <v>43</v>
      </c>
      <c r="U30" s="58" t="b">
        <f>IF(AND(NOT(OR(Table132[[#This Row],[Case Status]]="Postponed",Table132[[#This Row],[Case Status]]="Cancelled")),NOT(Table132[[#This Row],[Which seasonal area of the SAC does this activity impact?]]="Summer"),OR(OR(MONTH(Table132[[#This Row],[Start Date]])&lt;=3,MONTH(Table132[[#This Row],[Start Date]])&gt;=10),OR(MONTH(Table132[[#This Row],[End Date]])&lt;=3,MONTH(Table132[[#This Row],[End Date]])&gt;=10,(Table132[[#This Row],[End Date]]-Table132[[#This Row],[Start Date]])&gt;=182))),TRUE,FALSE)</f>
        <v>1</v>
      </c>
      <c r="V30" s="66" t="b">
        <f>IF(AND(NOT(OR(Table132[[#This Row],[Case Status]]="Postponed",Table132[[#This Row],[Case Status]]="Cancelled")),NOT(Table132[[#This Row],[Which seasonal area of the SAC does this activity impact?]]="Winter"),OR(OR(MONTH(Table132[[#This Row],[Start Date]])&gt;=4,MONTH(Table132[[#This Row],[Start Date]])&lt;=9)),OR(MONTH(Table132[[#This Row],[End Date]])&gt;=4,MONTH(Table132[[#This Row],[End Date]])&lt;=9,(Table132[[#This Row],[End Date]]-Table132[[#This Row],[Start Date]])&gt;=182)),TRUE,FALSE)</f>
        <v>1</v>
      </c>
      <c r="W30" s="90">
        <f>IF(Table132[[#This Row],[Include in Winter Calendar]],Table132[[#This Row],[Area Overlap with Winter SAC (km2) (NEW)]]*100/$M$3,0)</f>
        <v>0</v>
      </c>
      <c r="X30" s="90">
        <f>IF(Table132[[#This Row],[Include in Summer Calendar]],Table132[[#This Row],[Area Overlap with Summer SAC (km2) (NEW)]]*100/$M$2,0)</f>
        <v>0</v>
      </c>
      <c r="Y30" s="61">
        <f>IF(Table132[[#This Row],[Include in Winter Calendar]],Table132[[#This Row],[Area Overlap with SAC (km2)]]*100/$M$3,0)</f>
        <v>4.0170132325141782E-6</v>
      </c>
      <c r="Z30" s="61">
        <f>IF(Table132[[#This Row],[Include in Summer Calendar]],Table132[[#This Row],[Area Overlap with SAC (km2)]]*100/$M$2,0)</f>
        <v>1.8869320704454641E-6</v>
      </c>
      <c r="AA30" s="62">
        <v>35</v>
      </c>
    </row>
    <row r="31" spans="1:27" ht="39" customHeight="1" x14ac:dyDescent="0.35">
      <c r="A31" s="75" t="s">
        <v>126</v>
      </c>
      <c r="B31" s="78" t="s">
        <v>124</v>
      </c>
      <c r="C31" s="33" t="s">
        <v>38</v>
      </c>
      <c r="D31" s="33" t="s">
        <v>50</v>
      </c>
      <c r="E31" s="33" t="s">
        <v>40</v>
      </c>
      <c r="F31" s="36"/>
      <c r="G31" s="26" t="s">
        <v>127</v>
      </c>
      <c r="H31" s="26"/>
      <c r="I31" s="80" t="s">
        <v>86</v>
      </c>
      <c r="J31" s="83">
        <v>45853</v>
      </c>
      <c r="K31" s="8">
        <v>45686</v>
      </c>
      <c r="L31" s="8">
        <v>45858</v>
      </c>
      <c r="M31" s="10">
        <v>365</v>
      </c>
      <c r="N31" s="10">
        <v>1.56E-4</v>
      </c>
      <c r="O31" s="9"/>
      <c r="P31" s="38"/>
      <c r="Q31" s="38"/>
      <c r="R31" s="10"/>
      <c r="S31" s="9"/>
      <c r="T31" s="43" t="s">
        <v>43</v>
      </c>
      <c r="U31" s="58" t="b">
        <f>IF(AND(NOT(OR(Table132[[#This Row],[Case Status]]="Postponed",Table132[[#This Row],[Case Status]]="Cancelled")),NOT(Table132[[#This Row],[Which seasonal area of the SAC does this activity impact?]]="Summer"),OR(OR(MONTH(Table132[[#This Row],[Start Date]])&lt;=3,MONTH(Table132[[#This Row],[Start Date]])&gt;=10),OR(MONTH(Table132[[#This Row],[End Date]])&lt;=3,MONTH(Table132[[#This Row],[End Date]])&gt;=10,(Table132[[#This Row],[End Date]]-Table132[[#This Row],[Start Date]])&gt;=182))),TRUE,FALSE)</f>
        <v>1</v>
      </c>
      <c r="V31" s="66" t="b">
        <f>IF(AND(NOT(OR(Table132[[#This Row],[Case Status]]="Postponed",Table132[[#This Row],[Case Status]]="Cancelled")),NOT(Table132[[#This Row],[Which seasonal area of the SAC does this activity impact?]]="Winter"),OR(OR(MONTH(Table132[[#This Row],[Start Date]])&gt;=4,MONTH(Table132[[#This Row],[Start Date]])&lt;=9)),OR(MONTH(Table132[[#This Row],[End Date]])&gt;=4,MONTH(Table132[[#This Row],[End Date]])&lt;=9,(Table132[[#This Row],[End Date]]-Table132[[#This Row],[Start Date]])&gt;=182)),TRUE,FALSE)</f>
        <v>1</v>
      </c>
      <c r="W31" s="90">
        <f>IF(Table132[[#This Row],[Include in Winter Calendar]],Table132[[#This Row],[Area Overlap with Winter SAC (km2) (NEW)]]*100/$M$3,0)</f>
        <v>0</v>
      </c>
      <c r="X31" s="90">
        <f>IF(Table132[[#This Row],[Include in Summer Calendar]],Table132[[#This Row],[Area Overlap with Summer SAC (km2) (NEW)]]*100/$M$2,0)</f>
        <v>0</v>
      </c>
      <c r="Y31" s="61">
        <f>IF(Table132[[#This Row],[Include in Winter Calendar]],Table132[[#This Row],[Area Overlap with SAC (km2)]]*100/$M$3,0)</f>
        <v>1.2287334593572778E-6</v>
      </c>
      <c r="Z31" s="61">
        <f>IF(Table132[[#This Row],[Include in Summer Calendar]],Table132[[#This Row],[Area Overlap with SAC (km2)]]*100/$M$2,0)</f>
        <v>5.7717922154802425E-7</v>
      </c>
      <c r="AA31" s="65">
        <v>36</v>
      </c>
    </row>
    <row r="32" spans="1:27" ht="39" customHeight="1" x14ac:dyDescent="0.35">
      <c r="A32" s="75" t="s">
        <v>128</v>
      </c>
      <c r="B32" s="78" t="s">
        <v>129</v>
      </c>
      <c r="C32" s="30" t="s">
        <v>38</v>
      </c>
      <c r="D32" s="30" t="s">
        <v>50</v>
      </c>
      <c r="E32" s="31" t="s">
        <v>130</v>
      </c>
      <c r="F32" s="79"/>
      <c r="G32" s="26" t="s">
        <v>131</v>
      </c>
      <c r="H32" s="26"/>
      <c r="I32" s="81" t="s">
        <v>86</v>
      </c>
      <c r="J32" s="83">
        <v>45853</v>
      </c>
      <c r="K32" s="8">
        <v>45741</v>
      </c>
      <c r="L32" s="8">
        <v>45794</v>
      </c>
      <c r="M32" s="10">
        <v>81</v>
      </c>
      <c r="N32" s="10">
        <v>434</v>
      </c>
      <c r="O32" s="44"/>
      <c r="P32" s="38"/>
      <c r="Q32" s="38"/>
      <c r="R32" s="10"/>
      <c r="S32" s="9" t="s">
        <v>53</v>
      </c>
      <c r="T32" s="43" t="s">
        <v>43</v>
      </c>
      <c r="U32" s="67" t="b">
        <f>IF(AND(NOT(OR(Table132[[#This Row],[Case Status]]="Postponed",Table132[[#This Row],[Case Status]]="Cancelled")),NOT(Table132[[#This Row],[Which seasonal area of the SAC does this activity impact?]]="Summer"),OR(OR(MONTH(Table132[[#This Row],[Start Date]])&lt;=3,MONTH(Table132[[#This Row],[Start Date]])&gt;=10),OR(MONTH(Table132[[#This Row],[End Date]])&lt;=3,MONTH(Table132[[#This Row],[End Date]])&gt;=10,(Table132[[#This Row],[End Date]]-Table132[[#This Row],[Start Date]])&gt;=182))),TRUE,FALSE)</f>
        <v>1</v>
      </c>
      <c r="V32" s="66" t="b">
        <f>IF(AND(NOT(OR(Table132[[#This Row],[Case Status]]="Postponed",Table132[[#This Row],[Case Status]]="Cancelled")),NOT(Table132[[#This Row],[Which seasonal area of the SAC does this activity impact?]]="Winter"),OR(OR(MONTH(Table132[[#This Row],[Start Date]])&gt;=4,MONTH(Table132[[#This Row],[Start Date]])&lt;=9)),OR(MONTH(Table132[[#This Row],[End Date]])&gt;=4,MONTH(Table132[[#This Row],[End Date]])&lt;=9,(Table132[[#This Row],[End Date]]-Table132[[#This Row],[Start Date]])&gt;=182)),TRUE,FALSE)</f>
        <v>0</v>
      </c>
      <c r="W32" s="90">
        <f>IF(Table132[[#This Row],[Include in Winter Calendar]],Table132[[#This Row],[Area Overlap with Winter SAC (km2) (NEW)]]*100/$M$3,0)</f>
        <v>0</v>
      </c>
      <c r="X32" s="90">
        <f>IF(Table132[[#This Row],[Include in Summer Calendar]],Table132[[#This Row],[Area Overlap with Summer SAC (km2) (NEW)]]*100/$M$2,0)</f>
        <v>0</v>
      </c>
      <c r="Y32" s="61">
        <f>IF(Table132[[#This Row],[Include in Winter Calendar]],Table132[[#This Row],[Area Overlap with SAC (km2)]]*100/$M$3,0)</f>
        <v>3.4183994959042217</v>
      </c>
      <c r="Z32" s="61">
        <f>IF(Table132[[#This Row],[Include in Summer Calendar]],Table132[[#This Row],[Area Overlap with SAC (km2)]]*100/$M$2,0)</f>
        <v>0</v>
      </c>
      <c r="AA32" s="62">
        <v>40</v>
      </c>
    </row>
    <row r="33" spans="1:27" ht="39" customHeight="1" x14ac:dyDescent="0.35">
      <c r="A33" s="75" t="s">
        <v>132</v>
      </c>
      <c r="B33" s="78" t="s">
        <v>57</v>
      </c>
      <c r="C33" s="30" t="s">
        <v>58</v>
      </c>
      <c r="D33" s="30" t="s">
        <v>133</v>
      </c>
      <c r="E33" s="31" t="s">
        <v>51</v>
      </c>
      <c r="F33" s="85" t="s">
        <v>60</v>
      </c>
      <c r="G33" s="26" t="s">
        <v>134</v>
      </c>
      <c r="H33" s="26"/>
      <c r="I33" s="81" t="s">
        <v>86</v>
      </c>
      <c r="J33" s="83">
        <v>45867</v>
      </c>
      <c r="K33" s="8">
        <v>45768</v>
      </c>
      <c r="L33" s="8">
        <v>45771</v>
      </c>
      <c r="M33" s="10">
        <v>1</v>
      </c>
      <c r="N33" s="10">
        <v>706</v>
      </c>
      <c r="O33" s="44" t="s">
        <v>135</v>
      </c>
      <c r="P33" s="38"/>
      <c r="Q33" s="38"/>
      <c r="R33" s="10"/>
      <c r="S33" s="57" t="s">
        <v>136</v>
      </c>
      <c r="T33" s="43" t="s">
        <v>43</v>
      </c>
      <c r="U33" s="67" t="b">
        <f>IF(AND(NOT(OR(Table132[[#This Row],[Case Status]]="Postponed",Table132[[#This Row],[Case Status]]="Cancelled")),NOT(Table132[[#This Row],[Which seasonal area of the SAC does this activity impact?]]="Summer"),OR(OR(MONTH(Table132[[#This Row],[Start Date]])&lt;=3,MONTH(Table132[[#This Row],[Start Date]])&gt;=10),OR(MONTH(Table132[[#This Row],[End Date]])&lt;=3,MONTH(Table132[[#This Row],[End Date]])&gt;=10,(Table132[[#This Row],[End Date]]-Table132[[#This Row],[Start Date]])&gt;=182))),TRUE,FALSE)</f>
        <v>0</v>
      </c>
      <c r="V33" s="66" t="b">
        <f>IF(AND(NOT(OR(Table132[[#This Row],[Case Status]]="Postponed",Table132[[#This Row],[Case Status]]="Cancelled")),NOT(Table132[[#This Row],[Which seasonal area of the SAC does this activity impact?]]="Winter"),OR(OR(MONTH(Table132[[#This Row],[Start Date]])&gt;=4,MONTH(Table132[[#This Row],[Start Date]])&lt;=9)),OR(MONTH(Table132[[#This Row],[End Date]])&gt;=4,MONTH(Table132[[#This Row],[End Date]])&lt;=9,(Table132[[#This Row],[End Date]]-Table132[[#This Row],[Start Date]])&gt;=182)),TRUE,FALSE)</f>
        <v>1</v>
      </c>
      <c r="W33" s="90">
        <f>IF(Table132[[#This Row],[Include in Winter Calendar]],Table132[[#This Row],[Area Overlap with Winter SAC (km2) (NEW)]]*100/$M$3,0)</f>
        <v>0</v>
      </c>
      <c r="X33" s="90">
        <f>IF(Table132[[#This Row],[Include in Summer Calendar]],Table132[[#This Row],[Area Overlap with Summer SAC (km2) (NEW)]]*100/$M$2,0)</f>
        <v>0</v>
      </c>
      <c r="Y33" s="61">
        <f>IF(Table132[[#This Row],[Include in Winter Calendar]],Table132[[#This Row],[Area Overlap with SAC (km2)]]*100/$M$3,0)</f>
        <v>0</v>
      </c>
      <c r="Z33" s="61">
        <f>IF(Table132[[#This Row],[Include in Summer Calendar]],Table132[[#This Row],[Area Overlap with SAC (km2)]]*100/$M$2,0)</f>
        <v>2.6121059641852895</v>
      </c>
      <c r="AA33" s="65">
        <v>45</v>
      </c>
    </row>
    <row r="34" spans="1:27" ht="39" customHeight="1" x14ac:dyDescent="0.35">
      <c r="A34" s="75" t="s">
        <v>137</v>
      </c>
      <c r="B34" s="78" t="s">
        <v>57</v>
      </c>
      <c r="C34" s="30" t="s">
        <v>58</v>
      </c>
      <c r="D34" s="30" t="s">
        <v>133</v>
      </c>
      <c r="E34" s="31" t="s">
        <v>51</v>
      </c>
      <c r="F34" s="85" t="s">
        <v>60</v>
      </c>
      <c r="G34" s="28" t="s">
        <v>138</v>
      </c>
      <c r="H34" s="28"/>
      <c r="I34" s="81" t="s">
        <v>86</v>
      </c>
      <c r="J34" s="83">
        <v>45867</v>
      </c>
      <c r="K34" s="8">
        <v>45768</v>
      </c>
      <c r="L34" s="8">
        <v>45771</v>
      </c>
      <c r="M34" s="10">
        <v>1</v>
      </c>
      <c r="N34" s="10">
        <v>706</v>
      </c>
      <c r="O34" s="44" t="s">
        <v>135</v>
      </c>
      <c r="P34" s="38"/>
      <c r="Q34" s="38"/>
      <c r="R34" s="10"/>
      <c r="S34" s="57" t="s">
        <v>136</v>
      </c>
      <c r="T34" s="43" t="s">
        <v>43</v>
      </c>
      <c r="U34" s="67" t="b">
        <f>IF(AND(NOT(OR(Table132[[#This Row],[Case Status]]="Postponed",Table132[[#This Row],[Case Status]]="Cancelled")),NOT(Table132[[#This Row],[Which seasonal area of the SAC does this activity impact?]]="Summer"),OR(OR(MONTH(Table132[[#This Row],[Start Date]])&lt;=3,MONTH(Table132[[#This Row],[Start Date]])&gt;=10),OR(MONTH(Table132[[#This Row],[End Date]])&lt;=3,MONTH(Table132[[#This Row],[End Date]])&gt;=10,(Table132[[#This Row],[End Date]]-Table132[[#This Row],[Start Date]])&gt;=182))),TRUE,FALSE)</f>
        <v>0</v>
      </c>
      <c r="V34" s="66" t="b">
        <f>IF(AND(NOT(OR(Table132[[#This Row],[Case Status]]="Postponed",Table132[[#This Row],[Case Status]]="Cancelled")),NOT(Table132[[#This Row],[Which seasonal area of the SAC does this activity impact?]]="Winter"),OR(OR(MONTH(Table132[[#This Row],[Start Date]])&gt;=4,MONTH(Table132[[#This Row],[Start Date]])&lt;=9)),OR(MONTH(Table132[[#This Row],[End Date]])&gt;=4,MONTH(Table132[[#This Row],[End Date]])&lt;=9,(Table132[[#This Row],[End Date]]-Table132[[#This Row],[Start Date]])&gt;=182)),TRUE,FALSE)</f>
        <v>1</v>
      </c>
      <c r="W34" s="90">
        <f>IF(Table132[[#This Row],[Include in Winter Calendar]],Table132[[#This Row],[Area Overlap with Winter SAC (km2) (NEW)]]*100/$M$3,0)</f>
        <v>0</v>
      </c>
      <c r="X34" s="90">
        <f>IF(Table132[[#This Row],[Include in Summer Calendar]],Table132[[#This Row],[Area Overlap with Summer SAC (km2) (NEW)]]*100/$M$2,0)</f>
        <v>0</v>
      </c>
      <c r="Y34" s="61">
        <f>IF(Table132[[#This Row],[Include in Winter Calendar]],Table132[[#This Row],[Area Overlap with SAC (km2)]]*100/$M$3,0)</f>
        <v>0</v>
      </c>
      <c r="Z34" s="61">
        <f>IF(Table132[[#This Row],[Include in Summer Calendar]],Table132[[#This Row],[Area Overlap with SAC (km2)]]*100/$M$2,0)</f>
        <v>2.6121059641852895</v>
      </c>
      <c r="AA34" s="62">
        <v>46</v>
      </c>
    </row>
    <row r="35" spans="1:27" ht="29" x14ac:dyDescent="0.35">
      <c r="A35" s="75" t="s">
        <v>139</v>
      </c>
      <c r="B35" s="78" t="s">
        <v>57</v>
      </c>
      <c r="C35" s="30" t="s">
        <v>58</v>
      </c>
      <c r="D35" s="30" t="s">
        <v>133</v>
      </c>
      <c r="E35" s="31" t="s">
        <v>51</v>
      </c>
      <c r="F35" s="85" t="s">
        <v>60</v>
      </c>
      <c r="G35" s="26" t="s">
        <v>140</v>
      </c>
      <c r="H35" s="28"/>
      <c r="I35" s="95" t="s">
        <v>86</v>
      </c>
      <c r="J35" s="83">
        <v>45867</v>
      </c>
      <c r="K35" s="8">
        <v>45768</v>
      </c>
      <c r="L35" s="8">
        <v>45771</v>
      </c>
      <c r="M35" s="10">
        <v>1</v>
      </c>
      <c r="N35" s="10">
        <v>706</v>
      </c>
      <c r="O35" s="44" t="s">
        <v>135</v>
      </c>
      <c r="P35" s="38"/>
      <c r="Q35" s="38"/>
      <c r="R35" s="10"/>
      <c r="S35" s="9" t="s">
        <v>136</v>
      </c>
      <c r="T35" s="43" t="s">
        <v>43</v>
      </c>
      <c r="U35" s="67" t="b">
        <f>IF(AND(NOT(OR(Table132[[#This Row],[Case Status]]="Postponed",Table132[[#This Row],[Case Status]]="Cancelled")),NOT(Table132[[#This Row],[Which seasonal area of the SAC does this activity impact?]]="Summer"),OR(OR(MONTH(Table132[[#This Row],[Start Date]])&lt;=3,MONTH(Table132[[#This Row],[Start Date]])&gt;=10),OR(MONTH(Table132[[#This Row],[End Date]])&lt;=3,MONTH(Table132[[#This Row],[End Date]])&gt;=10,(Table132[[#This Row],[End Date]]-Table132[[#This Row],[Start Date]])&gt;=182))),TRUE,FALSE)</f>
        <v>0</v>
      </c>
      <c r="V35" s="66" t="b">
        <f>IF(AND(NOT(OR(Table132[[#This Row],[Case Status]]="Postponed",Table132[[#This Row],[Case Status]]="Cancelled")),NOT(Table132[[#This Row],[Which seasonal area of the SAC does this activity impact?]]="Winter"),OR(OR(MONTH(Table132[[#This Row],[Start Date]])&gt;=4,MONTH(Table132[[#This Row],[Start Date]])&lt;=9)),OR(MONTH(Table132[[#This Row],[End Date]])&gt;=4,MONTH(Table132[[#This Row],[End Date]])&lt;=9,(Table132[[#This Row],[End Date]]-Table132[[#This Row],[Start Date]])&gt;=182)),TRUE,FALSE)</f>
        <v>1</v>
      </c>
      <c r="W35" s="90">
        <f>IF(Table132[[#This Row],[Include in Winter Calendar]],Table132[[#This Row],[Area Overlap with Winter SAC (km2) (NEW)]]*100/$M$3,0)</f>
        <v>0</v>
      </c>
      <c r="X35" s="90">
        <f>IF(Table132[[#This Row],[Include in Summer Calendar]],Table132[[#This Row],[Area Overlap with Summer SAC (km2) (NEW)]]*100/$M$2,0)</f>
        <v>0</v>
      </c>
      <c r="Y35" s="61">
        <f>IF(Table132[[#This Row],[Include in Winter Calendar]],Table132[[#This Row],[Area Overlap with SAC (km2)]]*100/$M$3,0)</f>
        <v>0</v>
      </c>
      <c r="Z35" s="61">
        <f>IF(Table132[[#This Row],[Include in Summer Calendar]],Table132[[#This Row],[Area Overlap with SAC (km2)]]*100/$M$2,0)</f>
        <v>2.6121059641852895</v>
      </c>
      <c r="AA35" s="62">
        <v>47</v>
      </c>
    </row>
    <row r="36" spans="1:27" ht="18.5" x14ac:dyDescent="0.35">
      <c r="A36" s="75" t="s">
        <v>141</v>
      </c>
      <c r="B36" s="78" t="s">
        <v>57</v>
      </c>
      <c r="C36" s="30" t="s">
        <v>58</v>
      </c>
      <c r="D36" s="30" t="s">
        <v>133</v>
      </c>
      <c r="E36" s="31" t="s">
        <v>51</v>
      </c>
      <c r="F36" s="85" t="s">
        <v>60</v>
      </c>
      <c r="G36" s="26" t="s">
        <v>142</v>
      </c>
      <c r="H36" s="28"/>
      <c r="I36" s="81" t="s">
        <v>86</v>
      </c>
      <c r="J36" s="83">
        <v>45867</v>
      </c>
      <c r="K36" s="8">
        <v>45768</v>
      </c>
      <c r="L36" s="8">
        <v>45771</v>
      </c>
      <c r="M36" s="10">
        <v>1</v>
      </c>
      <c r="N36" s="10">
        <v>706</v>
      </c>
      <c r="O36" s="44" t="s">
        <v>135</v>
      </c>
      <c r="P36" s="38"/>
      <c r="Q36" s="38"/>
      <c r="R36" s="10"/>
      <c r="S36" s="10" t="s">
        <v>136</v>
      </c>
      <c r="T36" s="43" t="s">
        <v>43</v>
      </c>
      <c r="U36" s="67" t="b">
        <f>IF(AND(NOT(OR(Table132[[#This Row],[Case Status]]="Postponed",Table132[[#This Row],[Case Status]]="Cancelled")),NOT(Table132[[#This Row],[Which seasonal area of the SAC does this activity impact?]]="Summer"),OR(OR(MONTH(Table132[[#This Row],[Start Date]])&lt;=3,MONTH(Table132[[#This Row],[Start Date]])&gt;=10),OR(MONTH(Table132[[#This Row],[End Date]])&lt;=3,MONTH(Table132[[#This Row],[End Date]])&gt;=10,(Table132[[#This Row],[End Date]]-Table132[[#This Row],[Start Date]])&gt;=182))),TRUE,FALSE)</f>
        <v>0</v>
      </c>
      <c r="V36" s="66" t="b">
        <f>IF(AND(NOT(OR(Table132[[#This Row],[Case Status]]="Postponed",Table132[[#This Row],[Case Status]]="Cancelled")),NOT(Table132[[#This Row],[Which seasonal area of the SAC does this activity impact?]]="Winter"),OR(OR(MONTH(Table132[[#This Row],[Start Date]])&gt;=4,MONTH(Table132[[#This Row],[Start Date]])&lt;=9)),OR(MONTH(Table132[[#This Row],[End Date]])&gt;=4,MONTH(Table132[[#This Row],[End Date]])&lt;=9,(Table132[[#This Row],[End Date]]-Table132[[#This Row],[Start Date]])&gt;=182)),TRUE,FALSE)</f>
        <v>1</v>
      </c>
      <c r="W36" s="90">
        <f>IF(Table132[[#This Row],[Include in Winter Calendar]],Table132[[#This Row],[Area Overlap with Winter SAC (km2) (NEW)]]*100/$M$3,0)</f>
        <v>0</v>
      </c>
      <c r="X36" s="90">
        <f>IF(Table132[[#This Row],[Include in Summer Calendar]],Table132[[#This Row],[Area Overlap with Summer SAC (km2) (NEW)]]*100/$M$2,0)</f>
        <v>0</v>
      </c>
      <c r="Y36" s="61">
        <f>IF(Table132[[#This Row],[Include in Winter Calendar]],Table132[[#This Row],[Area Overlap with SAC (km2)]]*100/$M$3,0)</f>
        <v>0</v>
      </c>
      <c r="Z36" s="61">
        <f>IF(Table132[[#This Row],[Include in Summer Calendar]],Table132[[#This Row],[Area Overlap with SAC (km2)]]*100/$M$2,0)</f>
        <v>2.6121059641852895</v>
      </c>
      <c r="AA36" s="65">
        <v>48</v>
      </c>
    </row>
    <row r="37" spans="1:27" ht="87" x14ac:dyDescent="0.35">
      <c r="A37" s="75" t="s">
        <v>143</v>
      </c>
      <c r="B37" s="78" t="s">
        <v>79</v>
      </c>
      <c r="C37" s="30" t="s">
        <v>58</v>
      </c>
      <c r="D37" s="30" t="s">
        <v>50</v>
      </c>
      <c r="E37" s="31" t="s">
        <v>40</v>
      </c>
      <c r="F37" s="85" t="s">
        <v>100</v>
      </c>
      <c r="G37" s="26" t="s">
        <v>144</v>
      </c>
      <c r="H37" s="26"/>
      <c r="I37" s="81" t="s">
        <v>86</v>
      </c>
      <c r="J37" s="83">
        <v>45867</v>
      </c>
      <c r="K37" s="8">
        <v>45866</v>
      </c>
      <c r="L37" s="8">
        <v>45931</v>
      </c>
      <c r="M37" s="10">
        <v>18</v>
      </c>
      <c r="N37" s="10">
        <v>99</v>
      </c>
      <c r="O37" s="10" t="s">
        <v>145</v>
      </c>
      <c r="P37" s="38"/>
      <c r="Q37" s="38"/>
      <c r="R37" s="10"/>
      <c r="S37" s="9" t="s">
        <v>146</v>
      </c>
      <c r="T37" s="43" t="s">
        <v>43</v>
      </c>
      <c r="U37" s="67" t="b">
        <f>IF(AND(NOT(OR(Table132[[#This Row],[Case Status]]="Postponed",Table132[[#This Row],[Case Status]]="Cancelled")),NOT(Table132[[#This Row],[Which seasonal area of the SAC does this activity impact?]]="Summer"),OR(OR(MONTH(Table132[[#This Row],[Start Date]])&lt;=3,MONTH(Table132[[#This Row],[Start Date]])&gt;=10),OR(MONTH(Table132[[#This Row],[End Date]])&lt;=3,MONTH(Table132[[#This Row],[End Date]])&gt;=10,(Table132[[#This Row],[End Date]]-Table132[[#This Row],[Start Date]])&gt;=182))),TRUE,FALSE)</f>
        <v>1</v>
      </c>
      <c r="V37" s="66" t="b">
        <f>IF(AND(NOT(OR(Table132[[#This Row],[Case Status]]="Postponed",Table132[[#This Row],[Case Status]]="Cancelled")),NOT(Table132[[#This Row],[Which seasonal area of the SAC does this activity impact?]]="Winter"),OR(OR(MONTH(Table132[[#This Row],[Start Date]])&gt;=4,MONTH(Table132[[#This Row],[Start Date]])&lt;=9)),OR(MONTH(Table132[[#This Row],[End Date]])&gt;=4,MONTH(Table132[[#This Row],[End Date]])&lt;=9,(Table132[[#This Row],[End Date]]-Table132[[#This Row],[Start Date]])&gt;=182)),TRUE,FALSE)</f>
        <v>1</v>
      </c>
      <c r="W37" s="90">
        <f>IF(Table132[[#This Row],[Include in Winter Calendar]],Table132[[#This Row],[Area Overlap with Winter SAC (km2) (NEW)]]*100/$M$3,0)</f>
        <v>0</v>
      </c>
      <c r="X37" s="90">
        <f>IF(Table132[[#This Row],[Include in Summer Calendar]],Table132[[#This Row],[Area Overlap with Summer SAC (km2) (NEW)]]*100/$M$2,0)</f>
        <v>0</v>
      </c>
      <c r="Y37" s="61">
        <f>IF(Table132[[#This Row],[Include in Winter Calendar]],Table132[[#This Row],[Area Overlap with SAC (km2)]]*100/$M$3,0)</f>
        <v>0.77977315689981097</v>
      </c>
      <c r="Z37" s="61">
        <f>IF(Table132[[#This Row],[Include in Summer Calendar]],Table132[[#This Row],[Area Overlap with SAC (km2)]]*100/$M$2,0)</f>
        <v>0.36628681367470772</v>
      </c>
      <c r="AA37" s="62">
        <v>49</v>
      </c>
    </row>
    <row r="38" spans="1:27" ht="58" x14ac:dyDescent="0.35">
      <c r="A38" s="75" t="s">
        <v>147</v>
      </c>
      <c r="B38" s="78" t="s">
        <v>79</v>
      </c>
      <c r="C38" s="30" t="s">
        <v>58</v>
      </c>
      <c r="D38" s="30" t="s">
        <v>80</v>
      </c>
      <c r="E38" s="31" t="s">
        <v>51</v>
      </c>
      <c r="F38" s="85" t="s">
        <v>100</v>
      </c>
      <c r="G38" s="26" t="s">
        <v>148</v>
      </c>
      <c r="H38" s="141"/>
      <c r="I38" s="81" t="s">
        <v>86</v>
      </c>
      <c r="J38" s="83">
        <v>45867</v>
      </c>
      <c r="K38" s="8">
        <v>45870</v>
      </c>
      <c r="L38" s="8">
        <v>45902</v>
      </c>
      <c r="M38" s="10">
        <v>32</v>
      </c>
      <c r="N38" s="10">
        <v>744</v>
      </c>
      <c r="O38" s="10" t="s">
        <v>149</v>
      </c>
      <c r="P38" s="38"/>
      <c r="Q38" s="38"/>
      <c r="R38" s="10"/>
      <c r="S38" s="9" t="s">
        <v>150</v>
      </c>
      <c r="T38" s="43" t="s">
        <v>43</v>
      </c>
      <c r="U38" s="67" t="b">
        <f>IF(AND(NOT(OR(Table132[[#This Row],[Case Status]]="Postponed",Table132[[#This Row],[Case Status]]="Cancelled")),NOT(Table132[[#This Row],[Which seasonal area of the SAC does this activity impact?]]="Summer"),OR(OR(MONTH(Table132[[#This Row],[Start Date]])&lt;=3,MONTH(Table132[[#This Row],[Start Date]])&gt;=10),OR(MONTH(Table132[[#This Row],[End Date]])&lt;=3,MONTH(Table132[[#This Row],[End Date]])&gt;=10,(Table132[[#This Row],[End Date]]-Table132[[#This Row],[Start Date]])&gt;=182))),TRUE,FALSE)</f>
        <v>0</v>
      </c>
      <c r="V38" s="66" t="b">
        <f>IF(AND(NOT(OR(Table132[[#This Row],[Case Status]]="Postponed",Table132[[#This Row],[Case Status]]="Cancelled")),NOT(Table132[[#This Row],[Which seasonal area of the SAC does this activity impact?]]="Winter"),OR(OR(MONTH(Table132[[#This Row],[Start Date]])&gt;=4,MONTH(Table132[[#This Row],[Start Date]])&lt;=9)),OR(MONTH(Table132[[#This Row],[End Date]])&gt;=4,MONTH(Table132[[#This Row],[End Date]])&lt;=9,(Table132[[#This Row],[End Date]]-Table132[[#This Row],[Start Date]])&gt;=182)),TRUE,FALSE)</f>
        <v>1</v>
      </c>
      <c r="W38" s="90">
        <f>IF(Table132[[#This Row],[Include in Winter Calendar]],Table132[[#This Row],[Area Overlap with Winter SAC (km2) (NEW)]]*100/$M$3,0)</f>
        <v>0</v>
      </c>
      <c r="X38" s="90">
        <f>IF(Table132[[#This Row],[Include in Summer Calendar]],Table132[[#This Row],[Area Overlap with Summer SAC (km2) (NEW)]]*100/$M$2,0)</f>
        <v>0</v>
      </c>
      <c r="Y38" s="61">
        <f>IF(Table132[[#This Row],[Include in Winter Calendar]],Table132[[#This Row],[Area Overlap with SAC (km2)]]*100/$M$3,0)</f>
        <v>0</v>
      </c>
      <c r="Z38" s="61">
        <f>IF(Table132[[#This Row],[Include in Summer Calendar]],Table132[[#This Row],[Area Overlap with SAC (km2)]]*100/$M$2,0)</f>
        <v>2.7527009027675002</v>
      </c>
      <c r="AA38" s="65">
        <v>51</v>
      </c>
    </row>
    <row r="39" spans="1:27" ht="18.5" x14ac:dyDescent="0.35">
      <c r="A39" s="75" t="s">
        <v>151</v>
      </c>
      <c r="B39" s="78" t="s">
        <v>152</v>
      </c>
      <c r="C39" s="30" t="s">
        <v>58</v>
      </c>
      <c r="D39" s="30" t="s">
        <v>50</v>
      </c>
      <c r="E39" s="31" t="s">
        <v>40</v>
      </c>
      <c r="F39" s="85" t="s">
        <v>100</v>
      </c>
      <c r="G39" s="26" t="s">
        <v>153</v>
      </c>
      <c r="H39" s="28"/>
      <c r="I39" s="81" t="s">
        <v>86</v>
      </c>
      <c r="J39" s="83">
        <v>45853</v>
      </c>
      <c r="K39" s="8">
        <v>45839</v>
      </c>
      <c r="L39" s="8">
        <v>45992</v>
      </c>
      <c r="M39" s="10">
        <v>2</v>
      </c>
      <c r="N39" s="10">
        <v>12</v>
      </c>
      <c r="O39" s="44"/>
      <c r="P39" s="38"/>
      <c r="Q39" s="38"/>
      <c r="R39" s="10"/>
      <c r="S39" s="10" t="s">
        <v>154</v>
      </c>
      <c r="T39" s="43" t="s">
        <v>43</v>
      </c>
      <c r="U39" s="67" t="b">
        <f>IF(AND(NOT(OR(Table132[[#This Row],[Case Status]]="Postponed",Table132[[#This Row],[Case Status]]="Cancelled")),NOT(Table132[[#This Row],[Which seasonal area of the SAC does this activity impact?]]="Summer"),OR(OR(MONTH(Table132[[#This Row],[Start Date]])&lt;=3,MONTH(Table132[[#This Row],[Start Date]])&gt;=10),OR(MONTH(Table132[[#This Row],[End Date]])&lt;=3,MONTH(Table132[[#This Row],[End Date]])&gt;=10,(Table132[[#This Row],[End Date]]-Table132[[#This Row],[Start Date]])&gt;=182))),TRUE,FALSE)</f>
        <v>1</v>
      </c>
      <c r="V39" s="66" t="b">
        <f>IF(AND(NOT(OR(Table132[[#This Row],[Case Status]]="Postponed",Table132[[#This Row],[Case Status]]="Cancelled")),NOT(Table132[[#This Row],[Which seasonal area of the SAC does this activity impact?]]="Winter"),OR(OR(MONTH(Table132[[#This Row],[Start Date]])&gt;=4,MONTH(Table132[[#This Row],[Start Date]])&lt;=9)),OR(MONTH(Table132[[#This Row],[End Date]])&gt;=4,MONTH(Table132[[#This Row],[End Date]])&lt;=9,(Table132[[#This Row],[End Date]]-Table132[[#This Row],[Start Date]])&gt;=182)),TRUE,FALSE)</f>
        <v>1</v>
      </c>
      <c r="W39" s="90">
        <f>IF(Table132[[#This Row],[Include in Winter Calendar]],Table132[[#This Row],[Area Overlap with Winter SAC (km2) (NEW)]]*100/$M$3,0)</f>
        <v>0</v>
      </c>
      <c r="X39" s="90">
        <f>IF(Table132[[#This Row],[Include in Summer Calendar]],Table132[[#This Row],[Area Overlap with Summer SAC (km2) (NEW)]]*100/$M$2,0)</f>
        <v>0</v>
      </c>
      <c r="Y39" s="61">
        <f>IF(Table132[[#This Row],[Include in Winter Calendar]],Table132[[#This Row],[Area Overlap with SAC (km2)]]*100/$M$3,0)</f>
        <v>9.4517958412098299E-2</v>
      </c>
      <c r="Z39" s="61">
        <f>IF(Table132[[#This Row],[Include in Summer Calendar]],Table132[[#This Row],[Area Overlap with SAC (km2)]]*100/$M$2,0)</f>
        <v>4.4398401657540332E-2</v>
      </c>
      <c r="AA39" s="62">
        <v>52</v>
      </c>
    </row>
    <row r="40" spans="1:27" ht="18.5" x14ac:dyDescent="0.35">
      <c r="A40" s="75" t="s">
        <v>155</v>
      </c>
      <c r="B40" s="78" t="s">
        <v>156</v>
      </c>
      <c r="C40" s="30" t="s">
        <v>58</v>
      </c>
      <c r="D40" s="30" t="s">
        <v>50</v>
      </c>
      <c r="E40" s="31" t="s">
        <v>51</v>
      </c>
      <c r="F40" s="79"/>
      <c r="G40" s="26" t="s">
        <v>157</v>
      </c>
      <c r="H40" s="28"/>
      <c r="I40" s="81" t="s">
        <v>86</v>
      </c>
      <c r="J40" s="83">
        <v>45915</v>
      </c>
      <c r="K40" s="8">
        <v>45915</v>
      </c>
      <c r="L40" s="8">
        <v>45930</v>
      </c>
      <c r="M40" s="10">
        <v>15</v>
      </c>
      <c r="N40" s="10">
        <v>275.2</v>
      </c>
      <c r="O40" s="44"/>
      <c r="P40" s="38"/>
      <c r="Q40" s="38"/>
      <c r="R40" s="10"/>
      <c r="S40" s="10"/>
      <c r="T40" s="43" t="s">
        <v>43</v>
      </c>
      <c r="U40" s="67" t="b">
        <f>IF(AND(NOT(OR(Table132[[#This Row],[Case Status]]="Postponed",Table132[[#This Row],[Case Status]]="Cancelled")),NOT(Table132[[#This Row],[Which seasonal area of the SAC does this activity impact?]]="Summer"),OR(OR(MONTH(Table132[[#This Row],[Start Date]])&lt;=3,MONTH(Table132[[#This Row],[Start Date]])&gt;=10),OR(MONTH(Table132[[#This Row],[End Date]])&lt;=3,MONTH(Table132[[#This Row],[End Date]])&gt;=10,(Table132[[#This Row],[End Date]]-Table132[[#This Row],[Start Date]])&gt;=182))),TRUE,FALSE)</f>
        <v>0</v>
      </c>
      <c r="V40" s="66" t="b">
        <f>IF(AND(NOT(OR(Table132[[#This Row],[Case Status]]="Postponed",Table132[[#This Row],[Case Status]]="Cancelled")),NOT(Table132[[#This Row],[Which seasonal area of the SAC does this activity impact?]]="Winter"),OR(OR(MONTH(Table132[[#This Row],[Start Date]])&gt;=4,MONTH(Table132[[#This Row],[Start Date]])&lt;=9)),OR(MONTH(Table132[[#This Row],[End Date]])&gt;=4,MONTH(Table132[[#This Row],[End Date]])&lt;=9,(Table132[[#This Row],[End Date]]-Table132[[#This Row],[Start Date]])&gt;=182)),TRUE,FALSE)</f>
        <v>1</v>
      </c>
      <c r="W40" s="90">
        <f>IF(Table132[[#This Row],[Include in Winter Calendar]],Table132[[#This Row],[Area Overlap with Winter SAC (km2) (NEW)]]*100/$M$3,0)</f>
        <v>0</v>
      </c>
      <c r="X40" s="90">
        <f>IF(Table132[[#This Row],[Include in Summer Calendar]],Table132[[#This Row],[Area Overlap with Summer SAC (km2) (NEW)]]*100/$M$2,0)</f>
        <v>0</v>
      </c>
      <c r="Y40" s="61">
        <f>IF(Table132[[#This Row],[Include in Winter Calendar]],Table132[[#This Row],[Area Overlap with SAC (km2)]]*100/$M$3,0)</f>
        <v>0</v>
      </c>
      <c r="Z40" s="61">
        <f>IF(Table132[[#This Row],[Include in Summer Calendar]],Table132[[#This Row],[Area Overlap with SAC (km2)]]*100/$M$2,0)</f>
        <v>1.0182033446795915</v>
      </c>
      <c r="AA40" s="62">
        <v>61</v>
      </c>
    </row>
    <row r="41" spans="1:27" ht="43.5" x14ac:dyDescent="0.35">
      <c r="A41" s="75" t="s">
        <v>158</v>
      </c>
      <c r="B41" s="78" t="s">
        <v>159</v>
      </c>
      <c r="C41" s="30" t="s">
        <v>58</v>
      </c>
      <c r="D41" s="30" t="s">
        <v>50</v>
      </c>
      <c r="E41" s="31" t="s">
        <v>130</v>
      </c>
      <c r="F41" s="79"/>
      <c r="G41" s="26"/>
      <c r="H41" s="28"/>
      <c r="I41" s="81" t="s">
        <v>86</v>
      </c>
      <c r="J41" s="83">
        <v>45951</v>
      </c>
      <c r="K41" s="8">
        <v>46023</v>
      </c>
      <c r="L41" s="8">
        <v>46203</v>
      </c>
      <c r="M41" s="10"/>
      <c r="N41" s="10"/>
      <c r="O41" s="44"/>
      <c r="P41" s="38"/>
      <c r="Q41" s="38"/>
      <c r="R41" s="10"/>
      <c r="S41" s="9" t="s">
        <v>160</v>
      </c>
      <c r="T41" s="10" t="s">
        <v>63</v>
      </c>
      <c r="U41" s="67" t="b">
        <f>IF(AND(NOT(OR(Table132[[#This Row],[Case Status]]="Postponed",Table132[[#This Row],[Case Status]]="Cancelled")),NOT(Table132[[#This Row],[Which seasonal area of the SAC does this activity impact?]]="Summer"),OR(OR(MONTH(Table132[[#This Row],[Start Date]])&lt;=3,MONTH(Table132[[#This Row],[Start Date]])&gt;=10),OR(MONTH(Table132[[#This Row],[End Date]])&lt;=3,MONTH(Table132[[#This Row],[End Date]])&gt;=10,(Table132[[#This Row],[End Date]]-Table132[[#This Row],[Start Date]])&gt;=182))),TRUE,FALSE)</f>
        <v>1</v>
      </c>
      <c r="V41" s="66" t="b">
        <f>IF(AND(NOT(OR(Table132[[#This Row],[Case Status]]="Postponed",Table132[[#This Row],[Case Status]]="Cancelled")),NOT(Table132[[#This Row],[Which seasonal area of the SAC does this activity impact?]]="Winter"),OR(OR(MONTH(Table132[[#This Row],[Start Date]])&gt;=4,MONTH(Table132[[#This Row],[Start Date]])&lt;=9)),OR(MONTH(Table132[[#This Row],[End Date]])&gt;=4,MONTH(Table132[[#This Row],[End Date]])&lt;=9,(Table132[[#This Row],[End Date]]-Table132[[#This Row],[Start Date]])&gt;=182)),TRUE,FALSE)</f>
        <v>0</v>
      </c>
      <c r="W41" s="90">
        <f>IF(Table132[[#This Row],[Include in Winter Calendar]],Table132[[#This Row],[Area Overlap with Winter SAC (km2) (NEW)]]*100/$M$3,0)</f>
        <v>0</v>
      </c>
      <c r="X41" s="90">
        <f>IF(Table132[[#This Row],[Include in Summer Calendar]],Table132[[#This Row],[Area Overlap with Summer SAC (km2) (NEW)]]*100/$M$2,0)</f>
        <v>0</v>
      </c>
      <c r="Y41" s="61">
        <f>IF(Table132[[#This Row],[Include in Winter Calendar]],Table132[[#This Row],[Area Overlap with SAC (km2)]]*100/$M$3,0)</f>
        <v>0</v>
      </c>
      <c r="Z41" s="61">
        <f>IF(Table132[[#This Row],[Include in Summer Calendar]],Table132[[#This Row],[Area Overlap with SAC (km2)]]*100/$M$2,0)</f>
        <v>0</v>
      </c>
      <c r="AA41" s="62">
        <v>62</v>
      </c>
    </row>
    <row r="42" spans="1:27" ht="29" x14ac:dyDescent="0.35">
      <c r="A42" s="75" t="s">
        <v>161</v>
      </c>
      <c r="B42" s="78" t="s">
        <v>73</v>
      </c>
      <c r="C42" s="30" t="s">
        <v>38</v>
      </c>
      <c r="D42" s="30" t="s">
        <v>162</v>
      </c>
      <c r="E42" s="31" t="s">
        <v>51</v>
      </c>
      <c r="F42" s="79"/>
      <c r="G42" s="26" t="s">
        <v>74</v>
      </c>
      <c r="H42" s="26"/>
      <c r="I42" s="81" t="s">
        <v>86</v>
      </c>
      <c r="J42" s="83">
        <v>45908</v>
      </c>
      <c r="K42" s="8">
        <v>46101</v>
      </c>
      <c r="L42" s="8">
        <v>46102</v>
      </c>
      <c r="M42" s="10">
        <v>4</v>
      </c>
      <c r="N42" s="10">
        <v>36.9</v>
      </c>
      <c r="O42" s="44"/>
      <c r="P42" s="38"/>
      <c r="Q42" s="38"/>
      <c r="R42" s="10" t="s">
        <v>163</v>
      </c>
      <c r="S42" s="9" t="s">
        <v>164</v>
      </c>
      <c r="T42" s="43" t="s">
        <v>63</v>
      </c>
      <c r="U42" s="67" t="b">
        <f>IF(AND(NOT(OR(Table132[[#This Row],[Case Status]]="Postponed",Table132[[#This Row],[Case Status]]="Cancelled")),NOT(Table132[[#This Row],[Which seasonal area of the SAC does this activity impact?]]="Summer"),OR(OR(MONTH(Table132[[#This Row],[Start Date]])&lt;=3,MONTH(Table132[[#This Row],[Start Date]])&gt;=10),OR(MONTH(Table132[[#This Row],[End Date]])&lt;=3,MONTH(Table132[[#This Row],[End Date]])&gt;=10,(Table132[[#This Row],[End Date]]-Table132[[#This Row],[Start Date]])&gt;=182))),TRUE,FALSE)</f>
        <v>0</v>
      </c>
      <c r="V42" s="66" t="b">
        <f>IF(AND(NOT(OR(Table132[[#This Row],[Case Status]]="Postponed",Table132[[#This Row],[Case Status]]="Cancelled")),NOT(Table132[[#This Row],[Which seasonal area of the SAC does this activity impact?]]="Winter"),OR(OR(MONTH(Table132[[#This Row],[Start Date]])&gt;=4,MONTH(Table132[[#This Row],[Start Date]])&lt;=9)),OR(MONTH(Table132[[#This Row],[End Date]])&gt;=4,MONTH(Table132[[#This Row],[End Date]])&lt;=9,(Table132[[#This Row],[End Date]]-Table132[[#This Row],[Start Date]])&gt;=182)),TRUE,FALSE)</f>
        <v>1</v>
      </c>
      <c r="W42" s="90">
        <f>IF(Table132[[#This Row],[Include in Winter Calendar]],Table132[[#This Row],[Area Overlap with Winter SAC (km2) (NEW)]]*100/$M$3,0)</f>
        <v>0</v>
      </c>
      <c r="X42" s="90">
        <f>IF(Table132[[#This Row],[Include in Summer Calendar]],Table132[[#This Row],[Area Overlap with Summer SAC (km2) (NEW)]]*100/$M$2,0)</f>
        <v>0</v>
      </c>
      <c r="Y42" s="61">
        <f>IF(Table132[[#This Row],[Include in Winter Calendar]],Table132[[#This Row],[Area Overlap with SAC (km2)]]*100/$M$3,0)</f>
        <v>0</v>
      </c>
      <c r="Z42" s="61">
        <f>IF(Table132[[#This Row],[Include in Summer Calendar]],Table132[[#This Row],[Area Overlap with SAC (km2)]]*100/$M$2,0)</f>
        <v>0.1365250850969365</v>
      </c>
      <c r="AA42" s="62">
        <v>55</v>
      </c>
    </row>
    <row r="43" spans="1:27" ht="18.5" x14ac:dyDescent="0.35">
      <c r="A43" s="75" t="s">
        <v>165</v>
      </c>
      <c r="B43" s="78" t="s">
        <v>166</v>
      </c>
      <c r="C43" s="30" t="s">
        <v>58</v>
      </c>
      <c r="D43" s="30" t="s">
        <v>50</v>
      </c>
      <c r="E43" s="31" t="s">
        <v>51</v>
      </c>
      <c r="F43" s="79"/>
      <c r="G43" s="26" t="s">
        <v>167</v>
      </c>
      <c r="H43" s="26"/>
      <c r="I43" s="81" t="s">
        <v>86</v>
      </c>
      <c r="J43" s="83">
        <v>46160</v>
      </c>
      <c r="K43" s="8">
        <v>46143</v>
      </c>
      <c r="L43" s="8">
        <v>46150</v>
      </c>
      <c r="M43" s="155">
        <v>4</v>
      </c>
      <c r="N43" s="155">
        <v>356.3</v>
      </c>
      <c r="O43" s="156"/>
      <c r="P43" s="157"/>
      <c r="Q43" s="157"/>
      <c r="R43" s="158"/>
      <c r="S43" s="155" t="s">
        <v>168</v>
      </c>
      <c r="T43" s="163"/>
      <c r="U43" s="67" t="b">
        <f>IF(AND(NOT(OR(Table132[[#This Row],[Case Status]]="Postponed",Table132[[#This Row],[Case Status]]="Cancelled")),NOT(Table132[[#This Row],[Which seasonal area of the SAC does this activity impact?]]="Summer"),OR(OR(MONTH(Table132[[#This Row],[Start Date]])&lt;=3,MONTH(Table132[[#This Row],[Start Date]])&gt;=10),OR(MONTH(Table132[[#This Row],[End Date]])&lt;=3,MONTH(Table132[[#This Row],[End Date]])&gt;=10,(Table132[[#This Row],[End Date]]-Table132[[#This Row],[Start Date]])&gt;=182))),TRUE,FALSE)</f>
        <v>0</v>
      </c>
      <c r="V43" s="66" t="b">
        <f>IF(AND(NOT(OR(Table132[[#This Row],[Case Status]]="Postponed",Table132[[#This Row],[Case Status]]="Cancelled")),NOT(Table132[[#This Row],[Which seasonal area of the SAC does this activity impact?]]="Winter"),OR(OR(MONTH(Table132[[#This Row],[Start Date]])&gt;=4,MONTH(Table132[[#This Row],[Start Date]])&lt;=9)),OR(MONTH(Table132[[#This Row],[End Date]])&gt;=4,MONTH(Table132[[#This Row],[End Date]])&lt;=9,(Table132[[#This Row],[End Date]]-Table132[[#This Row],[Start Date]])&gt;=182)),TRUE,FALSE)</f>
        <v>1</v>
      </c>
      <c r="W43" s="90">
        <f>IF(Table132[[#This Row],[Include in Winter Calendar]],Table132[[#This Row],[Area Overlap with Winter SAC (km2) (NEW)]]*100/$M$3,0)</f>
        <v>0</v>
      </c>
      <c r="X43" s="90">
        <f>IF(Table132[[#This Row],[Include in Summer Calendar]],Table132[[#This Row],[Area Overlap with Summer SAC (km2) (NEW)]]*100/$M$2,0)</f>
        <v>0</v>
      </c>
      <c r="Y43" s="61">
        <f>IF(Table132[[#This Row],[Include in Winter Calendar]],Table132[[#This Row],[Area Overlap with SAC (km2)]]*100/$M$3,0)</f>
        <v>0</v>
      </c>
      <c r="Z43" s="61">
        <f>IF(Table132[[#This Row],[Include in Summer Calendar]],Table132[[#This Row],[Area Overlap with SAC (km2)]]*100/$M$2,0)</f>
        <v>1.3182625425484682</v>
      </c>
      <c r="AA43" s="62"/>
    </row>
    <row r="44" spans="1:27" ht="130.5" x14ac:dyDescent="0.35">
      <c r="A44" s="75" t="s">
        <v>169</v>
      </c>
      <c r="B44" s="77" t="s">
        <v>170</v>
      </c>
      <c r="C44" s="33" t="s">
        <v>58</v>
      </c>
      <c r="D44" s="33" t="s">
        <v>50</v>
      </c>
      <c r="E44" s="33" t="s">
        <v>130</v>
      </c>
      <c r="F44" s="36" t="s">
        <v>171</v>
      </c>
      <c r="G44" s="25" t="s">
        <v>172</v>
      </c>
      <c r="H44" s="25"/>
      <c r="I44" s="80" t="s">
        <v>173</v>
      </c>
      <c r="J44" s="84">
        <v>45853</v>
      </c>
      <c r="K44" s="7">
        <v>45901</v>
      </c>
      <c r="L44" s="7">
        <v>46112</v>
      </c>
      <c r="M44" s="9">
        <v>3</v>
      </c>
      <c r="N44" s="9">
        <v>586</v>
      </c>
      <c r="O44" s="9" t="s">
        <v>117</v>
      </c>
      <c r="P44" s="39"/>
      <c r="Q44" s="39"/>
      <c r="R44" s="9"/>
      <c r="S44" s="9" t="s">
        <v>174</v>
      </c>
      <c r="T44" s="161" t="s">
        <v>43</v>
      </c>
      <c r="U44" s="58" t="b">
        <f>IF(AND(NOT(OR(Table132[[#This Row],[Case Status]]="Postponed",Table132[[#This Row],[Case Status]]="Cancelled")),NOT(Table132[[#This Row],[Which seasonal area of the SAC does this activity impact?]]="Summer"),OR(OR(MONTH(Table132[[#This Row],[Start Date]])&lt;=3,MONTH(Table132[[#This Row],[Start Date]])&gt;=10),OR(MONTH(Table132[[#This Row],[End Date]])&lt;=3,MONTH(Table132[[#This Row],[End Date]])&gt;=10,(Table132[[#This Row],[End Date]]-Table132[[#This Row],[Start Date]])&gt;=182))),TRUE,FALSE)</f>
        <v>0</v>
      </c>
      <c r="V44" s="66" t="b">
        <f>IF(AND(NOT(OR(Table132[[#This Row],[Case Status]]="Postponed",Table132[[#This Row],[Case Status]]="Cancelled")),NOT(Table132[[#This Row],[Which seasonal area of the SAC does this activity impact?]]="Winter"),OR(OR(MONTH(Table132[[#This Row],[Start Date]])&gt;=4,MONTH(Table132[[#This Row],[Start Date]])&lt;=9)),OR(MONTH(Table132[[#This Row],[End Date]])&gt;=4,MONTH(Table132[[#This Row],[End Date]])&lt;=9,(Table132[[#This Row],[End Date]]-Table132[[#This Row],[Start Date]])&gt;=182)),TRUE,FALSE)</f>
        <v>0</v>
      </c>
      <c r="W44" s="90">
        <f>IF(Table132[[#This Row],[Include in Winter Calendar]],Table132[[#This Row],[Area Overlap with Winter SAC (km2) (NEW)]]*100/$M$3,0)</f>
        <v>0</v>
      </c>
      <c r="X44" s="90">
        <f>IF(Table132[[#This Row],[Include in Summer Calendar]],Table132[[#This Row],[Area Overlap with Summer SAC (km2) (NEW)]]*100/$M$2,0)</f>
        <v>0</v>
      </c>
      <c r="Y44" s="61">
        <f>IF(Table132[[#This Row],[Include in Winter Calendar]],Table132[[#This Row],[Area Overlap with SAC (km2)]]*100/$M$3,0)</f>
        <v>0</v>
      </c>
      <c r="Z44" s="61">
        <f>IF(Table132[[#This Row],[Include in Summer Calendar]],Table132[[#This Row],[Area Overlap with SAC (km2)]]*100/$M$2,0)</f>
        <v>0</v>
      </c>
      <c r="AA44" s="65">
        <v>30</v>
      </c>
    </row>
    <row r="45" spans="1:27" s="113" customFormat="1" ht="116" x14ac:dyDescent="0.35">
      <c r="A45" s="75" t="s">
        <v>175</v>
      </c>
      <c r="B45" s="78" t="s">
        <v>73</v>
      </c>
      <c r="C45" s="30" t="s">
        <v>38</v>
      </c>
      <c r="D45" s="30" t="s">
        <v>50</v>
      </c>
      <c r="E45" s="31" t="s">
        <v>40</v>
      </c>
      <c r="F45" s="79"/>
      <c r="G45" s="26" t="s">
        <v>176</v>
      </c>
      <c r="H45" s="26"/>
      <c r="I45" s="81" t="s">
        <v>177</v>
      </c>
      <c r="J45" s="83">
        <v>45853</v>
      </c>
      <c r="K45" s="8">
        <v>46388</v>
      </c>
      <c r="L45" s="8">
        <v>46733</v>
      </c>
      <c r="M45" s="10"/>
      <c r="N45" s="10"/>
      <c r="O45" s="44"/>
      <c r="P45" s="38"/>
      <c r="Q45" s="38"/>
      <c r="R45" s="10"/>
      <c r="S45" s="9" t="s">
        <v>178</v>
      </c>
      <c r="T45" s="43" t="s">
        <v>43</v>
      </c>
      <c r="U45" s="67" t="b">
        <f>IF(AND(NOT(OR(Table132[[#This Row],[Case Status]]="Postponed",Table132[[#This Row],[Case Status]]="Cancelled")),NOT(Table132[[#This Row],[Which seasonal area of the SAC does this activity impact?]]="Summer"),OR(OR(MONTH(Table132[[#This Row],[Start Date]])&lt;=3,MONTH(Table132[[#This Row],[Start Date]])&gt;=10),OR(MONTH(Table132[[#This Row],[End Date]])&lt;=3,MONTH(Table132[[#This Row],[End Date]])&gt;=10,(Table132[[#This Row],[End Date]]-Table132[[#This Row],[Start Date]])&gt;=182))),TRUE,FALSE)</f>
        <v>1</v>
      </c>
      <c r="V45" s="66" t="b">
        <f>IF(AND(NOT(OR(Table132[[#This Row],[Case Status]]="Postponed",Table132[[#This Row],[Case Status]]="Cancelled")),NOT(Table132[[#This Row],[Which seasonal area of the SAC does this activity impact?]]="Winter"),OR(OR(MONTH(Table132[[#This Row],[Start Date]])&gt;=4,MONTH(Table132[[#This Row],[Start Date]])&lt;=9)),OR(MONTH(Table132[[#This Row],[End Date]])&gt;=4,MONTH(Table132[[#This Row],[End Date]])&lt;=9,(Table132[[#This Row],[End Date]]-Table132[[#This Row],[Start Date]])&gt;=182)),TRUE,FALSE)</f>
        <v>1</v>
      </c>
      <c r="W45" s="90">
        <f>IF(Table132[[#This Row],[Include in Winter Calendar]],Table132[[#This Row],[Area Overlap with Winter SAC (km2) (NEW)]]*100/$M$3,0)</f>
        <v>0</v>
      </c>
      <c r="X45" s="90">
        <f>IF(Table132[[#This Row],[Include in Summer Calendar]],Table132[[#This Row],[Area Overlap with Summer SAC (km2) (NEW)]]*100/$M$2,0)</f>
        <v>0</v>
      </c>
      <c r="Y45" s="61">
        <f>IF(Table132[[#This Row],[Include in Winter Calendar]],Table132[[#This Row],[Area Overlap with SAC (km2)]]*100/$M$3,0)</f>
        <v>0</v>
      </c>
      <c r="Z45" s="61">
        <f>IF(Table132[[#This Row],[Include in Summer Calendar]],Table132[[#This Row],[Area Overlap with SAC (km2)]]*100/$M$2,0)</f>
        <v>0</v>
      </c>
      <c r="AA45" s="62">
        <v>41</v>
      </c>
    </row>
    <row r="46" spans="1:27" s="113" customFormat="1" ht="29" x14ac:dyDescent="0.35">
      <c r="A46" s="75" t="s">
        <v>179</v>
      </c>
      <c r="B46" s="78" t="s">
        <v>180</v>
      </c>
      <c r="C46" s="30" t="s">
        <v>58</v>
      </c>
      <c r="D46" s="30" t="s">
        <v>69</v>
      </c>
      <c r="E46" s="31" t="s">
        <v>51</v>
      </c>
      <c r="F46" s="79"/>
      <c r="G46" s="26"/>
      <c r="H46" s="26"/>
      <c r="I46" s="81" t="s">
        <v>81</v>
      </c>
      <c r="J46" s="83">
        <v>46182</v>
      </c>
      <c r="K46" s="8">
        <v>46204</v>
      </c>
      <c r="L46" s="8">
        <v>46234</v>
      </c>
      <c r="M46" s="10">
        <v>2</v>
      </c>
      <c r="N46" s="10">
        <v>706.8</v>
      </c>
      <c r="O46" s="44"/>
      <c r="P46" s="38"/>
      <c r="Q46" s="38"/>
      <c r="R46" s="9" t="s">
        <v>181</v>
      </c>
      <c r="S46" s="10"/>
      <c r="T46" s="43" t="s">
        <v>63</v>
      </c>
      <c r="U46" s="67" t="b">
        <f>IF(AND(NOT(OR(Table132[[#This Row],[Case Status]]="Postponed",Table132[[#This Row],[Case Status]]="Cancelled")),NOT(Table132[[#This Row],[Which seasonal area of the SAC does this activity impact?]]="Summer"),OR(OR(MONTH(Table132[[#This Row],[Start Date]])&lt;=3,MONTH(Table132[[#This Row],[Start Date]])&gt;=10),OR(MONTH(Table132[[#This Row],[End Date]])&lt;=3,MONTH(Table132[[#This Row],[End Date]])&gt;=10,(Table132[[#This Row],[End Date]]-Table132[[#This Row],[Start Date]])&gt;=182))),TRUE,FALSE)</f>
        <v>0</v>
      </c>
      <c r="V46" s="66" t="b">
        <f>IF(AND(NOT(OR(Table132[[#This Row],[Case Status]]="Postponed",Table132[[#This Row],[Case Status]]="Cancelled")),NOT(Table132[[#This Row],[Which seasonal area of the SAC does this activity impact?]]="Winter"),OR(OR(MONTH(Table132[[#This Row],[Start Date]])&gt;=4,MONTH(Table132[[#This Row],[Start Date]])&lt;=9)),OR(MONTH(Table132[[#This Row],[End Date]])&gt;=4,MONTH(Table132[[#This Row],[End Date]])&lt;=9,(Table132[[#This Row],[End Date]]-Table132[[#This Row],[Start Date]])&gt;=182)),TRUE,FALSE)</f>
        <v>0</v>
      </c>
      <c r="W46" s="90">
        <f>IF(Table132[[#This Row],[Include in Winter Calendar]],Table132[[#This Row],[Area Overlap with Winter SAC (km2) (NEW)]]*100/$M$3,0)</f>
        <v>0</v>
      </c>
      <c r="X46" s="90">
        <f>IF(Table132[[#This Row],[Include in Summer Calendar]],Table132[[#This Row],[Area Overlap with Summer SAC (km2) (NEW)]]*100/$M$2,0)</f>
        <v>0</v>
      </c>
      <c r="Y46" s="61">
        <f>IF(Table132[[#This Row],[Include in Winter Calendar]],Table132[[#This Row],[Area Overlap with SAC (km2)]]*100/$M$3,0)</f>
        <v>0</v>
      </c>
      <c r="Z46" s="61">
        <f>IF(Table132[[#This Row],[Include in Summer Calendar]],Table132[[#This Row],[Area Overlap with SAC (km2)]]*100/$M$2,0)</f>
        <v>0</v>
      </c>
      <c r="AA46" s="65">
        <v>72</v>
      </c>
    </row>
    <row r="47" spans="1:27" ht="29" x14ac:dyDescent="0.35">
      <c r="A47" s="75" t="s">
        <v>182</v>
      </c>
      <c r="B47" s="78" t="s">
        <v>183</v>
      </c>
      <c r="C47" s="30" t="s">
        <v>38</v>
      </c>
      <c r="D47" s="30" t="s">
        <v>92</v>
      </c>
      <c r="E47" s="31" t="s">
        <v>130</v>
      </c>
      <c r="F47" s="79"/>
      <c r="G47" s="26" t="s">
        <v>184</v>
      </c>
      <c r="H47" s="28"/>
      <c r="I47" s="81" t="s">
        <v>185</v>
      </c>
      <c r="J47" s="83">
        <v>45951</v>
      </c>
      <c r="K47" s="8">
        <v>45962</v>
      </c>
      <c r="L47" s="8">
        <v>46111</v>
      </c>
      <c r="M47" s="10">
        <v>55</v>
      </c>
      <c r="N47" s="10">
        <v>0.1</v>
      </c>
      <c r="O47" s="44"/>
      <c r="P47" s="38"/>
      <c r="Q47" s="38"/>
      <c r="R47" s="9" t="s">
        <v>186</v>
      </c>
      <c r="S47" s="9" t="s">
        <v>187</v>
      </c>
      <c r="T47" s="43" t="s">
        <v>63</v>
      </c>
      <c r="U47" s="67" t="b">
        <f>IF(AND(NOT(OR(Table132[[#This Row],[Case Status]]="Postponed",Table132[[#This Row],[Case Status]]="Cancelled")),NOT(Table132[[#This Row],[Which seasonal area of the SAC does this activity impact?]]="Summer"),OR(OR(MONTH(Table132[[#This Row],[Start Date]])&lt;=3,MONTH(Table132[[#This Row],[Start Date]])&gt;=10),OR(MONTH(Table132[[#This Row],[End Date]])&lt;=3,MONTH(Table132[[#This Row],[End Date]])&gt;=10,(Table132[[#This Row],[End Date]]-Table132[[#This Row],[Start Date]])&gt;=182))),TRUE,FALSE)</f>
        <v>1</v>
      </c>
      <c r="V47" s="66" t="b">
        <f>IF(AND(NOT(OR(Table132[[#This Row],[Case Status]]="Postponed",Table132[[#This Row],[Case Status]]="Cancelled")),NOT(Table132[[#This Row],[Which seasonal area of the SAC does this activity impact?]]="Winter"),OR(OR(MONTH(Table132[[#This Row],[Start Date]])&gt;=4,MONTH(Table132[[#This Row],[Start Date]])&lt;=9)),OR(MONTH(Table132[[#This Row],[End Date]])&gt;=4,MONTH(Table132[[#This Row],[End Date]])&lt;=9,(Table132[[#This Row],[End Date]]-Table132[[#This Row],[Start Date]])&gt;=182)),TRUE,FALSE)</f>
        <v>0</v>
      </c>
      <c r="W47" s="90">
        <f>IF(Table132[[#This Row],[Include in Winter Calendar]],Table132[[#This Row],[Area Overlap with Winter SAC (km2) (NEW)]]*100/$M$3,0)</f>
        <v>0</v>
      </c>
      <c r="X47" s="90">
        <f>IF(Table132[[#This Row],[Include in Summer Calendar]],Table132[[#This Row],[Area Overlap with Summer SAC (km2) (NEW)]]*100/$M$2,0)</f>
        <v>0</v>
      </c>
      <c r="Y47" s="61">
        <f>IF(Table132[[#This Row],[Include in Winter Calendar]],Table132[[#This Row],[Area Overlap with SAC (km2)]]*100/$M$3,0)</f>
        <v>7.8764965343415246E-4</v>
      </c>
      <c r="Z47" s="61">
        <f>IF(Table132[[#This Row],[Include in Summer Calendar]],Table132[[#This Row],[Area Overlap with SAC (km2)]]*100/$M$2,0)</f>
        <v>0</v>
      </c>
      <c r="AA47" s="62">
        <v>53</v>
      </c>
    </row>
    <row r="48" spans="1:27" ht="29" x14ac:dyDescent="0.35">
      <c r="A48" s="75" t="s">
        <v>182</v>
      </c>
      <c r="B48" s="78" t="s">
        <v>183</v>
      </c>
      <c r="C48" s="30" t="s">
        <v>38</v>
      </c>
      <c r="D48" s="30" t="s">
        <v>92</v>
      </c>
      <c r="E48" s="31" t="s">
        <v>130</v>
      </c>
      <c r="F48" s="79"/>
      <c r="G48" s="26" t="s">
        <v>184</v>
      </c>
      <c r="H48" s="26"/>
      <c r="I48" s="81" t="s">
        <v>185</v>
      </c>
      <c r="J48" s="83">
        <v>45951</v>
      </c>
      <c r="K48" s="8">
        <v>46142</v>
      </c>
      <c r="L48" s="8">
        <v>46446</v>
      </c>
      <c r="M48" s="10">
        <v>30</v>
      </c>
      <c r="N48" s="10">
        <v>0.1</v>
      </c>
      <c r="O48" s="44"/>
      <c r="P48" s="38"/>
      <c r="Q48" s="38"/>
      <c r="R48" s="9" t="s">
        <v>186</v>
      </c>
      <c r="S48" s="9" t="s">
        <v>188</v>
      </c>
      <c r="T48" s="43" t="s">
        <v>63</v>
      </c>
      <c r="U48" s="67" t="b">
        <f>IF(AND(NOT(OR(Table132[[#This Row],[Case Status]]="Postponed",Table132[[#This Row],[Case Status]]="Cancelled")),NOT(Table132[[#This Row],[Which seasonal area of the SAC does this activity impact?]]="Summer"),OR(OR(MONTH(Table132[[#This Row],[Start Date]])&lt;=3,MONTH(Table132[[#This Row],[Start Date]])&gt;=10),OR(MONTH(Table132[[#This Row],[End Date]])&lt;=3,MONTH(Table132[[#This Row],[End Date]])&gt;=10,(Table132[[#This Row],[End Date]]-Table132[[#This Row],[Start Date]])&gt;=182))),TRUE,FALSE)</f>
        <v>1</v>
      </c>
      <c r="V48" s="66" t="b">
        <f>IF(AND(NOT(OR(Table132[[#This Row],[Case Status]]="Postponed",Table132[[#This Row],[Case Status]]="Cancelled")),NOT(Table132[[#This Row],[Which seasonal area of the SAC does this activity impact?]]="Winter"),OR(OR(MONTH(Table132[[#This Row],[Start Date]])&gt;=4,MONTH(Table132[[#This Row],[Start Date]])&lt;=9)),OR(MONTH(Table132[[#This Row],[End Date]])&gt;=4,MONTH(Table132[[#This Row],[End Date]])&lt;=9,(Table132[[#This Row],[End Date]]-Table132[[#This Row],[Start Date]])&gt;=182)),TRUE,FALSE)</f>
        <v>0</v>
      </c>
      <c r="W48" s="90">
        <f>IF(Table132[[#This Row],[Include in Winter Calendar]],Table132[[#This Row],[Area Overlap with Winter SAC (km2) (NEW)]]*100/$M$3,0)</f>
        <v>0</v>
      </c>
      <c r="X48" s="90">
        <f>IF(Table132[[#This Row],[Include in Summer Calendar]],Table132[[#This Row],[Area Overlap with Summer SAC (km2) (NEW)]]*100/$M$2,0)</f>
        <v>0</v>
      </c>
      <c r="Y48" s="61">
        <f>IF(Table132[[#This Row],[Include in Winter Calendar]],Table132[[#This Row],[Area Overlap with SAC (km2)]]*100/$M$3,0)</f>
        <v>7.8764965343415246E-4</v>
      </c>
      <c r="Z48" s="61">
        <f>IF(Table132[[#This Row],[Include in Summer Calendar]],Table132[[#This Row],[Area Overlap with SAC (km2)]]*100/$M$2,0)</f>
        <v>0</v>
      </c>
      <c r="AA48" s="65">
        <v>54</v>
      </c>
    </row>
    <row r="49" spans="1:27" ht="29" x14ac:dyDescent="0.35">
      <c r="A49" s="75" t="s">
        <v>189</v>
      </c>
      <c r="B49" s="78" t="s">
        <v>190</v>
      </c>
      <c r="C49" s="30" t="s">
        <v>58</v>
      </c>
      <c r="D49" s="30" t="s">
        <v>59</v>
      </c>
      <c r="E49" s="31" t="s">
        <v>51</v>
      </c>
      <c r="F49" s="79"/>
      <c r="G49" s="26"/>
      <c r="H49" s="26"/>
      <c r="I49" s="81" t="s">
        <v>185</v>
      </c>
      <c r="J49" s="83">
        <v>46160</v>
      </c>
      <c r="K49" s="8">
        <v>46204</v>
      </c>
      <c r="L49" s="8">
        <v>46295</v>
      </c>
      <c r="M49" s="10">
        <v>3</v>
      </c>
      <c r="N49" s="10">
        <v>78.540000000000006</v>
      </c>
      <c r="O49" s="44"/>
      <c r="P49" s="38"/>
      <c r="Q49" s="38"/>
      <c r="R49" s="9" t="s">
        <v>191</v>
      </c>
      <c r="S49" s="9" t="s">
        <v>192</v>
      </c>
      <c r="T49" s="43" t="s">
        <v>63</v>
      </c>
      <c r="U49" s="67" t="b">
        <f>IF(AND(NOT(OR(Table132[[#This Row],[Case Status]]="Postponed",Table132[[#This Row],[Case Status]]="Cancelled")),NOT(Table132[[#This Row],[Which seasonal area of the SAC does this activity impact?]]="Summer"),OR(OR(MONTH(Table132[[#This Row],[Start Date]])&lt;=3,MONTH(Table132[[#This Row],[Start Date]])&gt;=10),OR(MONTH(Table132[[#This Row],[End Date]])&lt;=3,MONTH(Table132[[#This Row],[End Date]])&gt;=10,(Table132[[#This Row],[End Date]]-Table132[[#This Row],[Start Date]])&gt;=182))),TRUE,FALSE)</f>
        <v>0</v>
      </c>
      <c r="V49" s="66" t="b">
        <f>IF(AND(NOT(OR(Table132[[#This Row],[Case Status]]="Postponed",Table132[[#This Row],[Case Status]]="Cancelled")),NOT(Table132[[#This Row],[Which seasonal area of the SAC does this activity impact?]]="Winter"),OR(OR(MONTH(Table132[[#This Row],[Start Date]])&gt;=4,MONTH(Table132[[#This Row],[Start Date]])&lt;=9)),OR(MONTH(Table132[[#This Row],[End Date]])&gt;=4,MONTH(Table132[[#This Row],[End Date]])&lt;=9,(Table132[[#This Row],[End Date]]-Table132[[#This Row],[Start Date]])&gt;=182)),TRUE,FALSE)</f>
        <v>1</v>
      </c>
      <c r="W49" s="90">
        <f>IF(Table132[[#This Row],[Include in Winter Calendar]],Table132[[#This Row],[Area Overlap with Winter SAC (km2) (NEW)]]*100/$M$3,0)</f>
        <v>0</v>
      </c>
      <c r="X49" s="90">
        <f>IF(Table132[[#This Row],[Include in Summer Calendar]],Table132[[#This Row],[Area Overlap with Summer SAC (km2) (NEW)]]*100/$M$2,0)</f>
        <v>0</v>
      </c>
      <c r="Y49" s="61">
        <f>IF(Table132[[#This Row],[Include in Winter Calendar]],Table132[[#This Row],[Area Overlap with SAC (km2)]]*100/$M$3,0)</f>
        <v>0</v>
      </c>
      <c r="Z49" s="61">
        <f>IF(Table132[[#This Row],[Include in Summer Calendar]],Table132[[#This Row],[Area Overlap with SAC (km2)]]*100/$M$2,0)</f>
        <v>0.2905875388486015</v>
      </c>
      <c r="AA49" s="62">
        <v>56</v>
      </c>
    </row>
    <row r="50" spans="1:27" ht="29" x14ac:dyDescent="0.35">
      <c r="A50" s="75" t="s">
        <v>193</v>
      </c>
      <c r="B50" s="78" t="s">
        <v>156</v>
      </c>
      <c r="C50" s="30" t="s">
        <v>58</v>
      </c>
      <c r="D50" s="30" t="s">
        <v>59</v>
      </c>
      <c r="E50" s="31" t="s">
        <v>51</v>
      </c>
      <c r="F50" s="79"/>
      <c r="G50" s="26"/>
      <c r="H50" s="26"/>
      <c r="I50" s="81" t="s">
        <v>86</v>
      </c>
      <c r="J50" s="83">
        <v>46182</v>
      </c>
      <c r="K50" s="129">
        <v>46204</v>
      </c>
      <c r="L50" s="8">
        <v>46295</v>
      </c>
      <c r="M50" s="10">
        <v>3</v>
      </c>
      <c r="N50" s="10">
        <v>78.540000000000006</v>
      </c>
      <c r="O50" s="44"/>
      <c r="P50" s="38"/>
      <c r="Q50" s="38"/>
      <c r="R50" s="9" t="s">
        <v>191</v>
      </c>
      <c r="S50" s="10" t="s">
        <v>192</v>
      </c>
      <c r="T50" s="43" t="s">
        <v>63</v>
      </c>
      <c r="U50" s="67" t="b">
        <f>IF(AND(NOT(OR(Table132[[#This Row],[Case Status]]="Postponed",Table132[[#This Row],[Case Status]]="Cancelled")),NOT(Table132[[#This Row],[Which seasonal area of the SAC does this activity impact?]]="Summer"),OR(OR(MONTH(Table132[[#This Row],[Start Date]])&lt;=3,MONTH(Table132[[#This Row],[Start Date]])&gt;=10),OR(MONTH(Table132[[#This Row],[End Date]])&lt;=3,MONTH(Table132[[#This Row],[End Date]])&gt;=10,(Table132[[#This Row],[End Date]]-Table132[[#This Row],[Start Date]])&gt;=182))),TRUE,FALSE)</f>
        <v>0</v>
      </c>
      <c r="V50" s="66" t="b">
        <f>IF(AND(NOT(OR(Table132[[#This Row],[Case Status]]="Postponed",Table132[[#This Row],[Case Status]]="Cancelled")),NOT(Table132[[#This Row],[Which seasonal area of the SAC does this activity impact?]]="Winter"),OR(OR(MONTH(Table132[[#This Row],[Start Date]])&gt;=4,MONTH(Table132[[#This Row],[Start Date]])&lt;=9)),OR(MONTH(Table132[[#This Row],[End Date]])&gt;=4,MONTH(Table132[[#This Row],[End Date]])&lt;=9,(Table132[[#This Row],[End Date]]-Table132[[#This Row],[Start Date]])&gt;=182)),TRUE,FALSE)</f>
        <v>1</v>
      </c>
      <c r="W50" s="90">
        <f>IF(Table132[[#This Row],[Include in Winter Calendar]],Table132[[#This Row],[Area Overlap with Winter SAC (km2) (NEW)]]*100/$M$3,0)</f>
        <v>0</v>
      </c>
      <c r="X50" s="90">
        <f>IF(Table132[[#This Row],[Include in Summer Calendar]],Table132[[#This Row],[Area Overlap with Summer SAC (km2) (NEW)]]*100/$M$2,0)</f>
        <v>0</v>
      </c>
      <c r="Y50" s="61">
        <f>IF(Table132[[#This Row],[Include in Winter Calendar]],Table132[[#This Row],[Area Overlap with SAC (km2)]]*100/$M$3,0)</f>
        <v>0</v>
      </c>
      <c r="Z50" s="61">
        <f>IF(Table132[[#This Row],[Include in Summer Calendar]],Table132[[#This Row],[Area Overlap with SAC (km2)]]*100/$M$2,0)</f>
        <v>0.2905875388486015</v>
      </c>
      <c r="AA50" s="65">
        <v>57</v>
      </c>
    </row>
    <row r="51" spans="1:27" ht="101.5" x14ac:dyDescent="0.35">
      <c r="A51" s="75" t="s">
        <v>194</v>
      </c>
      <c r="B51" s="78" t="s">
        <v>79</v>
      </c>
      <c r="C51" s="30" t="s">
        <v>58</v>
      </c>
      <c r="D51" s="30" t="s">
        <v>65</v>
      </c>
      <c r="E51" s="31" t="s">
        <v>51</v>
      </c>
      <c r="F51" s="79"/>
      <c r="G51" s="26"/>
      <c r="H51" s="26"/>
      <c r="I51" s="81" t="s">
        <v>42</v>
      </c>
      <c r="J51" s="83">
        <v>45966</v>
      </c>
      <c r="K51" s="8">
        <v>46113</v>
      </c>
      <c r="L51" s="8">
        <v>46295</v>
      </c>
      <c r="M51" s="10">
        <v>10</v>
      </c>
      <c r="N51" s="10">
        <v>100</v>
      </c>
      <c r="O51" s="44"/>
      <c r="P51" s="38"/>
      <c r="Q51" s="38"/>
      <c r="R51" s="9" t="s">
        <v>195</v>
      </c>
      <c r="S51" s="9" t="s">
        <v>196</v>
      </c>
      <c r="T51" s="43" t="s">
        <v>63</v>
      </c>
      <c r="U51" s="67" t="b">
        <f>IF(AND(NOT(OR(Table132[[#This Row],[Case Status]]="Postponed",Table132[[#This Row],[Case Status]]="Cancelled")),NOT(Table132[[#This Row],[Which seasonal area of the SAC does this activity impact?]]="Summer"),OR(OR(MONTH(Table132[[#This Row],[Start Date]])&lt;=3,MONTH(Table132[[#This Row],[Start Date]])&gt;=10),OR(MONTH(Table132[[#This Row],[End Date]])&lt;=3,MONTH(Table132[[#This Row],[End Date]])&gt;=10,(Table132[[#This Row],[End Date]]-Table132[[#This Row],[Start Date]])&gt;=182))),TRUE,FALSE)</f>
        <v>0</v>
      </c>
      <c r="V51" s="66" t="b">
        <f>IF(AND(NOT(OR(Table132[[#This Row],[Case Status]]="Postponed",Table132[[#This Row],[Case Status]]="Cancelled")),NOT(Table132[[#This Row],[Which seasonal area of the SAC does this activity impact?]]="Winter"),OR(OR(MONTH(Table132[[#This Row],[Start Date]])&gt;=4,MONTH(Table132[[#This Row],[Start Date]])&lt;=9)),OR(MONTH(Table132[[#This Row],[End Date]])&gt;=4,MONTH(Table132[[#This Row],[End Date]])&lt;=9,(Table132[[#This Row],[End Date]]-Table132[[#This Row],[Start Date]])&gt;=182)),TRUE,FALSE)</f>
        <v>1</v>
      </c>
      <c r="W51" s="90">
        <f>IF(Table132[[#This Row],[Include in Winter Calendar]],Table132[[#This Row],[Area Overlap with Winter SAC (km2) (NEW)]]*100/$M$3,0)</f>
        <v>0</v>
      </c>
      <c r="X51" s="90">
        <f>IF(Table132[[#This Row],[Include in Summer Calendar]],Table132[[#This Row],[Area Overlap with Summer SAC (km2) (NEW)]]*100/$M$2,0)</f>
        <v>0</v>
      </c>
      <c r="Y51" s="61">
        <f>IF(Table132[[#This Row],[Include in Winter Calendar]],Table132[[#This Row],[Area Overlap with SAC (km2)]]*100/$M$3,0)</f>
        <v>0</v>
      </c>
      <c r="Z51" s="61">
        <f>IF(Table132[[#This Row],[Include in Summer Calendar]],Table132[[#This Row],[Area Overlap with SAC (km2)]]*100/$M$2,0)</f>
        <v>0.36998668047950273</v>
      </c>
      <c r="AA51" s="62">
        <v>65</v>
      </c>
    </row>
    <row r="52" spans="1:27" ht="101.5" x14ac:dyDescent="0.35">
      <c r="A52" s="75" t="s">
        <v>197</v>
      </c>
      <c r="B52" s="78" t="s">
        <v>79</v>
      </c>
      <c r="C52" s="30" t="s">
        <v>58</v>
      </c>
      <c r="D52" s="30" t="s">
        <v>69</v>
      </c>
      <c r="E52" s="31" t="s">
        <v>51</v>
      </c>
      <c r="F52" s="79"/>
      <c r="G52" s="26"/>
      <c r="H52" s="26"/>
      <c r="I52" s="81" t="s">
        <v>42</v>
      </c>
      <c r="J52" s="83">
        <v>45966</v>
      </c>
      <c r="K52" s="131">
        <v>46113</v>
      </c>
      <c r="L52" s="8">
        <v>46295</v>
      </c>
      <c r="M52" s="10">
        <v>3</v>
      </c>
      <c r="N52" s="43">
        <v>1950</v>
      </c>
      <c r="O52" s="44"/>
      <c r="P52" s="38"/>
      <c r="Q52" s="38"/>
      <c r="R52" s="9" t="s">
        <v>195</v>
      </c>
      <c r="S52" s="9" t="s">
        <v>198</v>
      </c>
      <c r="T52" s="43" t="s">
        <v>63</v>
      </c>
      <c r="U52" s="67" t="b">
        <f>IF(AND(NOT(OR(Table132[[#This Row],[Case Status]]="Postponed",Table132[[#This Row],[Case Status]]="Cancelled")),NOT(Table132[[#This Row],[Which seasonal area of the SAC does this activity impact?]]="Summer"),OR(OR(MONTH(Table132[[#This Row],[Start Date]])&lt;=3,MONTH(Table132[[#This Row],[Start Date]])&gt;=10),OR(MONTH(Table132[[#This Row],[End Date]])&lt;=3,MONTH(Table132[[#This Row],[End Date]])&gt;=10,(Table132[[#This Row],[End Date]]-Table132[[#This Row],[Start Date]])&gt;=182))),TRUE,FALSE)</f>
        <v>0</v>
      </c>
      <c r="V52" s="66" t="b">
        <f>IF(AND(NOT(OR(Table132[[#This Row],[Case Status]]="Postponed",Table132[[#This Row],[Case Status]]="Cancelled")),NOT(Table132[[#This Row],[Which seasonal area of the SAC does this activity impact?]]="Winter"),OR(OR(MONTH(Table132[[#This Row],[Start Date]])&gt;=4,MONTH(Table132[[#This Row],[Start Date]])&lt;=9)),OR(MONTH(Table132[[#This Row],[End Date]])&gt;=4,MONTH(Table132[[#This Row],[End Date]])&lt;=9,(Table132[[#This Row],[End Date]]-Table132[[#This Row],[Start Date]])&gt;=182)),TRUE,FALSE)</f>
        <v>1</v>
      </c>
      <c r="W52" s="90">
        <f>IF(Table132[[#This Row],[Include in Winter Calendar]],Table132[[#This Row],[Area Overlap with Winter SAC (km2) (NEW)]]*100/$M$3,0)</f>
        <v>0</v>
      </c>
      <c r="X52" s="90">
        <f>IF(Table132[[#This Row],[Include in Summer Calendar]],Table132[[#This Row],[Area Overlap with Summer SAC (km2) (NEW)]]*100/$M$2,0)</f>
        <v>0</v>
      </c>
      <c r="Y52" s="61">
        <f>IF(Table132[[#This Row],[Include in Winter Calendar]],Table132[[#This Row],[Area Overlap with SAC (km2)]]*100/$M$3,0)</f>
        <v>0</v>
      </c>
      <c r="Z52" s="61">
        <f>IF(Table132[[#This Row],[Include in Summer Calendar]],Table132[[#This Row],[Area Overlap with SAC (km2)]]*100/$M$2,0)</f>
        <v>7.2147402693503038</v>
      </c>
      <c r="AA52" s="65">
        <v>66</v>
      </c>
    </row>
    <row r="53" spans="1:27" ht="54" customHeight="1" x14ac:dyDescent="0.35">
      <c r="A53" s="75" t="s">
        <v>199</v>
      </c>
      <c r="B53" s="78" t="s">
        <v>79</v>
      </c>
      <c r="C53" s="30" t="s">
        <v>58</v>
      </c>
      <c r="D53" s="30" t="s">
        <v>50</v>
      </c>
      <c r="E53" s="31" t="s">
        <v>51</v>
      </c>
      <c r="F53" s="79"/>
      <c r="G53" s="26"/>
      <c r="H53" s="26"/>
      <c r="I53" s="81" t="s">
        <v>185</v>
      </c>
      <c r="J53" s="83">
        <v>46182</v>
      </c>
      <c r="K53" s="8">
        <v>46136</v>
      </c>
      <c r="L53" s="8">
        <v>46203</v>
      </c>
      <c r="M53" s="10">
        <v>5</v>
      </c>
      <c r="N53" s="43">
        <v>650</v>
      </c>
      <c r="O53" s="44"/>
      <c r="P53" s="38"/>
      <c r="Q53" s="38"/>
      <c r="R53" s="9" t="s">
        <v>195</v>
      </c>
      <c r="S53" s="9"/>
      <c r="T53" s="43" t="s">
        <v>63</v>
      </c>
      <c r="U53" s="67" t="b">
        <f>IF(AND(NOT(OR(Table132[[#This Row],[Case Status]]="Postponed",Table132[[#This Row],[Case Status]]="Cancelled")),NOT(Table132[[#This Row],[Which seasonal area of the SAC does this activity impact?]]="Summer"),OR(OR(MONTH(Table132[[#This Row],[Start Date]])&lt;=3,MONTH(Table132[[#This Row],[Start Date]])&gt;=10),OR(MONTH(Table132[[#This Row],[End Date]])&lt;=3,MONTH(Table132[[#This Row],[End Date]])&gt;=10,(Table132[[#This Row],[End Date]]-Table132[[#This Row],[Start Date]])&gt;=182))),TRUE,FALSE)</f>
        <v>0</v>
      </c>
      <c r="V53" s="66" t="b">
        <f>IF(AND(NOT(OR(Table132[[#This Row],[Case Status]]="Postponed",Table132[[#This Row],[Case Status]]="Cancelled")),NOT(Table132[[#This Row],[Which seasonal area of the SAC does this activity impact?]]="Winter"),OR(OR(MONTH(Table132[[#This Row],[Start Date]])&gt;=4,MONTH(Table132[[#This Row],[Start Date]])&lt;=9)),OR(MONTH(Table132[[#This Row],[End Date]])&gt;=4,MONTH(Table132[[#This Row],[End Date]])&lt;=9,(Table132[[#This Row],[End Date]]-Table132[[#This Row],[Start Date]])&gt;=182)),TRUE,FALSE)</f>
        <v>1</v>
      </c>
      <c r="W53" s="90">
        <f>IF(Table132[[#This Row],[Include in Winter Calendar]],Table132[[#This Row],[Area Overlap with Winter SAC (km2) (NEW)]]*100/$M$3,0)</f>
        <v>0</v>
      </c>
      <c r="X53" s="90">
        <f>IF(Table132[[#This Row],[Include in Summer Calendar]],Table132[[#This Row],[Area Overlap with Summer SAC (km2) (NEW)]]*100/$M$2,0)</f>
        <v>0</v>
      </c>
      <c r="Y53" s="61">
        <f>IF(Table132[[#This Row],[Include in Winter Calendar]],Table132[[#This Row],[Area Overlap with SAC (km2)]]*100/$M$3,0)</f>
        <v>0</v>
      </c>
      <c r="Z53" s="61">
        <f>IF(Table132[[#This Row],[Include in Summer Calendar]],Table132[[#This Row],[Area Overlap with SAC (km2)]]*100/$M$2,0)</f>
        <v>2.4049134231167679</v>
      </c>
      <c r="AA53" s="62">
        <v>67</v>
      </c>
    </row>
    <row r="54" spans="1:27" ht="69.75" customHeight="1" x14ac:dyDescent="0.35">
      <c r="A54" s="75" t="s">
        <v>200</v>
      </c>
      <c r="B54" s="78" t="s">
        <v>79</v>
      </c>
      <c r="C54" s="30" t="s">
        <v>58</v>
      </c>
      <c r="D54" s="30" t="s">
        <v>80</v>
      </c>
      <c r="E54" s="31" t="s">
        <v>51</v>
      </c>
      <c r="F54" s="79"/>
      <c r="G54" s="26"/>
      <c r="H54" s="28"/>
      <c r="I54" s="81" t="s">
        <v>42</v>
      </c>
      <c r="J54" s="83">
        <v>46182</v>
      </c>
      <c r="K54" s="8">
        <v>46266</v>
      </c>
      <c r="L54" s="8">
        <v>46325</v>
      </c>
      <c r="M54" s="97">
        <v>3</v>
      </c>
      <c r="N54" s="97">
        <v>450</v>
      </c>
      <c r="O54" s="44"/>
      <c r="P54" s="38"/>
      <c r="Q54" s="38"/>
      <c r="R54" s="9" t="s">
        <v>201</v>
      </c>
      <c r="S54" s="57"/>
      <c r="T54" s="164" t="s">
        <v>63</v>
      </c>
      <c r="U54" s="67" t="b">
        <f>IF(AND(NOT(OR(Table132[[#This Row],[Case Status]]="Postponed",Table132[[#This Row],[Case Status]]="Cancelled")),NOT(Table132[[#This Row],[Which seasonal area of the SAC does this activity impact?]]="Summer"),OR(OR(MONTH(Table132[[#This Row],[Start Date]])&lt;=3,MONTH(Table132[[#This Row],[Start Date]])&gt;=10),OR(MONTH(Table132[[#This Row],[End Date]])&lt;=3,MONTH(Table132[[#This Row],[End Date]])&gt;=10,(Table132[[#This Row],[End Date]]-Table132[[#This Row],[Start Date]])&gt;=182))),TRUE,FALSE)</f>
        <v>0</v>
      </c>
      <c r="V54" s="66" t="b">
        <f>IF(AND(NOT(OR(Table132[[#This Row],[Case Status]]="Postponed",Table132[[#This Row],[Case Status]]="Cancelled")),NOT(Table132[[#This Row],[Which seasonal area of the SAC does this activity impact?]]="Winter"),OR(OR(MONTH(Table132[[#This Row],[Start Date]])&gt;=4,MONTH(Table132[[#This Row],[Start Date]])&lt;=9)),OR(MONTH(Table132[[#This Row],[End Date]])&gt;=4,MONTH(Table132[[#This Row],[End Date]])&lt;=9,(Table132[[#This Row],[End Date]]-Table132[[#This Row],[Start Date]])&gt;=182)),TRUE,FALSE)</f>
        <v>1</v>
      </c>
      <c r="W54" s="90">
        <f>IF(Table132[[#This Row],[Include in Winter Calendar]],Table132[[#This Row],[Area Overlap with Winter SAC (km2) (NEW)]]*100/$M$3,0)</f>
        <v>0</v>
      </c>
      <c r="X54" s="90">
        <f>IF(Table132[[#This Row],[Include in Summer Calendar]],Table132[[#This Row],[Area Overlap with Summer SAC (km2) (NEW)]]*100/$M$2,0)</f>
        <v>0</v>
      </c>
      <c r="Y54" s="61">
        <f>IF(Table132[[#This Row],[Include in Winter Calendar]],Table132[[#This Row],[Area Overlap with SAC (km2)]]*100/$M$3,0)</f>
        <v>0</v>
      </c>
      <c r="Z54" s="61">
        <f>IF(Table132[[#This Row],[Include in Summer Calendar]],Table132[[#This Row],[Area Overlap with SAC (km2)]]*100/$M$2,0)</f>
        <v>1.6649400621577624</v>
      </c>
      <c r="AA54" s="62">
        <v>70</v>
      </c>
    </row>
    <row r="55" spans="1:27" ht="101.15" customHeight="1" x14ac:dyDescent="0.35">
      <c r="A55" s="98" t="s">
        <v>202</v>
      </c>
      <c r="B55" s="165" t="s">
        <v>79</v>
      </c>
      <c r="C55" s="166" t="s">
        <v>58</v>
      </c>
      <c r="D55" s="166" t="s">
        <v>80</v>
      </c>
      <c r="E55" s="167" t="s">
        <v>51</v>
      </c>
      <c r="F55" s="168"/>
      <c r="G55" s="166"/>
      <c r="H55" s="166"/>
      <c r="I55" s="169" t="s">
        <v>86</v>
      </c>
      <c r="J55" s="170">
        <v>46182</v>
      </c>
      <c r="K55" s="171">
        <v>46116</v>
      </c>
      <c r="L55" s="171">
        <v>46203</v>
      </c>
      <c r="M55" s="172">
        <v>2</v>
      </c>
      <c r="N55" s="172">
        <v>800</v>
      </c>
      <c r="O55" s="173"/>
      <c r="P55" s="167"/>
      <c r="Q55" s="167"/>
      <c r="R55" s="174" t="s">
        <v>82</v>
      </c>
      <c r="S55" s="175"/>
      <c r="T55" s="176" t="s">
        <v>63</v>
      </c>
      <c r="U55" s="177" t="b">
        <f>IF(AND(NOT(OR(Table132[[#This Row],[Case Status]]="Postponed",Table132[[#This Row],[Case Status]]="Cancelled")),NOT(Table132[[#This Row],[Which seasonal area of the SAC does this activity impact?]]="Summer"),OR(OR(MONTH(Table132[[#This Row],[Start Date]])&lt;=3,MONTH(Table132[[#This Row],[Start Date]])&gt;=10),OR(MONTH(Table132[[#This Row],[End Date]])&lt;=3,MONTH(Table132[[#This Row],[End Date]])&gt;=10,(Table132[[#This Row],[End Date]]-Table132[[#This Row],[Start Date]])&gt;=182))),TRUE,FALSE)</f>
        <v>0</v>
      </c>
      <c r="V55" s="178" t="b">
        <f>IF(AND(NOT(OR(Table132[[#This Row],[Case Status]]="Postponed",Table132[[#This Row],[Case Status]]="Cancelled")),NOT(Table132[[#This Row],[Which seasonal area of the SAC does this activity impact?]]="Winter"),OR(OR(MONTH(Table132[[#This Row],[Start Date]])&gt;=4,MONTH(Table132[[#This Row],[Start Date]])&lt;=9)),OR(MONTH(Table132[[#This Row],[End Date]])&gt;=4,MONTH(Table132[[#This Row],[End Date]])&lt;=9,(Table132[[#This Row],[End Date]]-Table132[[#This Row],[Start Date]])&gt;=182)),TRUE,FALSE)</f>
        <v>1</v>
      </c>
      <c r="W55" s="179">
        <f>IF(Table132[[#This Row],[Include in Winter Calendar]],Table132[[#This Row],[Area Overlap with Winter SAC (km2) (NEW)]]*100/$M$3,0)</f>
        <v>0</v>
      </c>
      <c r="X55" s="179">
        <f>IF(Table132[[#This Row],[Include in Summer Calendar]],Table132[[#This Row],[Area Overlap with Summer SAC (km2) (NEW)]]*100/$M$2,0)</f>
        <v>0</v>
      </c>
      <c r="Y55" s="180">
        <f>IF(Table132[[#This Row],[Include in Winter Calendar]],Table132[[#This Row],[Area Overlap with SAC (km2)]]*100/$M$3,0)</f>
        <v>0</v>
      </c>
      <c r="Z55" s="180">
        <f>IF(Table132[[#This Row],[Include in Summer Calendar]],Table132[[#This Row],[Area Overlap with SAC (km2)]]*100/$M$2,0)</f>
        <v>2.9598934438360218</v>
      </c>
      <c r="AA55" s="181">
        <v>71</v>
      </c>
    </row>
    <row r="56" spans="1:27" ht="58" x14ac:dyDescent="0.35">
      <c r="A56" s="98" t="s">
        <v>203</v>
      </c>
      <c r="B56" s="126" t="s">
        <v>124</v>
      </c>
      <c r="C56" s="127" t="s">
        <v>38</v>
      </c>
      <c r="D56" s="127" t="s">
        <v>69</v>
      </c>
      <c r="E56" s="128" t="s">
        <v>51</v>
      </c>
      <c r="F56" s="103"/>
      <c r="G56" s="28" t="s">
        <v>204</v>
      </c>
      <c r="H56" s="28"/>
      <c r="I56" s="104" t="s">
        <v>185</v>
      </c>
      <c r="J56" s="105">
        <v>46182</v>
      </c>
      <c r="K56" s="8">
        <v>46182</v>
      </c>
      <c r="L56" s="8">
        <v>46234</v>
      </c>
      <c r="M56" s="147">
        <v>1</v>
      </c>
      <c r="N56" s="147">
        <v>380.13</v>
      </c>
      <c r="O56" s="130"/>
      <c r="P56" s="99"/>
      <c r="Q56" s="99"/>
      <c r="R56" s="57"/>
      <c r="S56" s="182" t="s">
        <v>205</v>
      </c>
      <c r="T56" s="183" t="s">
        <v>43</v>
      </c>
      <c r="U56" s="67" t="b">
        <f>IF(AND(NOT(OR(Table132[[#This Row],[Case Status]]="Postponed",Table132[[#This Row],[Case Status]]="Cancelled")),NOT(Table132[[#This Row],[Which seasonal area of the SAC does this activity impact?]]="Summer"),OR(OR(MONTH(Table132[[#This Row],[Start Date]])&lt;=3,MONTH(Table132[[#This Row],[Start Date]])&gt;=10),OR(MONTH(Table132[[#This Row],[End Date]])&lt;=3,MONTH(Table132[[#This Row],[End Date]])&gt;=10,(Table132[[#This Row],[End Date]]-Table132[[#This Row],[Start Date]])&gt;=182))),TRUE,FALSE)</f>
        <v>0</v>
      </c>
      <c r="V56" s="66" t="b">
        <f>IF(AND(NOT(OR(Table132[[#This Row],[Case Status]]="Postponed",Table132[[#This Row],[Case Status]]="Cancelled")),NOT(Table132[[#This Row],[Which seasonal area of the SAC does this activity impact?]]="Winter"),OR(OR(MONTH(Table132[[#This Row],[Start Date]])&gt;=4,MONTH(Table132[[#This Row],[Start Date]])&lt;=9)),OR(MONTH(Table132[[#This Row],[End Date]])&gt;=4,MONTH(Table132[[#This Row],[End Date]])&lt;=9,(Table132[[#This Row],[End Date]]-Table132[[#This Row],[Start Date]])&gt;=182)),TRUE,FALSE)</f>
        <v>1</v>
      </c>
      <c r="W56" s="90">
        <f>IF(Table132[[#This Row],[Include in Winter Calendar]],Table132[[#This Row],[Area Overlap with Winter SAC (km2) (NEW)]]*100/$M$3,0)</f>
        <v>0</v>
      </c>
      <c r="X56" s="90">
        <f>IF(Table132[[#This Row],[Include in Summer Calendar]],Table132[[#This Row],[Area Overlap with Summer SAC (km2) (NEW)]]*100/$M$2,0)</f>
        <v>0</v>
      </c>
      <c r="Y56" s="61">
        <f>IF(Table132[[#This Row],[Include in Winter Calendar]],Table132[[#This Row],[Area Overlap with SAC (km2)]]*100/$M$3,0)</f>
        <v>0</v>
      </c>
      <c r="Z56" s="61">
        <f>IF(Table132[[#This Row],[Include in Summer Calendar]],Table132[[#This Row],[Area Overlap with SAC (km2)]]*100/$M$2,0)</f>
        <v>1.4064303685067339</v>
      </c>
      <c r="AA56" s="62">
        <v>73</v>
      </c>
    </row>
    <row r="57" spans="1:27" ht="58" x14ac:dyDescent="0.35">
      <c r="A57" s="98" t="s">
        <v>203</v>
      </c>
      <c r="B57" s="126" t="s">
        <v>124</v>
      </c>
      <c r="C57" s="127" t="s">
        <v>38</v>
      </c>
      <c r="D57" s="127" t="s">
        <v>69</v>
      </c>
      <c r="E57" s="128" t="s">
        <v>51</v>
      </c>
      <c r="F57" s="103"/>
      <c r="G57" s="28" t="s">
        <v>204</v>
      </c>
      <c r="H57" s="28"/>
      <c r="I57" s="104" t="s">
        <v>185</v>
      </c>
      <c r="J57" s="105">
        <v>46182</v>
      </c>
      <c r="K57" s="129">
        <v>46182</v>
      </c>
      <c r="L57" s="129">
        <v>46234</v>
      </c>
      <c r="M57" s="97">
        <v>1</v>
      </c>
      <c r="N57" s="97">
        <v>380.13</v>
      </c>
      <c r="O57" s="125"/>
      <c r="P57" s="99"/>
      <c r="Q57" s="99"/>
      <c r="R57" s="57"/>
      <c r="S57" s="184" t="s">
        <v>205</v>
      </c>
      <c r="T57" s="185" t="s">
        <v>43</v>
      </c>
      <c r="U57" s="67" t="b">
        <f>IF(AND(NOT(OR(Table132[[#This Row],[Case Status]]="Postponed",Table132[[#This Row],[Case Status]]="Cancelled")),NOT(Table132[[#This Row],[Which seasonal area of the SAC does this activity impact?]]="Summer"),OR(OR(MONTH(Table132[[#This Row],[Start Date]])&lt;=3,MONTH(Table132[[#This Row],[Start Date]])&gt;=10),OR(MONTH(Table132[[#This Row],[End Date]])&lt;=3,MONTH(Table132[[#This Row],[End Date]])&gt;=10,(Table132[[#This Row],[End Date]]-Table132[[#This Row],[Start Date]])&gt;=182))),TRUE,FALSE)</f>
        <v>0</v>
      </c>
      <c r="V57" s="66" t="b">
        <f>IF(AND(NOT(OR(Table132[[#This Row],[Case Status]]="Postponed",Table132[[#This Row],[Case Status]]="Cancelled")),NOT(Table132[[#This Row],[Which seasonal area of the SAC does this activity impact?]]="Winter"),OR(OR(MONTH(Table132[[#This Row],[Start Date]])&gt;=4,MONTH(Table132[[#This Row],[Start Date]])&lt;=9)),OR(MONTH(Table132[[#This Row],[End Date]])&gt;=4,MONTH(Table132[[#This Row],[End Date]])&lt;=9,(Table132[[#This Row],[End Date]]-Table132[[#This Row],[Start Date]])&gt;=182)),TRUE,FALSE)</f>
        <v>1</v>
      </c>
      <c r="W57" s="90">
        <f>IF(Table132[[#This Row],[Include in Winter Calendar]],Table132[[#This Row],[Area Overlap with Winter SAC (km2) (NEW)]]*100/$M$3,0)</f>
        <v>0</v>
      </c>
      <c r="X57" s="90">
        <f>IF(Table132[[#This Row],[Include in Summer Calendar]],Table132[[#This Row],[Area Overlap with Summer SAC (km2) (NEW)]]*100/$M$2,0)</f>
        <v>0</v>
      </c>
      <c r="Y57" s="61">
        <f>IF(Table132[[#This Row],[Include in Winter Calendar]],Table132[[#This Row],[Area Overlap with SAC (km2)]]*100/$M$3,0)</f>
        <v>0</v>
      </c>
      <c r="Z57" s="61">
        <f>IF(Table132[[#This Row],[Include in Summer Calendar]],Table132[[#This Row],[Area Overlap with SAC (km2)]]*100/$M$2,0)</f>
        <v>1.4064303685067339</v>
      </c>
      <c r="AA57" s="65">
        <v>75</v>
      </c>
    </row>
    <row r="58" spans="1:27" ht="43.5" x14ac:dyDescent="0.35">
      <c r="A58" s="98" t="s">
        <v>206</v>
      </c>
      <c r="B58" s="134" t="s">
        <v>73</v>
      </c>
      <c r="C58" s="136" t="s">
        <v>38</v>
      </c>
      <c r="D58" s="136" t="s">
        <v>65</v>
      </c>
      <c r="E58" s="138" t="s">
        <v>51</v>
      </c>
      <c r="F58" s="140"/>
      <c r="G58" s="27" t="s">
        <v>207</v>
      </c>
      <c r="H58" s="27"/>
      <c r="I58" s="143" t="s">
        <v>185</v>
      </c>
      <c r="J58" s="145">
        <v>45993</v>
      </c>
      <c r="K58" s="146">
        <v>45992</v>
      </c>
      <c r="L58" s="146">
        <v>47026</v>
      </c>
      <c r="M58" s="57">
        <v>9</v>
      </c>
      <c r="N58" s="57">
        <v>79</v>
      </c>
      <c r="O58" s="151"/>
      <c r="P58" s="99"/>
      <c r="Q58" s="99"/>
      <c r="R58" s="57" t="s">
        <v>208</v>
      </c>
      <c r="S58" s="184" t="s">
        <v>209</v>
      </c>
      <c r="T58" s="186" t="s">
        <v>43</v>
      </c>
      <c r="U58" s="58" t="b">
        <f>IF(AND(NOT(OR(Table132[[#This Row],[Case Status]]="Postponed",Table132[[#This Row],[Case Status]]="Cancelled")),NOT(Table132[[#This Row],[Which seasonal area of the SAC does this activity impact?]]="Summer"),OR(OR(MONTH(Table132[[#This Row],[Start Date]])&lt;=3,MONTH(Table132[[#This Row],[Start Date]])&gt;=10),OR(MONTH(Table132[[#This Row],[End Date]])&lt;=3,MONTH(Table132[[#This Row],[End Date]])&gt;=10,(Table132[[#This Row],[End Date]]-Table132[[#This Row],[Start Date]])&gt;=182))),TRUE,FALSE)</f>
        <v>0</v>
      </c>
      <c r="V58" s="60" t="b">
        <f>IF(AND(NOT(OR(Table132[[#This Row],[Case Status]]="Postponed",Table132[[#This Row],[Case Status]]="Cancelled")),NOT(Table132[[#This Row],[Which seasonal area of the SAC does this activity impact?]]="Winter"),OR(OR(MONTH(Table132[[#This Row],[Start Date]])&gt;=4,MONTH(Table132[[#This Row],[Start Date]])&lt;=9)),OR(MONTH(Table132[[#This Row],[End Date]])&gt;=4,MONTH(Table132[[#This Row],[End Date]])&lt;=9,(Table132[[#This Row],[End Date]]-Table132[[#This Row],[Start Date]])&gt;=182)),TRUE,FALSE)</f>
        <v>1</v>
      </c>
      <c r="W58" s="90">
        <f>IF(Table132[[#This Row],[Include in Winter Calendar]],Table132[[#This Row],[Area Overlap with Winter SAC (km2) (NEW)]]*100/$M$3,0)</f>
        <v>0</v>
      </c>
      <c r="X58" s="90">
        <f>IF(Table132[[#This Row],[Include in Summer Calendar]],Table132[[#This Row],[Area Overlap with Summer SAC (km2) (NEW)]]*100/$M$2,0)</f>
        <v>0</v>
      </c>
      <c r="Y58" s="59">
        <f>IF(Table132[[#This Row],[Include in Winter Calendar]],Table132[[#This Row],[Area Overlap with SAC (km2)]]*100/$M$3,0)</f>
        <v>0</v>
      </c>
      <c r="Z58" s="59">
        <f>IF(Table132[[#This Row],[Include in Summer Calendar]],Table132[[#This Row],[Area Overlap with SAC (km2)]]*100/$M$2,0)</f>
        <v>0.29228947757880719</v>
      </c>
      <c r="AA58" s="62"/>
    </row>
    <row r="59" spans="1:27" ht="87" x14ac:dyDescent="0.35">
      <c r="A59" s="98" t="s">
        <v>210</v>
      </c>
      <c r="B59" s="126" t="s">
        <v>211</v>
      </c>
      <c r="C59" s="127" t="s">
        <v>38</v>
      </c>
      <c r="D59" s="127" t="s">
        <v>50</v>
      </c>
      <c r="E59" s="128" t="s">
        <v>130</v>
      </c>
      <c r="F59" s="103"/>
      <c r="G59" s="26" t="s">
        <v>212</v>
      </c>
      <c r="H59" s="28"/>
      <c r="I59" s="104" t="s">
        <v>185</v>
      </c>
      <c r="J59" s="105">
        <v>46119</v>
      </c>
      <c r="K59" s="129">
        <v>46161</v>
      </c>
      <c r="L59" s="129">
        <v>46295</v>
      </c>
      <c r="M59" s="97">
        <v>24</v>
      </c>
      <c r="N59" s="97">
        <v>581.4</v>
      </c>
      <c r="O59" s="130"/>
      <c r="P59" s="99"/>
      <c r="Q59" s="99"/>
      <c r="R59" s="159" t="s">
        <v>213</v>
      </c>
      <c r="S59" s="57" t="s">
        <v>214</v>
      </c>
      <c r="T59" s="185"/>
      <c r="U59" s="67" t="b">
        <f>IF(AND(NOT(OR(Table132[[#This Row],[Case Status]]="Postponed",Table132[[#This Row],[Case Status]]="Cancelled")),NOT(Table132[[#This Row],[Which seasonal area of the SAC does this activity impact?]]="Summer"),OR(OR(MONTH(Table132[[#This Row],[Start Date]])&lt;=3,MONTH(Table132[[#This Row],[Start Date]])&gt;=10),OR(MONTH(Table132[[#This Row],[End Date]])&lt;=3,MONTH(Table132[[#This Row],[End Date]])&gt;=10,(Table132[[#This Row],[End Date]]-Table132[[#This Row],[Start Date]])&gt;=182))),TRUE,FALSE)</f>
        <v>0</v>
      </c>
      <c r="V59" s="66" t="b">
        <f>IF(AND(NOT(OR(Table132[[#This Row],[Case Status]]="Postponed",Table132[[#This Row],[Case Status]]="Cancelled")),NOT(Table132[[#This Row],[Which seasonal area of the SAC does this activity impact?]]="Winter"),OR(OR(MONTH(Table132[[#This Row],[Start Date]])&gt;=4,MONTH(Table132[[#This Row],[Start Date]])&lt;=9)),OR(MONTH(Table132[[#This Row],[End Date]])&gt;=4,MONTH(Table132[[#This Row],[End Date]])&lt;=9,(Table132[[#This Row],[End Date]]-Table132[[#This Row],[Start Date]])&gt;=182)),TRUE,FALSE)</f>
        <v>0</v>
      </c>
      <c r="W59" s="90">
        <f>IF(Table132[[#This Row],[Include in Winter Calendar]],Table132[[#This Row],[Area Overlap with Winter SAC (km2) (NEW)]]*100/$M$3,0)</f>
        <v>0</v>
      </c>
      <c r="X59" s="90">
        <f>IF(Table132[[#This Row],[Include in Summer Calendar]],Table132[[#This Row],[Area Overlap with Summer SAC (km2) (NEW)]]*100/$M$2,0)</f>
        <v>0</v>
      </c>
      <c r="Y59" s="61">
        <v>0.09</v>
      </c>
      <c r="Z59" s="61">
        <f>IF(Table132[[#This Row],[Include in Summer Calendar]],Table132[[#This Row],[Area Overlap with SAC (km2)]]*100/$M$2,0)</f>
        <v>0</v>
      </c>
      <c r="AA59" s="62"/>
    </row>
    <row r="60" spans="1:27" ht="29" x14ac:dyDescent="0.35">
      <c r="A60" s="98" t="s">
        <v>215</v>
      </c>
      <c r="B60" s="126" t="s">
        <v>124</v>
      </c>
      <c r="C60" s="127" t="s">
        <v>38</v>
      </c>
      <c r="D60" s="127" t="s">
        <v>65</v>
      </c>
      <c r="E60" s="128" t="s">
        <v>51</v>
      </c>
      <c r="F60" s="103"/>
      <c r="G60" s="28" t="s">
        <v>204</v>
      </c>
      <c r="H60" s="28"/>
      <c r="I60" s="104" t="s">
        <v>185</v>
      </c>
      <c r="J60" s="105">
        <v>46182</v>
      </c>
      <c r="K60" s="129">
        <v>46182</v>
      </c>
      <c r="L60" s="129">
        <v>46234</v>
      </c>
      <c r="M60" s="97">
        <v>14</v>
      </c>
      <c r="N60" s="97">
        <v>201.06</v>
      </c>
      <c r="O60" s="130"/>
      <c r="P60" s="99"/>
      <c r="Q60" s="99"/>
      <c r="R60" s="57" t="s">
        <v>216</v>
      </c>
      <c r="S60" s="57"/>
      <c r="T60" s="185" t="s">
        <v>43</v>
      </c>
      <c r="U60" s="67" t="b">
        <f>IF(AND(NOT(OR(Table132[[#This Row],[Case Status]]="Postponed",Table132[[#This Row],[Case Status]]="Cancelled")),NOT(Table132[[#This Row],[Which seasonal area of the SAC does this activity impact?]]="Summer"),OR(OR(MONTH(Table132[[#This Row],[Start Date]])&lt;=3,MONTH(Table132[[#This Row],[Start Date]])&gt;=10),OR(MONTH(Table132[[#This Row],[End Date]])&lt;=3,MONTH(Table132[[#This Row],[End Date]])&gt;=10,(Table132[[#This Row],[End Date]]-Table132[[#This Row],[Start Date]])&gt;=182))),TRUE,FALSE)</f>
        <v>0</v>
      </c>
      <c r="V60" s="66" t="b">
        <f>IF(AND(NOT(OR(Table132[[#This Row],[Case Status]]="Postponed",Table132[[#This Row],[Case Status]]="Cancelled")),NOT(Table132[[#This Row],[Which seasonal area of the SAC does this activity impact?]]="Winter"),OR(OR(MONTH(Table132[[#This Row],[Start Date]])&gt;=4,MONTH(Table132[[#This Row],[Start Date]])&lt;=9)),OR(MONTH(Table132[[#This Row],[End Date]])&gt;=4,MONTH(Table132[[#This Row],[End Date]])&lt;=9,(Table132[[#This Row],[End Date]]-Table132[[#This Row],[Start Date]])&gt;=182)),TRUE,FALSE)</f>
        <v>1</v>
      </c>
      <c r="W60" s="90">
        <f>IF(Table132[[#This Row],[Include in Winter Calendar]],Table132[[#This Row],[Area Overlap with Winter SAC (km2) (NEW)]]*100/$M$3,0)</f>
        <v>0</v>
      </c>
      <c r="X60" s="90">
        <f>IF(Table132[[#This Row],[Include in Summer Calendar]],Table132[[#This Row],[Area Overlap with Summer SAC (km2) (NEW)]]*100/$M$2,0)</f>
        <v>0</v>
      </c>
      <c r="Y60" s="61">
        <f>IF(Table132[[#This Row],[Include in Winter Calendar]],Table132[[#This Row],[Area Overlap with SAC (km2)]]*100/$M$3,0)</f>
        <v>0</v>
      </c>
      <c r="Z60" s="61">
        <f>IF(Table132[[#This Row],[Include in Summer Calendar]],Table132[[#This Row],[Area Overlap with SAC (km2)]]*100/$M$2,0)</f>
        <v>0.74389521977208817</v>
      </c>
      <c r="AA60" s="62"/>
    </row>
    <row r="61" spans="1:27" ht="43.5" x14ac:dyDescent="0.35">
      <c r="A61" s="114" t="s">
        <v>217</v>
      </c>
      <c r="B61" s="115" t="s">
        <v>79</v>
      </c>
      <c r="C61" s="106" t="s">
        <v>58</v>
      </c>
      <c r="D61" s="106" t="s">
        <v>92</v>
      </c>
      <c r="E61" s="116" t="s">
        <v>51</v>
      </c>
      <c r="F61" s="117"/>
      <c r="G61" s="106"/>
      <c r="H61" s="106"/>
      <c r="I61" s="119"/>
      <c r="J61" s="120">
        <v>45966</v>
      </c>
      <c r="K61" s="121">
        <v>46204</v>
      </c>
      <c r="L61" s="121">
        <v>46265</v>
      </c>
      <c r="M61" s="106">
        <v>0</v>
      </c>
      <c r="N61" s="148">
        <v>0</v>
      </c>
      <c r="O61" s="150"/>
      <c r="P61" s="116"/>
      <c r="Q61" s="116"/>
      <c r="R61" s="154" t="s">
        <v>195</v>
      </c>
      <c r="S61" s="187" t="s">
        <v>218</v>
      </c>
      <c r="T61" s="119" t="s">
        <v>63</v>
      </c>
      <c r="U61" s="108" t="b">
        <f>IF(AND(NOT(OR(Table132[[#This Row],[Case Status]]="Postponed",Table132[[#This Row],[Case Status]]="Cancelled")),NOT(Table132[[#This Row],[Which seasonal area of the SAC does this activity impact?]]="Summer"),OR(OR(MONTH(Table132[[#This Row],[Start Date]])&lt;=3,MONTH(Table132[[#This Row],[Start Date]])&gt;=10),OR(MONTH(Table132[[#This Row],[End Date]])&lt;=3,MONTH(Table132[[#This Row],[End Date]])&gt;=10,(Table132[[#This Row],[End Date]]-Table132[[#This Row],[Start Date]])&gt;=182))),TRUE,FALSE)</f>
        <v>0</v>
      </c>
      <c r="V61" s="109" t="b">
        <f>IF(AND(NOT(OR(Table132[[#This Row],[Case Status]]="Postponed",Table132[[#This Row],[Case Status]]="Cancelled")),NOT(Table132[[#This Row],[Which seasonal area of the SAC does this activity impact?]]="Winter"),OR(OR(MONTH(Table132[[#This Row],[Start Date]])&gt;=4,MONTH(Table132[[#This Row],[Start Date]])&lt;=9)),OR(MONTH(Table132[[#This Row],[End Date]])&gt;=4,MONTH(Table132[[#This Row],[End Date]])&lt;=9,(Table132[[#This Row],[End Date]]-Table132[[#This Row],[Start Date]])&gt;=182)),TRUE,FALSE)</f>
        <v>1</v>
      </c>
      <c r="W61" s="110">
        <f>IF(Table132[[#This Row],[Include in Winter Calendar]],Table132[[#This Row],[Area Overlap with Winter SAC (km2) (NEW)]]*100/$M$3,0)</f>
        <v>0</v>
      </c>
      <c r="X61" s="110">
        <f>IF(Table132[[#This Row],[Include in Summer Calendar]],Table132[[#This Row],[Area Overlap with Summer SAC (km2) (NEW)]]*100/$M$2,0)</f>
        <v>0</v>
      </c>
      <c r="Y61" s="111">
        <f>IF(Table132[[#This Row],[Include in Winter Calendar]],Table132[[#This Row],[Area Overlap with SAC (km2)]]*100/$M$3,0)</f>
        <v>0</v>
      </c>
      <c r="Z61" s="111">
        <f>IF(Table132[[#This Row],[Include in Summer Calendar]],Table132[[#This Row],[Area Overlap with SAC (km2)]]*100/$M$2,0)</f>
        <v>0</v>
      </c>
      <c r="AA61" s="112">
        <v>68</v>
      </c>
    </row>
    <row r="62" spans="1:27" ht="101.5" x14ac:dyDescent="0.35">
      <c r="A62" s="98" t="s">
        <v>219</v>
      </c>
      <c r="B62" s="100" t="s">
        <v>220</v>
      </c>
      <c r="C62" s="101" t="s">
        <v>38</v>
      </c>
      <c r="D62" s="101" t="s">
        <v>69</v>
      </c>
      <c r="E62" s="102" t="s">
        <v>51</v>
      </c>
      <c r="F62" s="103"/>
      <c r="G62" s="28"/>
      <c r="H62" s="28"/>
      <c r="I62" s="104"/>
      <c r="J62" s="105">
        <v>45999</v>
      </c>
      <c r="K62" s="122">
        <v>46113</v>
      </c>
      <c r="L62" s="122">
        <v>46295</v>
      </c>
      <c r="M62" s="123">
        <v>1</v>
      </c>
      <c r="N62" s="123">
        <v>3</v>
      </c>
      <c r="O62" s="125"/>
      <c r="P62" s="99"/>
      <c r="Q62" s="99"/>
      <c r="R62" s="57" t="s">
        <v>221</v>
      </c>
      <c r="S62" s="184" t="s">
        <v>222</v>
      </c>
      <c r="T62" s="185" t="s">
        <v>43</v>
      </c>
      <c r="U62" s="67" t="b">
        <f>IF(AND(NOT(OR(Table132[[#This Row],[Case Status]]="Postponed",Table132[[#This Row],[Case Status]]="Cancelled")),NOT(Table132[[#This Row],[Which seasonal area of the SAC does this activity impact?]]="Summer"),OR(OR(MONTH(Table132[[#This Row],[Start Date]])&lt;=3,MONTH(Table132[[#This Row],[Start Date]])&gt;=10),OR(MONTH(Table132[[#This Row],[End Date]])&lt;=3,MONTH(Table132[[#This Row],[End Date]])&gt;=10,(Table132[[#This Row],[End Date]]-Table132[[#This Row],[Start Date]])&gt;=182))),TRUE,FALSE)</f>
        <v>0</v>
      </c>
      <c r="V62" s="66" t="b">
        <f>IF(AND(NOT(OR(Table132[[#This Row],[Case Status]]="Postponed",Table132[[#This Row],[Case Status]]="Cancelled")),NOT(Table132[[#This Row],[Which seasonal area of the SAC does this activity impact?]]="Winter"),OR(OR(MONTH(Table132[[#This Row],[Start Date]])&gt;=4,MONTH(Table132[[#This Row],[Start Date]])&lt;=9)),OR(MONTH(Table132[[#This Row],[End Date]])&gt;=4,MONTH(Table132[[#This Row],[End Date]])&lt;=9,(Table132[[#This Row],[End Date]]-Table132[[#This Row],[Start Date]])&gt;=182)),TRUE,FALSE)</f>
        <v>1</v>
      </c>
      <c r="W62" s="90">
        <f>IF(Table132[[#This Row],[Include in Winter Calendar]],Table132[[#This Row],[Area Overlap with Winter SAC (km2) (NEW)]]*100/$M$3,0)</f>
        <v>0</v>
      </c>
      <c r="X62" s="90">
        <f>IF(Table132[[#This Row],[Include in Summer Calendar]],Table132[[#This Row],[Area Overlap with Summer SAC (km2) (NEW)]]*100/$M$2,0)</f>
        <v>0</v>
      </c>
      <c r="Y62" s="61">
        <f>IF(Table132[[#This Row],[Include in Winter Calendar]],Table132[[#This Row],[Area Overlap with SAC (km2)]]*100/$M$3,0)</f>
        <v>0</v>
      </c>
      <c r="Z62" s="61">
        <f>IF(Table132[[#This Row],[Include in Summer Calendar]],Table132[[#This Row],[Area Overlap with SAC (km2)]]*100/$M$2,0)</f>
        <v>1.1099600414385083E-2</v>
      </c>
      <c r="AA62" s="62"/>
    </row>
  </sheetData>
  <sheetProtection formatCells="0" formatColumns="0" formatRows="0" insertHyperlinks="0" deleteRows="0" sort="0" autoFilter="0" pivotTables="0"/>
  <dataConsolidate/>
  <mergeCells count="5">
    <mergeCell ref="A2:A3"/>
    <mergeCell ref="C2:E2"/>
    <mergeCell ref="G2:G3"/>
    <mergeCell ref="I2:I3"/>
    <mergeCell ref="C3:E3"/>
  </mergeCells>
  <phoneticPr fontId="17" type="noConversion"/>
  <conditionalFormatting sqref="B62:AA62">
    <cfRule type="expression" dxfId="17" priority="1" stopIfTrue="1">
      <formula>$I62="Completed"</formula>
    </cfRule>
    <cfRule type="expression" dxfId="16" priority="2" stopIfTrue="1">
      <formula>OR($I62="Cancelled",$I62="Postponed")</formula>
    </cfRule>
  </conditionalFormatting>
  <conditionalFormatting sqref="G6:G62">
    <cfRule type="expression" dxfId="15" priority="12">
      <formula>AND($G6="",OR($I6="Approved",$I6="Submitted"))</formula>
    </cfRule>
  </conditionalFormatting>
  <conditionalFormatting sqref="G59:G61">
    <cfRule type="expression" dxfId="14" priority="3" stopIfTrue="1">
      <formula>$I59="Completed"</formula>
    </cfRule>
    <cfRule type="expression" dxfId="13" priority="4" stopIfTrue="1">
      <formula>OR($I59="Cancelled",$I59="Postponed")</formula>
    </cfRule>
  </conditionalFormatting>
  <conditionalFormatting sqref="G60:G61">
    <cfRule type="expression" dxfId="12" priority="5">
      <formula>AND($G60="",OR($I60="Approved",$I60="Submitted"))</formula>
    </cfRule>
  </conditionalFormatting>
  <conditionalFormatting sqref="H53">
    <cfRule type="expression" dxfId="11" priority="6" stopIfTrue="1">
      <formula>$I54="Completed"</formula>
    </cfRule>
    <cfRule type="expression" dxfId="10" priority="7" stopIfTrue="1">
      <formula>OR($I54="Cancelled",$I54="Postponed")</formula>
    </cfRule>
  </conditionalFormatting>
  <conditionalFormatting sqref="J35 M45">
    <cfRule type="expression" dxfId="9" priority="13" stopIfTrue="1">
      <formula>$I36="Completed"</formula>
    </cfRule>
    <cfRule type="expression" dxfId="8" priority="14" stopIfTrue="1">
      <formula>OR($I36="Cancelled",$I36="Postponed")</formula>
    </cfRule>
  </conditionalFormatting>
  <conditionalFormatting sqref="O6:AA12 B6:N34 O13:R14 T13:AA14 O15:AA40 B35:I36 K35:N36 B37:N40 B41:AA41 B42:N44 O42:AA52 B45:L46 N45:N46 B47:N52 B53:G54 I53:AA54">
    <cfRule type="expression" dxfId="7" priority="10" stopIfTrue="1">
      <formula>$I6="Completed"</formula>
    </cfRule>
    <cfRule type="expression" dxfId="6" priority="11" stopIfTrue="1">
      <formula>OR($I6="Cancelled",$I6="Postponed")</formula>
    </cfRule>
  </conditionalFormatting>
  <conditionalFormatting sqref="S13:S14">
    <cfRule type="expression" dxfId="5" priority="8" stopIfTrue="1">
      <formula>$I13="Completed"</formula>
    </cfRule>
    <cfRule type="expression" dxfId="4" priority="9" stopIfTrue="1">
      <formula>OR($I13="Cancelled",$I13="Postponed")</formula>
    </cfRule>
  </conditionalFormatting>
  <dataValidations count="6">
    <dataValidation type="list" allowBlank="1" showInputMessage="1" showErrorMessage="1" sqref="E6:E62" xr:uid="{06B76872-824C-4B0E-B096-CB22D600FAF2}">
      <formula1>"Summer, Winter, Both"</formula1>
    </dataValidation>
    <dataValidation type="list" allowBlank="1" showInputMessage="1" showErrorMessage="1" sqref="I6:I62" xr:uid="{909D6CC3-8C05-45FE-AB3C-7C2684ECB4F1}">
      <formula1>"Proposed, Submitted, Approved, Completed, Postponed, Cancelled"</formula1>
    </dataValidation>
    <dataValidation type="list" allowBlank="1" showInputMessage="1" showErrorMessage="1" sqref="D6:D62" xr:uid="{9BEBC1B4-D6E5-4DCA-95D6-D4A3E410B548}">
      <formula1>"Piling, Conductor Piling, Piling Abated, Pin Piling, Pin Piling Abated, Geophysical Survey, Seismic Survey, UXO High Order, UXO Low Order, Other"</formula1>
    </dataValidation>
    <dataValidation type="list" allowBlank="1" showInputMessage="1" showErrorMessage="1" sqref="C6:C62" xr:uid="{D85C1B23-36AD-4C57-AC93-D9F577EE4C4E}">
      <formula1>"MMO, OPRED, MOD"</formula1>
    </dataValidation>
    <dataValidation allowBlank="1" showInputMessage="1" showErrorMessage="1" errorTitle="Incorrect ID" error="ID already exists in table - choose another" sqref="AA5:AA62" xr:uid="{5B7B37BF-6A08-4684-AFF7-6B4D4E3C6C46}"/>
    <dataValidation type="list" allowBlank="1" showInputMessage="1" showErrorMessage="1" sqref="T6:T62" xr:uid="{F390984F-6812-4330-9D5B-9ADE012D5029}">
      <formula1>"Yes, No"</formula1>
    </dataValidation>
  </dataValidations>
  <pageMargins left="0.7" right="0.7" top="0.75" bottom="0.75" header="0.3" footer="0.3"/>
  <pageSetup paperSize="9" orientation="portrait" r:id="rId1"/>
  <headerFooter>
    <oddHeader>&amp;C&amp;"Calibri"&amp;10&amp;K000000 OFFICIAL&amp;1#_x000D_</oddHeader>
    <oddFooter>&amp;C_x000D_&amp;1#&amp;"Calibri"&amp;10&amp;K000000 OFFICIAL</oddFooter>
  </headerFooter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5ECA5EE-88D7-44D0-BB70-F8B217A4AD93}">
  <sheetPr>
    <tabColor theme="5" tint="0.59999389629810485"/>
  </sheetPr>
  <dimension ref="A1:L51"/>
  <sheetViews>
    <sheetView topLeftCell="B1" zoomScale="70" zoomScaleNormal="70" workbookViewId="0">
      <selection activeCell="I31" sqref="I31"/>
    </sheetView>
  </sheetViews>
  <sheetFormatPr defaultRowHeight="14.5" x14ac:dyDescent="0.35"/>
  <cols>
    <col min="1" max="1" width="8.7265625" hidden="1" customWidth="1"/>
    <col min="2" max="2" width="34.54296875" customWidth="1"/>
    <col min="3" max="3" width="33.7265625" customWidth="1"/>
    <col min="4" max="4" width="19.453125" customWidth="1"/>
    <col min="5" max="5" width="25.7265625" customWidth="1"/>
    <col min="6" max="6" width="17.7265625" customWidth="1"/>
    <col min="7" max="7" width="20.7265625" bestFit="1" customWidth="1"/>
    <col min="8" max="8" width="20.26953125" customWidth="1"/>
    <col min="9" max="9" width="16.453125" customWidth="1"/>
    <col min="10" max="10" width="17.26953125" customWidth="1"/>
    <col min="11" max="11" width="16.453125" customWidth="1"/>
    <col min="12" max="12" width="17" customWidth="1"/>
  </cols>
  <sheetData>
    <row r="1" spans="1:12" ht="15" thickBot="1" x14ac:dyDescent="0.4"/>
    <row r="2" spans="1:12" ht="43.15" customHeight="1" thickBot="1" x14ac:dyDescent="0.4">
      <c r="B2" s="19" t="s">
        <v>223</v>
      </c>
      <c r="C2" s="91" t="s">
        <v>51</v>
      </c>
      <c r="E2" s="19" t="s">
        <v>224</v>
      </c>
      <c r="F2" s="71">
        <f>IF(C2="Summer",'Noisy Activities'!J2,'Noisy Activities'!H2)</f>
        <v>46113</v>
      </c>
      <c r="G2" s="21" t="s">
        <v>225</v>
      </c>
      <c r="H2" s="22">
        <f>F3-F2+1</f>
        <v>183</v>
      </c>
      <c r="K2" s="68"/>
      <c r="L2" s="52"/>
    </row>
    <row r="3" spans="1:12" ht="59.15" customHeight="1" thickBot="1" x14ac:dyDescent="0.4">
      <c r="B3" s="19" t="s">
        <v>226</v>
      </c>
      <c r="C3" s="92">
        <f ca="1">TODAY()</f>
        <v>46195</v>
      </c>
      <c r="E3" s="16" t="s">
        <v>227</v>
      </c>
      <c r="F3" s="69">
        <f>IF(C2="Summer",'Noisy Activities'!J3,'Noisy Activities'!H3)</f>
        <v>46295</v>
      </c>
      <c r="G3" s="19" t="s">
        <v>228</v>
      </c>
      <c r="H3" s="20">
        <f>IF(C2="Summer",27028,12696)</f>
        <v>27028</v>
      </c>
      <c r="K3" s="68"/>
      <c r="L3" s="52"/>
    </row>
    <row r="4" spans="1:12" ht="15" thickBot="1" x14ac:dyDescent="0.4"/>
    <row r="5" spans="1:12" ht="46.5" customHeight="1" thickBot="1" x14ac:dyDescent="0.4">
      <c r="C5" s="200" t="s">
        <v>229</v>
      </c>
      <c r="D5" s="201"/>
      <c r="E5" s="201"/>
      <c r="F5" s="202"/>
    </row>
    <row r="6" spans="1:12" ht="60.65" customHeight="1" thickBot="1" x14ac:dyDescent="0.4">
      <c r="C6" s="55" t="s">
        <v>230</v>
      </c>
      <c r="D6" s="72" cm="1">
        <f t="array" ref="D6">MAX(_xlfn.BYROW(_xlfn.SEQUENCE($H$2,1,$F$2),_xlfn.LAMBDA(_xlpm.day,SUMIFS(Table44[Impact on SAC (%)],Table44[Proposed Start Date],"&lt;=" &amp; _xlpm.day,Table44[Proposed End Date],"&gt;=" &amp; _xlpm.day))))</f>
        <v>0</v>
      </c>
      <c r="E6" s="21" t="s">
        <v>231</v>
      </c>
      <c r="F6" s="73">
        <f ca="1">_xlfn.AGGREGATE(9,6,Table44[Contribution to seasonal disturbance (absolute worst case)])</f>
        <v>0</v>
      </c>
    </row>
    <row r="7" spans="1:12" ht="61.5" customHeight="1" thickBot="1" x14ac:dyDescent="0.4">
      <c r="C7" s="56" t="s">
        <v>232</v>
      </c>
      <c r="D7" s="70" cm="1">
        <f t="array" ref="D7">SUM(--(_xlfn.BYROW(_xlfn.SEQUENCE($H$2,1,$F$2),_xlfn.LAMBDA(_xlpm.day,SUMIFS(Table44[Impact on SAC (%)],Table44[Proposed Start Date],"&lt;=" &amp; _xlpm.day,Table44[Proposed End Date],"&gt;=" &amp; _xlpm.day)))&gt;=0.2))</f>
        <v>0</v>
      </c>
      <c r="E7" s="18" t="s">
        <v>233</v>
      </c>
      <c r="F7" s="74">
        <f ca="1">_xlfn.AGGREGATE(9,6,Table44[Contribution to seasonal disturbance (realistic worst case)])</f>
        <v>0</v>
      </c>
    </row>
    <row r="8" spans="1:12" ht="64.5" customHeight="1" thickBot="1" x14ac:dyDescent="0.4">
      <c r="C8" s="203" t="s">
        <v>234</v>
      </c>
      <c r="D8" s="204"/>
      <c r="E8" s="204"/>
      <c r="F8" s="205"/>
    </row>
    <row r="9" spans="1:12" ht="12.65" customHeight="1" x14ac:dyDescent="0.35">
      <c r="B9" s="54"/>
      <c r="C9" s="54"/>
      <c r="D9" s="54"/>
      <c r="E9" s="54"/>
    </row>
    <row r="10" spans="1:12" ht="23.5" x14ac:dyDescent="0.55000000000000004">
      <c r="B10" s="53" t="s">
        <v>235</v>
      </c>
    </row>
    <row r="12" spans="1:12" ht="75.650000000000006" customHeight="1" x14ac:dyDescent="0.35">
      <c r="A12" s="42" t="s">
        <v>236</v>
      </c>
      <c r="B12" s="41" t="s">
        <v>237</v>
      </c>
      <c r="C12" s="41" t="s">
        <v>12</v>
      </c>
      <c r="D12" s="41" t="s">
        <v>238</v>
      </c>
      <c r="E12" s="41" t="s">
        <v>239</v>
      </c>
      <c r="F12" s="41" t="s">
        <v>240</v>
      </c>
      <c r="G12" s="41" t="s">
        <v>241</v>
      </c>
      <c r="H12" s="41" t="s">
        <v>242</v>
      </c>
      <c r="I12" s="41" t="s">
        <v>243</v>
      </c>
      <c r="J12" s="41" t="s">
        <v>244</v>
      </c>
    </row>
    <row r="13" spans="1:12" x14ac:dyDescent="0.35">
      <c r="A13" s="2" t="e" cm="1">
        <f t="array" ref="A13">IF(C2="Summer",_xlfn._xlws.FILTER(ID,#REF!*(#REF!="Yes")),_xlfn._xlws.FILTER(ID,#REF!*(#REF!="Yes")))</f>
        <v>#REF!</v>
      </c>
      <c r="B13" t="str">
        <f>IFERROR(_xlfn.XLOOKUP(A13,#REF!,#REF!),"")</f>
        <v/>
      </c>
      <c r="C13" t="str">
        <f>IFERROR(_xlfn.XLOOKUP(A13,#REF!,#REF!),"")</f>
        <v/>
      </c>
      <c r="D13" s="50" t="str">
        <f>IFERROR(_xlfn.XLOOKUP(A13,#REF!,#REF!),"")</f>
        <v/>
      </c>
      <c r="E13" s="50" t="str">
        <f>IFERROR(_xlfn.XLOOKUP(A13,#REF!,#REF!),"")</f>
        <v/>
      </c>
      <c r="F13" t="str">
        <f>IFERROR(_xlfn.XLOOKUP(A13,#REF!,#REF!),"")</f>
        <v/>
      </c>
      <c r="G13" t="str" cm="1">
        <f t="array" ref="G13">IFERROR(_xlfn.XLOOKUP(A13,#REF!,IF(C2="Summer",#REF!,#REF!)),"")</f>
        <v/>
      </c>
      <c r="H13" s="40" t="str">
        <f>IFERROR(Table44[[#This Row],[Impact on SAC (km2)]]/$H$3,"")</f>
        <v/>
      </c>
      <c r="I13" s="40" t="str">
        <f>IFERROR(Table44[[#This Row],[Impact on SAC (%)]]*(MIN(Table44[[#This Row],[Proposed End Date]],$F$3)-MAX(Table44[[#This Row],[Proposed Start Date]],$F$2)+1)/$H$2,"")</f>
        <v/>
      </c>
      <c r="J13" s="40" t="str">
        <f>IFERROR(Table44[[#This Row],[Impact on SAC (%)]]*Table44[[#This Row],[Proposed days]]/$H$2,"")</f>
        <v/>
      </c>
    </row>
    <row r="14" spans="1:12" x14ac:dyDescent="0.35">
      <c r="A14" s="2"/>
      <c r="B14" t="str">
        <f>IFERROR(_xlfn.XLOOKUP(A14,#REF!,#REF!),"")</f>
        <v/>
      </c>
      <c r="C14" t="str">
        <f>IFERROR(_xlfn.XLOOKUP(A14,#REF!,#REF!),"")</f>
        <v/>
      </c>
      <c r="D14" s="50" t="str">
        <f>IFERROR(_xlfn.XLOOKUP(A14,#REF!,#REF!),"")</f>
        <v/>
      </c>
      <c r="E14" s="50" t="str">
        <f>IFERROR(_xlfn.XLOOKUP(A14,#REF!,#REF!),"")</f>
        <v/>
      </c>
      <c r="F14" t="str">
        <f>IFERROR(_xlfn.XLOOKUP(A14,#REF!,#REF!),"")</f>
        <v/>
      </c>
      <c r="G14" s="51" t="str" cm="1">
        <f t="array" aca="1" ref="G14" ca="1">IFERROR(_xlfn.XLOOKUP(A14,#REF!,IF(C3="Summer",#REF!,#REF!)),"")</f>
        <v/>
      </c>
      <c r="H14" s="40" t="str">
        <f ca="1">IFERROR(Table44[[#This Row],[Impact on SAC (km2)]]/$H$3,"")</f>
        <v/>
      </c>
      <c r="I14" s="40" t="str">
        <f ca="1">IFERROR(Table44[[#This Row],[Impact on SAC (%)]]*(MIN(Table44[[#This Row],[Proposed End Date]],$F$3)-MAX(Table44[[#This Row],[Proposed Start Date]],$F$2)+1)/$H$2,"")</f>
        <v/>
      </c>
      <c r="J14" s="40" t="str">
        <f ca="1">IFERROR(Table44[[#This Row],[Impact on SAC (%)]]*Table44[[#This Row],[Proposed days]]/$H$2,"")</f>
        <v/>
      </c>
    </row>
    <row r="15" spans="1:12" x14ac:dyDescent="0.35">
      <c r="A15" s="2"/>
      <c r="B15" t="str">
        <f>IFERROR(_xlfn.XLOOKUP(A15,#REF!,#REF!),"")</f>
        <v/>
      </c>
      <c r="C15" t="str">
        <f>IFERROR(_xlfn.XLOOKUP(A15,#REF!,#REF!),"")</f>
        <v/>
      </c>
      <c r="D15" s="50" t="str">
        <f>IFERROR(_xlfn.XLOOKUP(A15,#REF!,#REF!),"")</f>
        <v/>
      </c>
      <c r="E15" s="50" t="str">
        <f>IFERROR(_xlfn.XLOOKUP(A15,#REF!,#REF!),"")</f>
        <v/>
      </c>
      <c r="F15" t="str">
        <f>IFERROR(_xlfn.XLOOKUP(A15,#REF!,#REF!),"")</f>
        <v/>
      </c>
      <c r="G15" s="51" t="str" cm="1">
        <f t="array" ref="G15">IFERROR(_xlfn.XLOOKUP(A15,#REF!,IF(C4="Summer",#REF!,#REF!)),"")</f>
        <v/>
      </c>
      <c r="H15" s="40" t="str">
        <f>IFERROR(Table44[[#This Row],[Impact on SAC (km2)]]/$H$3,"")</f>
        <v/>
      </c>
      <c r="I15" s="40" t="str">
        <f>IFERROR(Table44[[#This Row],[Impact on SAC (%)]]*(MIN(Table44[[#This Row],[Proposed End Date]],$F$3)-MAX(Table44[[#This Row],[Proposed Start Date]],$F$2)+1)/$H$2,"")</f>
        <v/>
      </c>
      <c r="J15" s="40" t="str">
        <f>IFERROR(Table44[[#This Row],[Impact on SAC (%)]]*Table44[[#This Row],[Proposed days]]/$H$2,"")</f>
        <v/>
      </c>
    </row>
    <row r="16" spans="1:12" x14ac:dyDescent="0.35">
      <c r="A16" s="2"/>
      <c r="B16" t="str">
        <f>IFERROR(_xlfn.XLOOKUP(A16,#REF!,#REF!),"")</f>
        <v/>
      </c>
      <c r="C16" t="str">
        <f>IFERROR(_xlfn.XLOOKUP(A16,#REF!,#REF!),"")</f>
        <v/>
      </c>
      <c r="D16" s="50" t="str">
        <f>IFERROR(_xlfn.XLOOKUP(A16,#REF!,#REF!),"")</f>
        <v/>
      </c>
      <c r="E16" s="50" t="str">
        <f>IFERROR(_xlfn.XLOOKUP(A16,#REF!,#REF!),"")</f>
        <v/>
      </c>
      <c r="F16" t="str">
        <f>IFERROR(_xlfn.XLOOKUP(A16,#REF!,#REF!),"")</f>
        <v/>
      </c>
      <c r="G16" s="51" t="str" cm="1">
        <f t="array" ref="G16">IFERROR(_xlfn.XLOOKUP(A16,#REF!,IF(C5="Summer",#REF!,#REF!)),"")</f>
        <v/>
      </c>
      <c r="H16" s="40" t="str">
        <f>IFERROR(Table44[[#This Row],[Impact on SAC (km2)]]/$H$3,"")</f>
        <v/>
      </c>
      <c r="I16" s="40" t="str">
        <f>IFERROR(Table44[[#This Row],[Impact on SAC (%)]]*(MIN(Table44[[#This Row],[Proposed End Date]],$F$3)-MAX(Table44[[#This Row],[Proposed Start Date]],$F$2)+1)/$H$2,"")</f>
        <v/>
      </c>
      <c r="J16" s="40" t="str">
        <f>IFERROR(Table44[[#This Row],[Impact on SAC (%)]]*Table44[[#This Row],[Proposed days]]/$H$2,"")</f>
        <v/>
      </c>
    </row>
    <row r="17" spans="1:10" x14ac:dyDescent="0.35">
      <c r="A17" s="2"/>
      <c r="B17" t="str">
        <f>IFERROR(_xlfn.XLOOKUP(A17,#REF!,#REF!),"")</f>
        <v/>
      </c>
      <c r="C17" t="str">
        <f>IFERROR(_xlfn.XLOOKUP(A17,#REF!,#REF!),"")</f>
        <v/>
      </c>
      <c r="D17" s="50" t="str">
        <f>IFERROR(_xlfn.XLOOKUP(A17,#REF!,#REF!),"")</f>
        <v/>
      </c>
      <c r="E17" s="50" t="str">
        <f>IFERROR(_xlfn.XLOOKUP(A17,#REF!,#REF!),"")</f>
        <v/>
      </c>
      <c r="F17" t="str">
        <f>IFERROR(_xlfn.XLOOKUP(A17,#REF!,#REF!),"")</f>
        <v/>
      </c>
      <c r="G17" s="51" t="str" cm="1">
        <f t="array" ref="G17">IFERROR(_xlfn.XLOOKUP(A17,#REF!,IF(C6="Summer",#REF!,#REF!)),"")</f>
        <v/>
      </c>
      <c r="H17" s="40" t="str">
        <f>IFERROR(Table44[[#This Row],[Impact on SAC (km2)]]/$H$3,"")</f>
        <v/>
      </c>
      <c r="I17" s="40" t="str">
        <f>IFERROR(Table44[[#This Row],[Impact on SAC (%)]]*(MIN(Table44[[#This Row],[Proposed End Date]],$F$3)-MAX(Table44[[#This Row],[Proposed Start Date]],$F$2)+1)/$H$2,"")</f>
        <v/>
      </c>
      <c r="J17" s="40" t="str">
        <f>IFERROR(Table44[[#This Row],[Impact on SAC (%)]]*Table44[[#This Row],[Proposed days]]/$H$2,"")</f>
        <v/>
      </c>
    </row>
    <row r="18" spans="1:10" x14ac:dyDescent="0.35">
      <c r="A18" s="2"/>
      <c r="B18" t="str">
        <f>IFERROR(_xlfn.XLOOKUP(A18,#REF!,#REF!),"")</f>
        <v/>
      </c>
      <c r="C18" t="str">
        <f>IFERROR(_xlfn.XLOOKUP(A18,#REF!,#REF!),"")</f>
        <v/>
      </c>
      <c r="D18" s="50" t="str">
        <f>IFERROR(_xlfn.XLOOKUP(A18,#REF!,#REF!),"")</f>
        <v/>
      </c>
      <c r="E18" s="50" t="str">
        <f>IFERROR(_xlfn.XLOOKUP(A18,#REF!,#REF!),"")</f>
        <v/>
      </c>
      <c r="F18" t="str">
        <f>IFERROR(_xlfn.XLOOKUP(A18,#REF!,#REF!),"")</f>
        <v/>
      </c>
      <c r="G18" s="51" t="str" cm="1">
        <f t="array" ref="G18">IFERROR(_xlfn.XLOOKUP(A18,#REF!,IF(C7="Summer",#REF!,#REF!)),"")</f>
        <v/>
      </c>
      <c r="H18" s="40" t="str">
        <f>IFERROR(Table44[[#This Row],[Impact on SAC (km2)]]/$H$3,"")</f>
        <v/>
      </c>
      <c r="I18" s="40" t="str">
        <f>IFERROR(Table44[[#This Row],[Impact on SAC (%)]]*(MIN(Table44[[#This Row],[Proposed End Date]],$F$3)-MAX(Table44[[#This Row],[Proposed Start Date]],$F$2)+1)/$H$2,"")</f>
        <v/>
      </c>
      <c r="J18" s="40" t="str">
        <f>IFERROR(Table44[[#This Row],[Impact on SAC (%)]]*Table44[[#This Row],[Proposed days]]/$H$2,"")</f>
        <v/>
      </c>
    </row>
    <row r="19" spans="1:10" x14ac:dyDescent="0.35">
      <c r="A19" s="2"/>
      <c r="B19" t="str">
        <f>IFERROR(_xlfn.XLOOKUP(A19,#REF!,#REF!),"")</f>
        <v/>
      </c>
      <c r="C19" t="str">
        <f>IFERROR(_xlfn.XLOOKUP(A19,#REF!,#REF!),"")</f>
        <v/>
      </c>
      <c r="D19" s="50" t="str">
        <f>IFERROR(_xlfn.XLOOKUP(A19,#REF!,#REF!),"")</f>
        <v/>
      </c>
      <c r="E19" s="50" t="str">
        <f>IFERROR(_xlfn.XLOOKUP(A19,#REF!,#REF!),"")</f>
        <v/>
      </c>
      <c r="F19" t="str">
        <f>IFERROR(_xlfn.XLOOKUP(A19,#REF!,#REF!),"")</f>
        <v/>
      </c>
      <c r="G19" s="51" t="str" cm="1">
        <f t="array" ref="G19">IFERROR(_xlfn.XLOOKUP(A19,#REF!,IF(C8="Summer",#REF!,#REF!)),"")</f>
        <v/>
      </c>
      <c r="H19" s="40" t="str">
        <f>IFERROR(Table44[[#This Row],[Impact on SAC (km2)]]/$H$3,"")</f>
        <v/>
      </c>
      <c r="I19" s="40" t="str">
        <f>IFERROR(Table44[[#This Row],[Impact on SAC (%)]]*(MIN(Table44[[#This Row],[Proposed End Date]],$F$3)-MAX(Table44[[#This Row],[Proposed Start Date]],$F$2)+1)/$H$2,"")</f>
        <v/>
      </c>
      <c r="J19" s="40" t="str">
        <f>IFERROR(Table44[[#This Row],[Impact on SAC (%)]]*Table44[[#This Row],[Proposed days]]/$H$2,"")</f>
        <v/>
      </c>
    </row>
    <row r="20" spans="1:10" x14ac:dyDescent="0.35">
      <c r="A20" s="2"/>
      <c r="B20" t="str">
        <f>IFERROR(_xlfn.XLOOKUP(A20,#REF!,#REF!),"")</f>
        <v/>
      </c>
      <c r="C20" t="str">
        <f>IFERROR(_xlfn.XLOOKUP(A20,#REF!,#REF!),"")</f>
        <v/>
      </c>
      <c r="D20" s="50" t="str">
        <f>IFERROR(_xlfn.XLOOKUP(A20,#REF!,#REF!),"")</f>
        <v/>
      </c>
      <c r="E20" s="50" t="str">
        <f>IFERROR(_xlfn.XLOOKUP(A20,#REF!,#REF!),"")</f>
        <v/>
      </c>
      <c r="F20" t="str">
        <f>IFERROR(_xlfn.XLOOKUP(A20,#REF!,#REF!),"")</f>
        <v/>
      </c>
      <c r="G20" s="51" t="str" cm="1">
        <f t="array" ref="G20">IFERROR(_xlfn.XLOOKUP(A20,#REF!,IF(C9="Summer",#REF!,#REF!)),"")</f>
        <v/>
      </c>
      <c r="H20" s="40" t="str">
        <f>IFERROR(Table44[[#This Row],[Impact on SAC (km2)]]/$H$3,"")</f>
        <v/>
      </c>
      <c r="I20" s="40" t="str">
        <f>IFERROR(Table44[[#This Row],[Impact on SAC (%)]]*(MIN(Table44[[#This Row],[Proposed End Date]],$F$3)-MAX(Table44[[#This Row],[Proposed Start Date]],$F$2)+1)/$H$2,"")</f>
        <v/>
      </c>
      <c r="J20" s="40" t="str">
        <f>IFERROR(Table44[[#This Row],[Impact on SAC (%)]]*Table44[[#This Row],[Proposed days]]/$H$2,"")</f>
        <v/>
      </c>
    </row>
    <row r="21" spans="1:10" x14ac:dyDescent="0.35">
      <c r="A21" s="2"/>
      <c r="B21" t="str">
        <f>IFERROR(_xlfn.XLOOKUP(A21,#REF!,#REF!),"")</f>
        <v/>
      </c>
      <c r="C21" t="str">
        <f>IFERROR(_xlfn.XLOOKUP(A21,#REF!,#REF!),"")</f>
        <v/>
      </c>
      <c r="D21" s="50" t="str">
        <f>IFERROR(_xlfn.XLOOKUP(A21,#REF!,#REF!),"")</f>
        <v/>
      </c>
      <c r="E21" s="50" t="str">
        <f>IFERROR(_xlfn.XLOOKUP(A21,#REF!,#REF!),"")</f>
        <v/>
      </c>
      <c r="F21" t="str">
        <f>IFERROR(_xlfn.XLOOKUP(A21,#REF!,#REF!),"")</f>
        <v/>
      </c>
      <c r="G21" s="51" t="str" cm="1">
        <f t="array" ref="G21">IFERROR(_xlfn.XLOOKUP(A21,#REF!,IF(C10="Summer",#REF!,#REF!)),"")</f>
        <v/>
      </c>
      <c r="H21" s="40" t="str">
        <f>IFERROR(Table44[[#This Row],[Impact on SAC (km2)]]/$H$3,"")</f>
        <v/>
      </c>
      <c r="I21" s="40" t="str">
        <f>IFERROR(Table44[[#This Row],[Impact on SAC (%)]]*(MIN(Table44[[#This Row],[Proposed End Date]],$F$3)-MAX(Table44[[#This Row],[Proposed Start Date]],$F$2)+1)/$H$2,"")</f>
        <v/>
      </c>
      <c r="J21" s="40" t="str">
        <f>IFERROR(Table44[[#This Row],[Impact on SAC (%)]]*Table44[[#This Row],[Proposed days]]/$H$2,"")</f>
        <v/>
      </c>
    </row>
    <row r="22" spans="1:10" x14ac:dyDescent="0.35">
      <c r="A22" s="2"/>
      <c r="B22" t="str">
        <f>IFERROR(_xlfn.XLOOKUP(A22,#REF!,#REF!),"")</f>
        <v/>
      </c>
      <c r="C22" t="str">
        <f>IFERROR(_xlfn.XLOOKUP(A22,#REF!,#REF!),"")</f>
        <v/>
      </c>
      <c r="D22" s="50" t="str">
        <f>IFERROR(_xlfn.XLOOKUP(A22,#REF!,#REF!),"")</f>
        <v/>
      </c>
      <c r="E22" s="50" t="str">
        <f>IFERROR(_xlfn.XLOOKUP(A22,#REF!,#REF!),"")</f>
        <v/>
      </c>
      <c r="F22" t="str">
        <f>IFERROR(_xlfn.XLOOKUP(A22,#REF!,#REF!),"")</f>
        <v/>
      </c>
      <c r="G22" s="51" t="str" cm="1">
        <f t="array" ref="G22">IFERROR(_xlfn.XLOOKUP(A22,#REF!,IF(C11="Summer",#REF!,#REF!)),"")</f>
        <v/>
      </c>
      <c r="H22" s="40" t="str">
        <f>IFERROR(Table44[[#This Row],[Impact on SAC (km2)]]/$H$3,"")</f>
        <v/>
      </c>
      <c r="I22" s="40" t="str">
        <f>IFERROR(Table44[[#This Row],[Impact on SAC (%)]]*(MIN(Table44[[#This Row],[Proposed End Date]],$F$3)-MAX(Table44[[#This Row],[Proposed Start Date]],$F$2)+1)/$H$2,"")</f>
        <v/>
      </c>
      <c r="J22" s="40" t="str">
        <f>IFERROR(Table44[[#This Row],[Impact on SAC (%)]]*Table44[[#This Row],[Proposed days]]/$H$2,"")</f>
        <v/>
      </c>
    </row>
    <row r="23" spans="1:10" x14ac:dyDescent="0.35">
      <c r="A23" s="2"/>
      <c r="B23" t="str">
        <f>IFERROR(_xlfn.XLOOKUP(A23,#REF!,#REF!),"")</f>
        <v/>
      </c>
      <c r="C23" t="str">
        <f>IFERROR(_xlfn.XLOOKUP(A23,#REF!,#REF!),"")</f>
        <v/>
      </c>
      <c r="D23" s="50" t="str">
        <f>IFERROR(_xlfn.XLOOKUP(A23,#REF!,#REF!),"")</f>
        <v/>
      </c>
      <c r="E23" s="50" t="str">
        <f>IFERROR(_xlfn.XLOOKUP(A23,#REF!,#REF!),"")</f>
        <v/>
      </c>
      <c r="F23" t="str">
        <f>IFERROR(_xlfn.XLOOKUP(A23,#REF!,#REF!),"")</f>
        <v/>
      </c>
      <c r="G23" s="51" t="str" cm="1">
        <f t="array" ref="G23">IFERROR(_xlfn.XLOOKUP(A23,#REF!,IF(C12="Summer",#REF!,#REF!)),"")</f>
        <v/>
      </c>
      <c r="H23" s="40" t="str">
        <f>IFERROR(Table44[[#This Row],[Impact on SAC (km2)]]/$H$3,"")</f>
        <v/>
      </c>
      <c r="I23" s="40" t="str">
        <f>IFERROR(Table44[[#This Row],[Impact on SAC (%)]]*(MIN(Table44[[#This Row],[Proposed End Date]],$F$3)-MAX(Table44[[#This Row],[Proposed Start Date]],$F$2)+1)/$H$2,"")</f>
        <v/>
      </c>
      <c r="J23" s="40" t="str">
        <f>IFERROR(Table44[[#This Row],[Impact on SAC (%)]]*Table44[[#This Row],[Proposed days]]/$H$2,"")</f>
        <v/>
      </c>
    </row>
    <row r="24" spans="1:10" x14ac:dyDescent="0.35">
      <c r="A24" s="2"/>
      <c r="B24" t="str">
        <f>IFERROR(_xlfn.XLOOKUP(A24,#REF!,#REF!),"")</f>
        <v/>
      </c>
      <c r="C24" t="str">
        <f>IFERROR(_xlfn.XLOOKUP(A24,#REF!,#REF!),"")</f>
        <v/>
      </c>
      <c r="D24" s="50" t="str">
        <f>IFERROR(_xlfn.XLOOKUP(A24,#REF!,#REF!),"")</f>
        <v/>
      </c>
      <c r="E24" s="50" t="str">
        <f>IFERROR(_xlfn.XLOOKUP(A24,#REF!,#REF!),"")</f>
        <v/>
      </c>
      <c r="F24" t="str">
        <f>IFERROR(_xlfn.XLOOKUP(A24,#REF!,#REF!),"")</f>
        <v/>
      </c>
      <c r="G24" s="51" t="str" cm="1">
        <f t="array" ref="G24">IFERROR(_xlfn.XLOOKUP(A24,#REF!,IF(C13="Summer",#REF!,#REF!)),"")</f>
        <v/>
      </c>
      <c r="H24" s="40" t="str">
        <f>IFERROR(Table44[[#This Row],[Impact on SAC (km2)]]/$H$3,"")</f>
        <v/>
      </c>
      <c r="I24" s="40" t="str">
        <f>IFERROR(Table44[[#This Row],[Impact on SAC (%)]]*(MIN(Table44[[#This Row],[Proposed End Date]],$F$3)-MAX(Table44[[#This Row],[Proposed Start Date]],$F$2)+1)/$H$2,"")</f>
        <v/>
      </c>
      <c r="J24" s="40" t="str">
        <f>IFERROR(Table44[[#This Row],[Impact on SAC (%)]]*Table44[[#This Row],[Proposed days]]/$H$2,"")</f>
        <v/>
      </c>
    </row>
    <row r="25" spans="1:10" x14ac:dyDescent="0.35">
      <c r="A25" s="2"/>
      <c r="B25" t="str">
        <f>IFERROR(_xlfn.XLOOKUP(A25,#REF!,#REF!),"")</f>
        <v/>
      </c>
      <c r="C25" t="str">
        <f>IFERROR(_xlfn.XLOOKUP(A25,#REF!,#REF!),"")</f>
        <v/>
      </c>
      <c r="D25" s="50" t="str">
        <f>IFERROR(_xlfn.XLOOKUP(A25,#REF!,#REF!),"")</f>
        <v/>
      </c>
      <c r="E25" s="50" t="str">
        <f>IFERROR(_xlfn.XLOOKUP(A25,#REF!,#REF!),"")</f>
        <v/>
      </c>
      <c r="F25" t="str">
        <f>IFERROR(_xlfn.XLOOKUP(A25,#REF!,#REF!),"")</f>
        <v/>
      </c>
      <c r="G25" s="51" t="str" cm="1">
        <f t="array" ref="G25">IFERROR(_xlfn.XLOOKUP(A25,#REF!,IF(C14="Summer",#REF!,#REF!)),"")</f>
        <v/>
      </c>
      <c r="H25" s="40" t="str">
        <f>IFERROR(Table44[[#This Row],[Impact on SAC (km2)]]/$H$3,"")</f>
        <v/>
      </c>
      <c r="I25" s="40" t="str">
        <f>IFERROR(Table44[[#This Row],[Impact on SAC (%)]]*(MIN(Table44[[#This Row],[Proposed End Date]],$F$3)-MAX(Table44[[#This Row],[Proposed Start Date]],$F$2)+1)/$H$2,"")</f>
        <v/>
      </c>
      <c r="J25" s="40" t="str">
        <f>IFERROR(Table44[[#This Row],[Impact on SAC (%)]]*Table44[[#This Row],[Proposed days]]/$H$2,"")</f>
        <v/>
      </c>
    </row>
    <row r="26" spans="1:10" x14ac:dyDescent="0.35">
      <c r="A26" s="2"/>
      <c r="B26" t="str">
        <f>IFERROR(_xlfn.XLOOKUP(A26,#REF!,#REF!),"")</f>
        <v/>
      </c>
      <c r="C26" t="str">
        <f>IFERROR(_xlfn.XLOOKUP(A26,#REF!,#REF!),"")</f>
        <v/>
      </c>
      <c r="D26" s="50" t="str">
        <f>IFERROR(_xlfn.XLOOKUP(A26,#REF!,#REF!),"")</f>
        <v/>
      </c>
      <c r="E26" s="50" t="str">
        <f>IFERROR(_xlfn.XLOOKUP(A26,#REF!,#REF!),"")</f>
        <v/>
      </c>
      <c r="F26" t="str">
        <f>IFERROR(_xlfn.XLOOKUP(A26,#REF!,#REF!),"")</f>
        <v/>
      </c>
      <c r="G26" s="51" t="str" cm="1">
        <f t="array" ref="G26">IFERROR(_xlfn.XLOOKUP(A26,#REF!,IF(C15="Summer",#REF!,#REF!)),"")</f>
        <v/>
      </c>
      <c r="H26" s="40" t="str">
        <f>IFERROR(Table44[[#This Row],[Impact on SAC (km2)]]/$H$3,"")</f>
        <v/>
      </c>
      <c r="I26" s="40" t="str">
        <f>IFERROR(Table44[[#This Row],[Impact on SAC (%)]]*(MIN(Table44[[#This Row],[Proposed End Date]],$F$3)-MAX(Table44[[#This Row],[Proposed Start Date]],$F$2)+1)/$H$2,"")</f>
        <v/>
      </c>
      <c r="J26" s="40" t="str">
        <f>IFERROR(Table44[[#This Row],[Impact on SAC (%)]]*Table44[[#This Row],[Proposed days]]/$H$2,"")</f>
        <v/>
      </c>
    </row>
    <row r="27" spans="1:10" x14ac:dyDescent="0.35">
      <c r="A27" s="2"/>
      <c r="B27" t="str">
        <f>IFERROR(_xlfn.XLOOKUP(A27,#REF!,#REF!),"")</f>
        <v/>
      </c>
      <c r="C27" t="str">
        <f>IFERROR(_xlfn.XLOOKUP(A27,#REF!,#REF!),"")</f>
        <v/>
      </c>
      <c r="D27" s="50" t="str">
        <f>IFERROR(_xlfn.XLOOKUP(A27,#REF!,#REF!),"")</f>
        <v/>
      </c>
      <c r="E27" s="50" t="str">
        <f>IFERROR(_xlfn.XLOOKUP(A27,#REF!,#REF!),"")</f>
        <v/>
      </c>
      <c r="F27" t="str">
        <f>IFERROR(_xlfn.XLOOKUP(A27,#REF!,#REF!),"")</f>
        <v/>
      </c>
      <c r="G27" s="51" t="str" cm="1">
        <f t="array" ref="G27">IFERROR(_xlfn.XLOOKUP(A27,#REF!,IF(C16="Summer",#REF!,#REF!)),"")</f>
        <v/>
      </c>
      <c r="H27" s="40" t="str">
        <f>IFERROR(Table44[[#This Row],[Impact on SAC (km2)]]/$H$3,"")</f>
        <v/>
      </c>
      <c r="I27" s="40" t="str">
        <f>IFERROR(Table44[[#This Row],[Impact on SAC (%)]]*(MIN(Table44[[#This Row],[Proposed End Date]],$F$3)-MAX(Table44[[#This Row],[Proposed Start Date]],$F$2)+1)/$H$2,"")</f>
        <v/>
      </c>
      <c r="J27" s="40" t="str">
        <f>IFERROR(Table44[[#This Row],[Impact on SAC (%)]]*Table44[[#This Row],[Proposed days]]/$H$2,"")</f>
        <v/>
      </c>
    </row>
    <row r="28" spans="1:10" x14ac:dyDescent="0.35">
      <c r="A28" s="2"/>
      <c r="B28" t="str">
        <f>IFERROR(_xlfn.XLOOKUP(A28,#REF!,#REF!),"")</f>
        <v/>
      </c>
      <c r="C28" t="str">
        <f>IFERROR(_xlfn.XLOOKUP(A28,#REF!,#REF!),"")</f>
        <v/>
      </c>
      <c r="D28" s="50" t="str">
        <f>IFERROR(_xlfn.XLOOKUP(A28,#REF!,#REF!),"")</f>
        <v/>
      </c>
      <c r="E28" s="50" t="str">
        <f>IFERROR(_xlfn.XLOOKUP(A28,#REF!,#REF!),"")</f>
        <v/>
      </c>
      <c r="F28" t="str">
        <f>IFERROR(_xlfn.XLOOKUP(A28,#REF!,#REF!),"")</f>
        <v/>
      </c>
      <c r="G28" s="51" t="str" cm="1">
        <f t="array" ref="G28">IFERROR(_xlfn.XLOOKUP(A28,#REF!,IF(C17="Summer",#REF!,#REF!)),"")</f>
        <v/>
      </c>
      <c r="H28" s="40" t="str">
        <f>IFERROR(Table44[[#This Row],[Impact on SAC (km2)]]/$H$3,"")</f>
        <v/>
      </c>
      <c r="I28" s="40" t="str">
        <f>IFERROR(Table44[[#This Row],[Impact on SAC (%)]]*(MIN(Table44[[#This Row],[Proposed End Date]],$F$3)-MAX(Table44[[#This Row],[Proposed Start Date]],$F$2)+1)/$H$2,"")</f>
        <v/>
      </c>
      <c r="J28" s="40" t="str">
        <f>IFERROR(Table44[[#This Row],[Impact on SAC (%)]]*Table44[[#This Row],[Proposed days]]/$H$2,"")</f>
        <v/>
      </c>
    </row>
    <row r="29" spans="1:10" x14ac:dyDescent="0.35">
      <c r="A29" s="2"/>
      <c r="B29" t="str">
        <f>IFERROR(_xlfn.XLOOKUP(A29,#REF!,#REF!),"")</f>
        <v/>
      </c>
      <c r="C29" t="str">
        <f>IFERROR(_xlfn.XLOOKUP(A29,#REF!,#REF!),"")</f>
        <v/>
      </c>
      <c r="D29" s="50" t="str">
        <f>IFERROR(_xlfn.XLOOKUP(A29,#REF!,#REF!),"")</f>
        <v/>
      </c>
      <c r="E29" s="50" t="str">
        <f>IFERROR(_xlfn.XLOOKUP(A29,#REF!,#REF!),"")</f>
        <v/>
      </c>
      <c r="F29" t="str">
        <f>IFERROR(_xlfn.XLOOKUP(A29,#REF!,#REF!),"")</f>
        <v/>
      </c>
      <c r="G29" s="51" t="str" cm="1">
        <f t="array" ref="G29">IFERROR(_xlfn.XLOOKUP(A29,#REF!,IF(C18="Summer",#REF!,#REF!)),"")</f>
        <v/>
      </c>
      <c r="H29" s="40" t="str">
        <f>IFERROR(Table44[[#This Row],[Impact on SAC (km2)]]/$H$3,"")</f>
        <v/>
      </c>
      <c r="I29" s="40" t="str">
        <f>IFERROR(Table44[[#This Row],[Impact on SAC (%)]]*(MIN(Table44[[#This Row],[Proposed End Date]],$F$3)-MAX(Table44[[#This Row],[Proposed Start Date]],$F$2)+1)/$H$2,"")</f>
        <v/>
      </c>
      <c r="J29" s="40" t="str">
        <f>IFERROR(Table44[[#This Row],[Impact on SAC (%)]]*Table44[[#This Row],[Proposed days]]/$H$2,"")</f>
        <v/>
      </c>
    </row>
    <row r="30" spans="1:10" x14ac:dyDescent="0.35">
      <c r="A30" s="2"/>
      <c r="B30" t="str">
        <f>IFERROR(_xlfn.XLOOKUP(A30,#REF!,#REF!),"")</f>
        <v/>
      </c>
      <c r="C30" t="str">
        <f>IFERROR(_xlfn.XLOOKUP(A30,#REF!,#REF!),"")</f>
        <v/>
      </c>
      <c r="D30" s="50" t="str">
        <f>IFERROR(_xlfn.XLOOKUP(A30,#REF!,#REF!),"")</f>
        <v/>
      </c>
      <c r="E30" s="50" t="str">
        <f>IFERROR(_xlfn.XLOOKUP(A30,#REF!,#REF!),"")</f>
        <v/>
      </c>
      <c r="F30" t="str">
        <f>IFERROR(_xlfn.XLOOKUP(A30,#REF!,#REF!),"")</f>
        <v/>
      </c>
      <c r="G30" s="51" t="str" cm="1">
        <f t="array" ref="G30">IFERROR(_xlfn.XLOOKUP(A30,#REF!,IF(C19="Summer",#REF!,#REF!)),"")</f>
        <v/>
      </c>
      <c r="H30" s="40" t="str">
        <f>IFERROR(Table44[[#This Row],[Impact on SAC (km2)]]/$H$3,"")</f>
        <v/>
      </c>
      <c r="I30" s="40" t="str">
        <f>IFERROR(Table44[[#This Row],[Impact on SAC (%)]]*(MIN(Table44[[#This Row],[Proposed End Date]],$F$3)-MAX(Table44[[#This Row],[Proposed Start Date]],$F$2)+1)/$H$2,"")</f>
        <v/>
      </c>
      <c r="J30" s="40" t="str">
        <f>IFERROR(Table44[[#This Row],[Impact on SAC (%)]]*Table44[[#This Row],[Proposed days]]/$H$2,"")</f>
        <v/>
      </c>
    </row>
    <row r="31" spans="1:10" x14ac:dyDescent="0.35">
      <c r="A31" s="2"/>
      <c r="B31" t="str">
        <f>IFERROR(_xlfn.XLOOKUP(A31,#REF!,#REF!),"")</f>
        <v/>
      </c>
      <c r="C31" t="str">
        <f>IFERROR(_xlfn.XLOOKUP(A31,#REF!,#REF!),"")</f>
        <v/>
      </c>
      <c r="D31" s="50" t="str">
        <f>IFERROR(_xlfn.XLOOKUP(A31,#REF!,#REF!),"")</f>
        <v/>
      </c>
      <c r="E31" s="50" t="str">
        <f>IFERROR(_xlfn.XLOOKUP(A31,#REF!,#REF!),"")</f>
        <v/>
      </c>
      <c r="F31" t="str">
        <f>IFERROR(_xlfn.XLOOKUP(A31,#REF!,#REF!),"")</f>
        <v/>
      </c>
      <c r="G31" s="51" t="str" cm="1">
        <f t="array" ref="G31">IFERROR(_xlfn.XLOOKUP(A31,#REF!,IF(C20="Summer",#REF!,#REF!)),"")</f>
        <v/>
      </c>
      <c r="H31" s="40" t="str">
        <f>IFERROR(Table44[[#This Row],[Impact on SAC (km2)]]/$H$3,"")</f>
        <v/>
      </c>
      <c r="I31" s="40" t="str">
        <f>IFERROR(Table44[[#This Row],[Impact on SAC (%)]]*(MIN(Table44[[#This Row],[Proposed End Date]],$F$3)-MAX(Table44[[#This Row],[Proposed Start Date]],$F$2)+1)/$H$2,"")</f>
        <v/>
      </c>
      <c r="J31" s="40" t="str">
        <f>IFERROR(Table44[[#This Row],[Impact on SAC (%)]]*Table44[[#This Row],[Proposed days]]/$H$2,"")</f>
        <v/>
      </c>
    </row>
    <row r="32" spans="1:10" x14ac:dyDescent="0.35">
      <c r="A32" s="2"/>
      <c r="B32" t="str">
        <f>IFERROR(_xlfn.XLOOKUP(A32,#REF!,#REF!),"")</f>
        <v/>
      </c>
      <c r="C32" t="str">
        <f>IFERROR(_xlfn.XLOOKUP(A32,#REF!,#REF!),"")</f>
        <v/>
      </c>
      <c r="D32" s="50" t="str">
        <f>IFERROR(_xlfn.XLOOKUP(A32,#REF!,#REF!),"")</f>
        <v/>
      </c>
      <c r="E32" s="50" t="str">
        <f>IFERROR(_xlfn.XLOOKUP(A32,#REF!,#REF!),"")</f>
        <v/>
      </c>
      <c r="F32" t="str">
        <f>IFERROR(_xlfn.XLOOKUP(A32,#REF!,#REF!),"")</f>
        <v/>
      </c>
      <c r="G32" s="51" t="str" cm="1">
        <f t="array" ref="G32">IFERROR(_xlfn.XLOOKUP(A32,#REF!,IF(C21="Summer",#REF!,#REF!)),"")</f>
        <v/>
      </c>
      <c r="H32" s="40" t="str">
        <f>IFERROR(Table44[[#This Row],[Impact on SAC (km2)]]/$H$3,"")</f>
        <v/>
      </c>
      <c r="I32" s="40" t="str">
        <f>IFERROR(Table44[[#This Row],[Impact on SAC (%)]]*(MIN(Table44[[#This Row],[Proposed End Date]],$F$3)-MAX(Table44[[#This Row],[Proposed Start Date]],$F$2)+1)/$H$2,"")</f>
        <v/>
      </c>
      <c r="J32" s="40" t="str">
        <f>IFERROR(Table44[[#This Row],[Impact on SAC (%)]]*Table44[[#This Row],[Proposed days]]/$H$2,"")</f>
        <v/>
      </c>
    </row>
    <row r="33" spans="1:10" x14ac:dyDescent="0.35">
      <c r="A33" s="2"/>
      <c r="B33" t="str">
        <f>IFERROR(_xlfn.XLOOKUP(A33,#REF!,#REF!),"")</f>
        <v/>
      </c>
      <c r="C33" t="str">
        <f>IFERROR(_xlfn.XLOOKUP(A33,#REF!,#REF!),"")</f>
        <v/>
      </c>
      <c r="D33" s="50" t="str">
        <f>IFERROR(_xlfn.XLOOKUP(A33,#REF!,#REF!),"")</f>
        <v/>
      </c>
      <c r="E33" s="50" t="str">
        <f>IFERROR(_xlfn.XLOOKUP(A33,#REF!,#REF!),"")</f>
        <v/>
      </c>
      <c r="F33" t="str">
        <f>IFERROR(_xlfn.XLOOKUP(A33,#REF!,#REF!),"")</f>
        <v/>
      </c>
      <c r="G33" s="51" t="str" cm="1">
        <f t="array" ref="G33">IFERROR(_xlfn.XLOOKUP(A33,#REF!,IF(C22="Summer",#REF!,#REF!)),"")</f>
        <v/>
      </c>
      <c r="H33" s="40" t="str">
        <f>IFERROR(Table44[[#This Row],[Impact on SAC (km2)]]/$H$3,"")</f>
        <v/>
      </c>
      <c r="I33" s="40" t="str">
        <f>IFERROR(Table44[[#This Row],[Impact on SAC (%)]]*(MIN(Table44[[#This Row],[Proposed End Date]],$F$3)-MAX(Table44[[#This Row],[Proposed Start Date]],$F$2)+1)/$H$2,"")</f>
        <v/>
      </c>
      <c r="J33" s="40" t="str">
        <f>IFERROR(Table44[[#This Row],[Impact on SAC (%)]]*Table44[[#This Row],[Proposed days]]/$H$2,"")</f>
        <v/>
      </c>
    </row>
    <row r="34" spans="1:10" x14ac:dyDescent="0.35">
      <c r="A34" s="2"/>
      <c r="B34" t="str">
        <f>IFERROR(_xlfn.XLOOKUP(A34,#REF!,#REF!),"")</f>
        <v/>
      </c>
      <c r="C34" t="str">
        <f>IFERROR(_xlfn.XLOOKUP(A34,#REF!,#REF!),"")</f>
        <v/>
      </c>
      <c r="D34" s="50" t="str">
        <f>IFERROR(_xlfn.XLOOKUP(A34,#REF!,#REF!),"")</f>
        <v/>
      </c>
      <c r="E34" s="50" t="str">
        <f>IFERROR(_xlfn.XLOOKUP(A34,#REF!,#REF!),"")</f>
        <v/>
      </c>
      <c r="F34" t="str">
        <f>IFERROR(_xlfn.XLOOKUP(A34,#REF!,#REF!),"")</f>
        <v/>
      </c>
      <c r="G34" s="51" t="str" cm="1">
        <f t="array" ref="G34">IFERROR(_xlfn.XLOOKUP(A34,#REF!,IF(C23="Summer",#REF!,#REF!)),"")</f>
        <v/>
      </c>
      <c r="H34" s="40" t="str">
        <f>IFERROR(Table44[[#This Row],[Impact on SAC (km2)]]/$H$3,"")</f>
        <v/>
      </c>
      <c r="I34" s="40" t="str">
        <f>IFERROR(Table44[[#This Row],[Impact on SAC (%)]]*(MIN(Table44[[#This Row],[Proposed End Date]],$F$3)-MAX(Table44[[#This Row],[Proposed Start Date]],$F$2)+1)/$H$2,"")</f>
        <v/>
      </c>
      <c r="J34" s="40" t="str">
        <f>IFERROR(Table44[[#This Row],[Impact on SAC (%)]]*Table44[[#This Row],[Proposed days]]/$H$2,"")</f>
        <v/>
      </c>
    </row>
    <row r="35" spans="1:10" x14ac:dyDescent="0.35">
      <c r="A35" s="2"/>
      <c r="B35" t="str">
        <f>IFERROR(_xlfn.XLOOKUP(A35,#REF!,#REF!),"")</f>
        <v/>
      </c>
      <c r="C35" t="str">
        <f>IFERROR(_xlfn.XLOOKUP(A35,#REF!,#REF!),"")</f>
        <v/>
      </c>
      <c r="D35" s="50" t="str">
        <f>IFERROR(_xlfn.XLOOKUP(A35,#REF!,#REF!),"")</f>
        <v/>
      </c>
      <c r="E35" s="50" t="str">
        <f>IFERROR(_xlfn.XLOOKUP(A35,#REF!,#REF!),"")</f>
        <v/>
      </c>
      <c r="F35" t="str">
        <f>IFERROR(_xlfn.XLOOKUP(A35,#REF!,#REF!),"")</f>
        <v/>
      </c>
      <c r="G35" s="51" t="str" cm="1">
        <f t="array" ref="G35">IFERROR(_xlfn.XLOOKUP(A35,#REF!,IF(C24="Summer",#REF!,#REF!)),"")</f>
        <v/>
      </c>
      <c r="H35" s="40" t="str">
        <f>IFERROR(Table44[[#This Row],[Impact on SAC (km2)]]/$H$3,"")</f>
        <v/>
      </c>
      <c r="I35" s="40" t="str">
        <f>IFERROR(Table44[[#This Row],[Impact on SAC (%)]]*(MIN(Table44[[#This Row],[Proposed End Date]],$F$3)-MAX(Table44[[#This Row],[Proposed Start Date]],$F$2)+1)/$H$2,"")</f>
        <v/>
      </c>
      <c r="J35" s="40" t="str">
        <f>IFERROR(Table44[[#This Row],[Impact on SAC (%)]]*Table44[[#This Row],[Proposed days]]/$H$2,"")</f>
        <v/>
      </c>
    </row>
    <row r="36" spans="1:10" x14ac:dyDescent="0.35">
      <c r="A36" s="2"/>
      <c r="B36" t="str">
        <f>IFERROR(_xlfn.XLOOKUP(A36,#REF!,#REF!),"")</f>
        <v/>
      </c>
      <c r="C36" t="str">
        <f>IFERROR(_xlfn.XLOOKUP(A36,#REF!,#REF!),"")</f>
        <v/>
      </c>
      <c r="D36" s="50" t="str">
        <f>IFERROR(_xlfn.XLOOKUP(A36,#REF!,#REF!),"")</f>
        <v/>
      </c>
      <c r="E36" s="50" t="str">
        <f>IFERROR(_xlfn.XLOOKUP(A36,#REF!,#REF!),"")</f>
        <v/>
      </c>
      <c r="F36" t="str">
        <f>IFERROR(_xlfn.XLOOKUP(A36,#REF!,#REF!),"")</f>
        <v/>
      </c>
      <c r="G36" s="51" t="str" cm="1">
        <f t="array" ref="G36">IFERROR(_xlfn.XLOOKUP(A36,#REF!,IF(C25="Summer",#REF!,#REF!)),"")</f>
        <v/>
      </c>
      <c r="H36" s="40" t="str">
        <f>IFERROR(Table44[[#This Row],[Impact on SAC (km2)]]/$H$3,"")</f>
        <v/>
      </c>
      <c r="I36" s="40" t="str">
        <f>IFERROR(Table44[[#This Row],[Impact on SAC (%)]]*(MIN(Table44[[#This Row],[Proposed End Date]],$F$3)-MAX(Table44[[#This Row],[Proposed Start Date]],$F$2)+1)/$H$2,"")</f>
        <v/>
      </c>
      <c r="J36" s="40" t="str">
        <f>IFERROR(Table44[[#This Row],[Impact on SAC (%)]]*Table44[[#This Row],[Proposed days]]/$H$2,"")</f>
        <v/>
      </c>
    </row>
    <row r="37" spans="1:10" x14ac:dyDescent="0.35">
      <c r="A37" s="2"/>
      <c r="B37" t="str">
        <f>IFERROR(_xlfn.XLOOKUP(A37,#REF!,#REF!),"")</f>
        <v/>
      </c>
      <c r="C37" t="str">
        <f>IFERROR(_xlfn.XLOOKUP(A37,#REF!,#REF!),"")</f>
        <v/>
      </c>
      <c r="D37" s="50" t="str">
        <f>IFERROR(_xlfn.XLOOKUP(A37,#REF!,#REF!),"")</f>
        <v/>
      </c>
      <c r="E37" s="50" t="str">
        <f>IFERROR(_xlfn.XLOOKUP(A37,#REF!,#REF!),"")</f>
        <v/>
      </c>
      <c r="F37" t="str">
        <f>IFERROR(_xlfn.XLOOKUP(A37,#REF!,#REF!),"")</f>
        <v/>
      </c>
      <c r="G37" s="51" t="str" cm="1">
        <f t="array" ref="G37">IFERROR(_xlfn.XLOOKUP(A37,#REF!,IF(C26="Summer",#REF!,#REF!)),"")</f>
        <v/>
      </c>
      <c r="H37" s="40" t="str">
        <f>IFERROR(Table44[[#This Row],[Impact on SAC (km2)]]/$H$3,"")</f>
        <v/>
      </c>
      <c r="I37" s="40" t="str">
        <f>IFERROR(Table44[[#This Row],[Impact on SAC (%)]]*(MIN(Table44[[#This Row],[Proposed End Date]],$F$3)-MAX(Table44[[#This Row],[Proposed Start Date]],$F$2)+1)/$H$2,"")</f>
        <v/>
      </c>
      <c r="J37" s="40" t="str">
        <f>IFERROR(Table44[[#This Row],[Impact on SAC (%)]]*Table44[[#This Row],[Proposed days]]/$H$2,"")</f>
        <v/>
      </c>
    </row>
    <row r="38" spans="1:10" x14ac:dyDescent="0.35">
      <c r="A38" s="2"/>
      <c r="B38" t="str">
        <f>IFERROR(_xlfn.XLOOKUP(A38,#REF!,#REF!),"")</f>
        <v/>
      </c>
      <c r="C38" t="str">
        <f>IFERROR(_xlfn.XLOOKUP(A38,#REF!,#REF!),"")</f>
        <v/>
      </c>
      <c r="D38" s="50" t="str">
        <f>IFERROR(_xlfn.XLOOKUP(A38,#REF!,#REF!),"")</f>
        <v/>
      </c>
      <c r="E38" s="50" t="str">
        <f>IFERROR(_xlfn.XLOOKUP(A38,#REF!,#REF!),"")</f>
        <v/>
      </c>
      <c r="F38" t="str">
        <f>IFERROR(_xlfn.XLOOKUP(A38,#REF!,#REF!),"")</f>
        <v/>
      </c>
      <c r="G38" s="51" t="str" cm="1">
        <f t="array" ref="G38">IFERROR(_xlfn.XLOOKUP(A38,#REF!,IF(C27="Summer",#REF!,#REF!)),"")</f>
        <v/>
      </c>
      <c r="H38" s="40" t="str">
        <f>IFERROR(Table44[[#This Row],[Impact on SAC (km2)]]/$H$3,"")</f>
        <v/>
      </c>
      <c r="I38" s="40" t="str">
        <f>IFERROR(Table44[[#This Row],[Impact on SAC (%)]]*(MIN(Table44[[#This Row],[Proposed End Date]],$F$3)-MAX(Table44[[#This Row],[Proposed Start Date]],$F$2)+1)/$H$2,"")</f>
        <v/>
      </c>
      <c r="J38" s="40" t="str">
        <f>IFERROR(Table44[[#This Row],[Impact on SAC (%)]]*Table44[[#This Row],[Proposed days]]/$H$2,"")</f>
        <v/>
      </c>
    </row>
    <row r="39" spans="1:10" x14ac:dyDescent="0.35">
      <c r="A39" s="2"/>
      <c r="B39" t="str">
        <f>IFERROR(_xlfn.XLOOKUP(A39,#REF!,#REF!),"")</f>
        <v/>
      </c>
      <c r="C39" t="str">
        <f>IFERROR(_xlfn.XLOOKUP(A39,#REF!,#REF!),"")</f>
        <v/>
      </c>
      <c r="D39" s="50" t="str">
        <f>IFERROR(_xlfn.XLOOKUP(A39,#REF!,#REF!),"")</f>
        <v/>
      </c>
      <c r="E39" s="50" t="str">
        <f>IFERROR(_xlfn.XLOOKUP(A39,#REF!,#REF!),"")</f>
        <v/>
      </c>
      <c r="F39" t="str">
        <f>IFERROR(_xlfn.XLOOKUP(A39,#REF!,#REF!),"")</f>
        <v/>
      </c>
      <c r="G39" s="51" t="str" cm="1">
        <f t="array" ref="G39">IFERROR(_xlfn.XLOOKUP(A39,#REF!,IF(C28="Summer",#REF!,#REF!)),"")</f>
        <v/>
      </c>
      <c r="H39" s="40" t="str">
        <f>IFERROR(Table44[[#This Row],[Impact on SAC (km2)]]/$H$3,"")</f>
        <v/>
      </c>
      <c r="I39" s="40" t="str">
        <f>IFERROR(Table44[[#This Row],[Impact on SAC (%)]]*(MIN(Table44[[#This Row],[Proposed End Date]],$F$3)-MAX(Table44[[#This Row],[Proposed Start Date]],$F$2)+1)/$H$2,"")</f>
        <v/>
      </c>
      <c r="J39" s="40" t="str">
        <f>IFERROR(Table44[[#This Row],[Impact on SAC (%)]]*Table44[[#This Row],[Proposed days]]/$H$2,"")</f>
        <v/>
      </c>
    </row>
    <row r="40" spans="1:10" x14ac:dyDescent="0.35">
      <c r="B40" t="str">
        <f>IFERROR(_xlfn.XLOOKUP(A40,#REF!,#REF!),"")</f>
        <v/>
      </c>
      <c r="C40" t="str">
        <f>IFERROR(_xlfn.XLOOKUP(A40,#REF!,#REF!),"")</f>
        <v/>
      </c>
      <c r="D40" s="50" t="str">
        <f>IFERROR(_xlfn.XLOOKUP(A40,#REF!,#REF!),"")</f>
        <v/>
      </c>
      <c r="E40" s="50" t="str">
        <f>IFERROR(_xlfn.XLOOKUP(A40,#REF!,#REF!),"")</f>
        <v/>
      </c>
      <c r="F40" t="str">
        <f>IFERROR(_xlfn.XLOOKUP(A40,#REF!,#REF!),"")</f>
        <v/>
      </c>
      <c r="G40" s="51" t="str" cm="1">
        <f t="array" ref="G40">IFERROR(_xlfn.XLOOKUP(A40,#REF!,IF(C29="Summer",#REF!,#REF!)),"")</f>
        <v/>
      </c>
      <c r="H40" s="40" t="str">
        <f>IFERROR(Table44[[#This Row],[Impact on SAC (km2)]]/$H$3,"")</f>
        <v/>
      </c>
      <c r="I40" s="40" t="str">
        <f>IFERROR(Table44[[#This Row],[Impact on SAC (%)]]*(MIN(Table44[[#This Row],[Proposed End Date]],$F$3)-MAX(Table44[[#This Row],[Proposed Start Date]],$F$2)+1)/$H$2,"")</f>
        <v/>
      </c>
      <c r="J40" s="40" t="str">
        <f>IFERROR(Table44[[#This Row],[Impact on SAC (%)]]*Table44[[#This Row],[Proposed days]]/$H$2,"")</f>
        <v/>
      </c>
    </row>
    <row r="41" spans="1:10" x14ac:dyDescent="0.35">
      <c r="B41" t="str">
        <f>IFERROR(_xlfn.XLOOKUP(A41,#REF!,#REF!),"")</f>
        <v/>
      </c>
      <c r="C41" t="str">
        <f>IFERROR(_xlfn.XLOOKUP(A41,#REF!,#REF!),"")</f>
        <v/>
      </c>
      <c r="D41" s="50" t="str">
        <f>IFERROR(_xlfn.XLOOKUP(A41,#REF!,#REF!),"")</f>
        <v/>
      </c>
      <c r="E41" s="50" t="str">
        <f>IFERROR(_xlfn.XLOOKUP(A41,#REF!,#REF!),"")</f>
        <v/>
      </c>
      <c r="F41" t="str">
        <f>IFERROR(_xlfn.XLOOKUP(A41,#REF!,#REF!),"")</f>
        <v/>
      </c>
      <c r="G41" s="51" t="str" cm="1">
        <f t="array" ref="G41">IFERROR(_xlfn.XLOOKUP(A41,#REF!,IF(C30="Summer",#REF!,#REF!)),"")</f>
        <v/>
      </c>
      <c r="H41" s="40" t="str">
        <f>IFERROR(Table44[[#This Row],[Impact on SAC (km2)]]/$H$3,"")</f>
        <v/>
      </c>
      <c r="I41" s="40" t="str">
        <f>IFERROR(Table44[[#This Row],[Impact on SAC (%)]]*(MIN(Table44[[#This Row],[Proposed End Date]],$F$3)-MAX(Table44[[#This Row],[Proposed Start Date]],$F$2)+1)/$H$2,"")</f>
        <v/>
      </c>
      <c r="J41" s="40" t="str">
        <f>IFERROR(Table44[[#This Row],[Impact on SAC (%)]]*Table44[[#This Row],[Proposed days]]/$H$2,"")</f>
        <v/>
      </c>
    </row>
    <row r="42" spans="1:10" x14ac:dyDescent="0.35">
      <c r="B42" t="str">
        <f>IFERROR(_xlfn.XLOOKUP(A42,#REF!,#REF!),"")</f>
        <v/>
      </c>
      <c r="C42" t="str">
        <f>IFERROR(_xlfn.XLOOKUP(A42,#REF!,#REF!),"")</f>
        <v/>
      </c>
      <c r="D42" s="50" t="str">
        <f>IFERROR(_xlfn.XLOOKUP(A42,#REF!,#REF!),"")</f>
        <v/>
      </c>
      <c r="E42" s="50" t="str">
        <f>IFERROR(_xlfn.XLOOKUP(A42,#REF!,#REF!),"")</f>
        <v/>
      </c>
      <c r="F42" t="str">
        <f>IFERROR(_xlfn.XLOOKUP(A42,#REF!,#REF!),"")</f>
        <v/>
      </c>
      <c r="G42" s="51" t="str" cm="1">
        <f t="array" ref="G42">IFERROR(_xlfn.XLOOKUP(A42,#REF!,IF(C31="Summer",#REF!,#REF!)),"")</f>
        <v/>
      </c>
      <c r="H42" s="40" t="str">
        <f>IFERROR(Table44[[#This Row],[Impact on SAC (km2)]]/$H$3,"")</f>
        <v/>
      </c>
      <c r="I42" s="40" t="str">
        <f>IFERROR(Table44[[#This Row],[Impact on SAC (%)]]*(MIN(Table44[[#This Row],[Proposed End Date]],$F$3)-MAX(Table44[[#This Row],[Proposed Start Date]],$F$2)+1)/$H$2,"")</f>
        <v/>
      </c>
      <c r="J42" s="40" t="str">
        <f>IFERROR(Table44[[#This Row],[Impact on SAC (%)]]*Table44[[#This Row],[Proposed days]]/$H$2,"")</f>
        <v/>
      </c>
    </row>
    <row r="43" spans="1:10" x14ac:dyDescent="0.35">
      <c r="B43" t="str">
        <f>IFERROR(_xlfn.XLOOKUP(A43,#REF!,#REF!),"")</f>
        <v/>
      </c>
      <c r="C43" t="str">
        <f>IFERROR(_xlfn.XLOOKUP(A43,#REF!,#REF!),"")</f>
        <v/>
      </c>
      <c r="D43" s="50" t="str">
        <f>IFERROR(_xlfn.XLOOKUP(A43,#REF!,#REF!),"")</f>
        <v/>
      </c>
      <c r="E43" s="50" t="str">
        <f>IFERROR(_xlfn.XLOOKUP(A43,#REF!,#REF!),"")</f>
        <v/>
      </c>
      <c r="F43" t="str">
        <f>IFERROR(_xlfn.XLOOKUP(A43,#REF!,#REF!),"")</f>
        <v/>
      </c>
      <c r="G43" s="51" t="str" cm="1">
        <f t="array" ref="G43">IFERROR(_xlfn.XLOOKUP(A43,#REF!,IF(C32="Summer",#REF!,#REF!)),"")</f>
        <v/>
      </c>
      <c r="H43" s="40" t="str">
        <f>IFERROR(Table44[[#This Row],[Impact on SAC (km2)]]/$H$3,"")</f>
        <v/>
      </c>
      <c r="I43" s="40" t="str">
        <f>IFERROR(Table44[[#This Row],[Impact on SAC (%)]]*(MIN(Table44[[#This Row],[Proposed End Date]],$F$3)-MAX(Table44[[#This Row],[Proposed Start Date]],$F$2)+1)/$H$2,"")</f>
        <v/>
      </c>
      <c r="J43" s="40" t="str">
        <f>IFERROR(Table44[[#This Row],[Impact on SAC (%)]]*Table44[[#This Row],[Proposed days]]/$H$2,"")</f>
        <v/>
      </c>
    </row>
    <row r="44" spans="1:10" x14ac:dyDescent="0.35">
      <c r="B44" t="str">
        <f>IFERROR(_xlfn.XLOOKUP(A44,#REF!,#REF!),"")</f>
        <v/>
      </c>
      <c r="C44" t="str">
        <f>IFERROR(_xlfn.XLOOKUP(A44,#REF!,#REF!),"")</f>
        <v/>
      </c>
      <c r="D44" s="50" t="str">
        <f>IFERROR(_xlfn.XLOOKUP(A44,#REF!,#REF!),"")</f>
        <v/>
      </c>
      <c r="E44" s="50" t="str">
        <f>IFERROR(_xlfn.XLOOKUP(A44,#REF!,#REF!),"")</f>
        <v/>
      </c>
      <c r="F44" t="str">
        <f>IFERROR(_xlfn.XLOOKUP(A44,#REF!,#REF!),"")</f>
        <v/>
      </c>
      <c r="G44" s="51" t="str" cm="1">
        <f t="array" ref="G44">IFERROR(_xlfn.XLOOKUP(A44,#REF!,IF(C33="Summer",#REF!,#REF!)),"")</f>
        <v/>
      </c>
      <c r="H44" s="40" t="str">
        <f>IFERROR(Table44[[#This Row],[Impact on SAC (km2)]]/$H$3,"")</f>
        <v/>
      </c>
      <c r="I44" s="40" t="str">
        <f>IFERROR(Table44[[#This Row],[Impact on SAC (%)]]*(MIN(Table44[[#This Row],[Proposed End Date]],$F$3)-MAX(Table44[[#This Row],[Proposed Start Date]],$F$2)+1)/$H$2,"")</f>
        <v/>
      </c>
      <c r="J44" s="40" t="str">
        <f>IFERROR(Table44[[#This Row],[Impact on SAC (%)]]*Table44[[#This Row],[Proposed days]]/$H$2,"")</f>
        <v/>
      </c>
    </row>
    <row r="45" spans="1:10" x14ac:dyDescent="0.35">
      <c r="B45" t="str">
        <f>IFERROR(_xlfn.XLOOKUP(A45,#REF!,#REF!),"")</f>
        <v/>
      </c>
      <c r="C45" t="str">
        <f>IFERROR(_xlfn.XLOOKUP(A45,#REF!,#REF!),"")</f>
        <v/>
      </c>
      <c r="D45" s="50" t="str">
        <f>IFERROR(_xlfn.XLOOKUP(A45,#REF!,#REF!),"")</f>
        <v/>
      </c>
      <c r="E45" s="50" t="str">
        <f>IFERROR(_xlfn.XLOOKUP(A45,#REF!,#REF!),"")</f>
        <v/>
      </c>
      <c r="F45" t="str">
        <f>IFERROR(_xlfn.XLOOKUP(A45,#REF!,#REF!),"")</f>
        <v/>
      </c>
      <c r="G45" s="51" t="str" cm="1">
        <f t="array" ref="G45">IFERROR(_xlfn.XLOOKUP(A45,#REF!,IF(C34="Summer",#REF!,#REF!)),"")</f>
        <v/>
      </c>
      <c r="H45" s="40" t="str">
        <f>IFERROR(Table44[[#This Row],[Impact on SAC (km2)]]/$H$3,"")</f>
        <v/>
      </c>
      <c r="I45" s="40" t="str">
        <f>IFERROR(Table44[[#This Row],[Impact on SAC (%)]]*(MIN(Table44[[#This Row],[Proposed End Date]],$F$3)-MAX(Table44[[#This Row],[Proposed Start Date]],$F$2)+1)/$H$2,"")</f>
        <v/>
      </c>
      <c r="J45" s="40" t="str">
        <f>IFERROR(Table44[[#This Row],[Impact on SAC (%)]]*Table44[[#This Row],[Proposed days]]/$H$2,"")</f>
        <v/>
      </c>
    </row>
    <row r="46" spans="1:10" x14ac:dyDescent="0.35">
      <c r="B46" t="str">
        <f>IFERROR(_xlfn.XLOOKUP(A46,#REF!,#REF!),"")</f>
        <v/>
      </c>
      <c r="C46" t="str">
        <f>IFERROR(_xlfn.XLOOKUP(A46,#REF!,#REF!),"")</f>
        <v/>
      </c>
      <c r="D46" s="50" t="str">
        <f>IFERROR(_xlfn.XLOOKUP(A46,#REF!,#REF!),"")</f>
        <v/>
      </c>
      <c r="E46" s="50" t="str">
        <f>IFERROR(_xlfn.XLOOKUP(A46,#REF!,#REF!),"")</f>
        <v/>
      </c>
      <c r="F46" t="str">
        <f>IFERROR(_xlfn.XLOOKUP(A46,#REF!,#REF!),"")</f>
        <v/>
      </c>
      <c r="G46" s="51" t="str" cm="1">
        <f t="array" ref="G46">IFERROR(_xlfn.XLOOKUP(A46,#REF!,IF(C35="Summer",#REF!,#REF!)),"")</f>
        <v/>
      </c>
      <c r="H46" s="40" t="str">
        <f>IFERROR(Table44[[#This Row],[Impact on SAC (km2)]]/$H$3,"")</f>
        <v/>
      </c>
      <c r="I46" s="40" t="str">
        <f>IFERROR(Table44[[#This Row],[Impact on SAC (%)]]*(MIN(Table44[[#This Row],[Proposed End Date]],$F$3)-MAX(Table44[[#This Row],[Proposed Start Date]],$F$2)+1)/$H$2,"")</f>
        <v/>
      </c>
      <c r="J46" s="40" t="str">
        <f>IFERROR(Table44[[#This Row],[Impact on SAC (%)]]*Table44[[#This Row],[Proposed days]]/$H$2,"")</f>
        <v/>
      </c>
    </row>
    <row r="47" spans="1:10" x14ac:dyDescent="0.35">
      <c r="B47" t="str">
        <f>IFERROR(_xlfn.XLOOKUP(A47,#REF!,#REF!),"")</f>
        <v/>
      </c>
      <c r="C47" t="str">
        <f>IFERROR(_xlfn.XLOOKUP(A47,#REF!,#REF!),"")</f>
        <v/>
      </c>
      <c r="D47" s="50" t="str">
        <f>IFERROR(_xlfn.XLOOKUP(A47,#REF!,#REF!),"")</f>
        <v/>
      </c>
      <c r="E47" s="50" t="str">
        <f>IFERROR(_xlfn.XLOOKUP(A47,#REF!,#REF!),"")</f>
        <v/>
      </c>
      <c r="F47" t="str">
        <f>IFERROR(_xlfn.XLOOKUP(A47,#REF!,#REF!),"")</f>
        <v/>
      </c>
      <c r="G47" s="51" t="str" cm="1">
        <f t="array" ref="G47">IFERROR(_xlfn.XLOOKUP(A47,#REF!,IF(C36="Summer",#REF!,#REF!)),"")</f>
        <v/>
      </c>
      <c r="H47" s="40" t="str">
        <f>IFERROR(Table44[[#This Row],[Impact on SAC (km2)]]/$H$3,"")</f>
        <v/>
      </c>
      <c r="I47" s="40" t="str">
        <f>IFERROR(Table44[[#This Row],[Impact on SAC (%)]]*(MIN(Table44[[#This Row],[Proposed End Date]],$F$3)-MAX(Table44[[#This Row],[Proposed Start Date]],$F$2)+1)/$H$2,"")</f>
        <v/>
      </c>
      <c r="J47" s="40" t="str">
        <f>IFERROR(Table44[[#This Row],[Impact on SAC (%)]]*Table44[[#This Row],[Proposed days]]/$H$2,"")</f>
        <v/>
      </c>
    </row>
    <row r="48" spans="1:10" x14ac:dyDescent="0.35">
      <c r="B48" t="str">
        <f>IFERROR(_xlfn.XLOOKUP(A48,#REF!,#REF!),"")</f>
        <v/>
      </c>
      <c r="C48" t="str">
        <f>IFERROR(_xlfn.XLOOKUP(A48,#REF!,#REF!),"")</f>
        <v/>
      </c>
      <c r="D48" s="50" t="str">
        <f>IFERROR(_xlfn.XLOOKUP(A48,#REF!,#REF!),"")</f>
        <v/>
      </c>
      <c r="E48" s="50" t="str">
        <f>IFERROR(_xlfn.XLOOKUP(A48,#REF!,#REF!),"")</f>
        <v/>
      </c>
      <c r="F48" t="str">
        <f>IFERROR(_xlfn.XLOOKUP(A48,#REF!,#REF!),"")</f>
        <v/>
      </c>
      <c r="G48" s="51" t="str" cm="1">
        <f t="array" ref="G48">IFERROR(_xlfn.XLOOKUP(A48,#REF!,IF(C37="Summer",#REF!,#REF!)),"")</f>
        <v/>
      </c>
      <c r="H48" s="40" t="str">
        <f>IFERROR(Table44[[#This Row],[Impact on SAC (km2)]]/$H$3,"")</f>
        <v/>
      </c>
      <c r="I48" s="40" t="str">
        <f>IFERROR(Table44[[#This Row],[Impact on SAC (%)]]*(MIN(Table44[[#This Row],[Proposed End Date]],$F$3)-MAX(Table44[[#This Row],[Proposed Start Date]],$F$2)+1)/$H$2,"")</f>
        <v/>
      </c>
      <c r="J48" s="40" t="str">
        <f>IFERROR(Table44[[#This Row],[Impact on SAC (%)]]*Table44[[#This Row],[Proposed days]]/$H$2,"")</f>
        <v/>
      </c>
    </row>
    <row r="49" spans="2:10" x14ac:dyDescent="0.35">
      <c r="B49" t="str">
        <f>IFERROR(_xlfn.XLOOKUP(A49,#REF!,#REF!),"")</f>
        <v/>
      </c>
      <c r="C49" t="str">
        <f>IFERROR(_xlfn.XLOOKUP(A49,#REF!,#REF!),"")</f>
        <v/>
      </c>
      <c r="D49" s="50" t="str">
        <f>IFERROR(_xlfn.XLOOKUP(A49,#REF!,#REF!),"")</f>
        <v/>
      </c>
      <c r="E49" s="50" t="str">
        <f>IFERROR(_xlfn.XLOOKUP(A49,#REF!,#REF!),"")</f>
        <v/>
      </c>
      <c r="F49" t="str">
        <f>IFERROR(_xlfn.XLOOKUP(A49,#REF!,#REF!),"")</f>
        <v/>
      </c>
      <c r="G49" s="51" t="str" cm="1">
        <f t="array" ref="G49">IFERROR(_xlfn.XLOOKUP(A49,#REF!,IF(C38="Summer",#REF!,#REF!)),"")</f>
        <v/>
      </c>
      <c r="H49" s="40" t="str">
        <f>IFERROR(Table44[[#This Row],[Impact on SAC (km2)]]/$H$3,"")</f>
        <v/>
      </c>
      <c r="I49" s="40" t="str">
        <f>IFERROR(Table44[[#This Row],[Impact on SAC (%)]]*(MIN(Table44[[#This Row],[Proposed End Date]],$F$3)-MAX(Table44[[#This Row],[Proposed Start Date]],$F$2)+1)/$H$2,"")</f>
        <v/>
      </c>
      <c r="J49" s="40" t="str">
        <f>IFERROR(Table44[[#This Row],[Impact on SAC (%)]]*Table44[[#This Row],[Proposed days]]/$H$2,"")</f>
        <v/>
      </c>
    </row>
    <row r="50" spans="2:10" x14ac:dyDescent="0.35">
      <c r="B50" t="str">
        <f>IFERROR(_xlfn.XLOOKUP(A50,#REF!,#REF!),"")</f>
        <v/>
      </c>
      <c r="C50" t="str">
        <f>IFERROR(_xlfn.XLOOKUP(A50,#REF!,#REF!),"")</f>
        <v/>
      </c>
      <c r="D50" s="50" t="str">
        <f>IFERROR(_xlfn.XLOOKUP(A50,#REF!,#REF!),"")</f>
        <v/>
      </c>
      <c r="E50" s="50" t="str">
        <f>IFERROR(_xlfn.XLOOKUP(A50,#REF!,#REF!),"")</f>
        <v/>
      </c>
      <c r="F50" t="str">
        <f>IFERROR(_xlfn.XLOOKUP(A50,#REF!,#REF!),"")</f>
        <v/>
      </c>
      <c r="G50" s="51" t="str" cm="1">
        <f t="array" ref="G50">IFERROR(_xlfn.XLOOKUP(A50,#REF!,IF(C39="Summer",#REF!,#REF!)),"")</f>
        <v/>
      </c>
      <c r="H50" s="40" t="str">
        <f>IFERROR(Table44[[#This Row],[Impact on SAC (km2)]]/$H$3,"")</f>
        <v/>
      </c>
      <c r="I50" s="40" t="str">
        <f>IFERROR(Table44[[#This Row],[Impact on SAC (%)]]*(MIN(Table44[[#This Row],[Proposed End Date]],$F$3)-MAX(Table44[[#This Row],[Proposed Start Date]],$F$2)+1)/$H$2,"")</f>
        <v/>
      </c>
      <c r="J50" s="40" t="str">
        <f>IFERROR(Table44[[#This Row],[Impact on SAC (%)]]*Table44[[#This Row],[Proposed days]]/$H$2,"")</f>
        <v/>
      </c>
    </row>
    <row r="51" spans="2:10" x14ac:dyDescent="0.35">
      <c r="B51" t="str">
        <f>IFERROR(_xlfn.XLOOKUP(A51,#REF!,#REF!),"")</f>
        <v/>
      </c>
      <c r="C51" t="str">
        <f>IFERROR(_xlfn.XLOOKUP(A51,#REF!,#REF!),"")</f>
        <v/>
      </c>
      <c r="D51" s="50" t="str">
        <f>IFERROR(_xlfn.XLOOKUP(A51,#REF!,#REF!),"")</f>
        <v/>
      </c>
      <c r="E51" s="50" t="str">
        <f>IFERROR(_xlfn.XLOOKUP(A51,#REF!,#REF!),"")</f>
        <v/>
      </c>
      <c r="F51" t="str">
        <f>IFERROR(_xlfn.XLOOKUP(A51,#REF!,#REF!),"")</f>
        <v/>
      </c>
      <c r="G51" s="51" t="str" cm="1">
        <f t="array" ref="G51">IFERROR(_xlfn.XLOOKUP(A51,#REF!,IF(C40="Summer",#REF!,#REF!)),"")</f>
        <v/>
      </c>
      <c r="H51" s="40" t="str">
        <f>IFERROR(Table44[[#This Row],[Impact on SAC (km2)]]/$H$3,"")</f>
        <v/>
      </c>
      <c r="I51" s="40" t="str">
        <f>IFERROR(Table44[[#This Row],[Impact on SAC (%)]]*(MIN(Table44[[#This Row],[Proposed End Date]],$F$3)-MAX(Table44[[#This Row],[Proposed Start Date]],$F$2)+1)/$H$2,"")</f>
        <v/>
      </c>
      <c r="J51" s="40" t="str">
        <f>IFERROR(Table44[[#This Row],[Impact on SAC (%)]]*Table44[[#This Row],[Proposed days]]/$H$2,"")</f>
        <v/>
      </c>
    </row>
  </sheetData>
  <sheetProtection algorithmName="SHA-512" hashValue="VgT3sNLWpbskiqf6M/QVGyYN/F//ubHI/3HpsKF5I0oEfhIDsgb2IHMLWqLAGHlwDDRD0Nw+F73XCtMZveiGlw==" saltValue="PtNOnbVj2O081dulpUTFvg==" spinCount="100000" sheet="1" objects="1" scenarios="1"/>
  <mergeCells count="2">
    <mergeCell ref="C5:F5"/>
    <mergeCell ref="C8:F8"/>
  </mergeCells>
  <conditionalFormatting sqref="B52:C57">
    <cfRule type="expression" dxfId="3" priority="4">
      <formula>#REF!="No"</formula>
    </cfRule>
  </conditionalFormatting>
  <conditionalFormatting sqref="B13:G51">
    <cfRule type="expression" dxfId="2" priority="3">
      <formula>#REF!="No"</formula>
    </cfRule>
  </conditionalFormatting>
  <conditionalFormatting sqref="B58:H113">
    <cfRule type="expression" dxfId="1" priority="2">
      <formula>$H58="No"</formula>
    </cfRule>
  </conditionalFormatting>
  <conditionalFormatting sqref="H58:H113">
    <cfRule type="expression" dxfId="0" priority="1" stopIfTrue="1">
      <formula>AND($H58="Yes",ISNA($G58))</formula>
    </cfRule>
  </conditionalFormatting>
  <dataValidations count="1">
    <dataValidation type="list" allowBlank="1" showInputMessage="1" showErrorMessage="1" sqref="C2:D2" xr:uid="{E5171F32-4DF3-4BE8-AAA2-E908BF4AEDD7}">
      <formula1>"Summer,Winter"</formula1>
    </dataValidation>
  </dataValidations>
  <pageMargins left="0.7" right="0.7" top="0.75" bottom="0.75" header="0.3" footer="0.3"/>
  <headerFooter>
    <oddHeader>&amp;C&amp;"Calibri"&amp;10&amp;K000000 OFFICIAL&amp;1#_x000D_</oddHeader>
    <oddFooter>&amp;C_x000D_&amp;1#&amp;"Calibri"&amp;10&amp;K000000 OFFICIAL</oddFooter>
  </headerFooter>
  <tableParts count="1">
    <tablePart r:id="rId1"/>
  </tablePart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Core Document" ma:contentTypeID="0x0101004691A8DE0991884F8E90AD6474FC737301005DF76352B6A6D64CB8D0D451731455EB" ma:contentTypeVersion="11" ma:contentTypeDescription="Create a new document." ma:contentTypeScope="" ma:versionID="a1f9b1c3fa8e738f03f69d2fa355ffbb">
  <xsd:schema xmlns:xsd="http://www.w3.org/2001/XMLSchema" xmlns:xs="http://www.w3.org/2001/XMLSchema" xmlns:p="http://schemas.microsoft.com/office/2006/metadata/properties" xmlns:ns2="0f9fa326-da26-4ea8-b6a9-645e8136fe1d" xmlns:ns3="d9dd733d-5918-4031-8251-d30265015c80" xmlns:ns4="aaacb922-5235-4a66-b188-303b9b46fbd7" xmlns:ns5="9ff49155-5265-46e4-810b-5c4cca24d74b" targetNamespace="http://schemas.microsoft.com/office/2006/metadata/properties" ma:root="true" ma:fieldsID="93c7a3b3f6bbf289756e09acf82a2ba6" ns2:_="" ns3:_="" ns4:_="" ns5:_="">
    <xsd:import namespace="0f9fa326-da26-4ea8-b6a9-645e8136fe1d"/>
    <xsd:import namespace="d9dd733d-5918-4031-8251-d30265015c80"/>
    <xsd:import namespace="aaacb922-5235-4a66-b188-303b9b46fbd7"/>
    <xsd:import namespace="9ff49155-5265-46e4-810b-5c4cca24d74b"/>
    <xsd:element name="properties">
      <xsd:complexType>
        <xsd:sequence>
          <xsd:element name="documentManagement">
            <xsd:complexType>
              <xsd:all>
                <xsd:element ref="ns2:c6f593ada1854b629148449de059396b" minOccurs="0"/>
                <xsd:element ref="ns3:TaxCatchAll" minOccurs="0"/>
                <xsd:element ref="ns3:TaxCatchAllLabel" minOccurs="0"/>
                <xsd:element ref="ns2:m817f42addf14c9a838da36e78800043" minOccurs="0"/>
                <xsd:element ref="ns2:h573c97cf80c4aa6b446c5363dc3ac94" minOccurs="0"/>
                <xsd:element ref="ns4:LegacyData" minOccurs="0"/>
                <xsd:element ref="ns3:_dlc_DocId" minOccurs="0"/>
                <xsd:element ref="ns3:_dlc_DocIdPersistId" minOccurs="0"/>
                <xsd:element ref="ns3:_dlc_DocIdUrl" minOccurs="0"/>
                <xsd:element ref="ns5:MediaServiceMetadata" minOccurs="0"/>
                <xsd:element ref="ns5:MediaServiceFastMetadata" minOccurs="0"/>
                <xsd:element ref="ns5:MediaServiceObjectDetectorVersions" minOccurs="0"/>
                <xsd:element ref="ns3:SharedWithUsers" minOccurs="0"/>
                <xsd:element ref="ns3:SharedWithDetails" minOccurs="0"/>
                <xsd:element ref="ns5:People" minOccurs="0"/>
                <xsd:element ref="ns5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0f9fa326-da26-4ea8-b6a9-645e8136fe1d" elementFormDefault="qualified">
    <xsd:import namespace="http://schemas.microsoft.com/office/2006/documentManagement/types"/>
    <xsd:import namespace="http://schemas.microsoft.com/office/infopath/2007/PartnerControls"/>
    <xsd:element name="c6f593ada1854b629148449de059396b" ma:index="8" nillable="true" ma:taxonomy="true" ma:internalName="c6f593ada1854b629148449de059396b" ma:taxonomyFieldName="KIM_GovernmentBody" ma:displayName="Government Body" ma:default="3;#DESNZ|bb335eaf-f697-16af-0755-aa8d4628e736" ma:fieldId="{c6f593ad-a185-4b62-9148-449de059396b}" ma:sspId="9b0aeba9-2bce-41c2-8545-5d12d676a674" ma:termSetId="46784332-da01-4f4a-94fa-2a245cb438b3" ma:anchorId="00000000-0000-0000-0000-000000000000" ma:open="false" ma:isKeyword="false">
      <xsd:complexType>
        <xsd:sequence>
          <xsd:element ref="pc:Terms" minOccurs="0" maxOccurs="1"/>
        </xsd:sequence>
      </xsd:complexType>
    </xsd:element>
    <xsd:element name="m817f42addf14c9a838da36e78800043" ma:index="12" nillable="true" ma:taxonomy="true" ma:internalName="m817f42addf14c9a838da36e78800043" ma:taxonomyFieldName="KIM_Function" ma:displayName="Function" ma:default="1;#Energy supply and security|ca24af43-cb19-9c06-b7c6-7d5864afb0e5" ma:fieldId="{6817f42a-ddf1-4c9a-838d-a36e78800043}" ma:sspId="9b0aeba9-2bce-41c2-8545-5d12d676a674" ma:termSetId="8a8c3714-5ee2-45f9-8c60-591b9d070299" ma:anchorId="00000000-0000-0000-0000-000000000000" ma:open="false" ma:isKeyword="false">
      <xsd:complexType>
        <xsd:sequence>
          <xsd:element ref="pc:Terms" minOccurs="0" maxOccurs="1"/>
        </xsd:sequence>
      </xsd:complexType>
    </xsd:element>
    <xsd:element name="h573c97cf80c4aa6b446c5363dc3ac94" ma:index="14" nillable="true" ma:taxonomy="true" ma:internalName="h573c97cf80c4aa6b446c5363dc3ac94" ma:taxonomyFieldName="KIM_Activity" ma:displayName="Activity" ma:default="2;#Petroleum environmental and decomissioning regulation|ec2bd04c-7dd0-067d-ce58-52c4856b154e" ma:fieldId="{1573c97c-f80c-4aa6-b446-c5363dc3ac94}" ma:sspId="9b0aeba9-2bce-41c2-8545-5d12d676a674" ma:termSetId="5c6dcaef-f335-486f-b10e-5a74f102472a" ma:anchorId="00000000-0000-0000-0000-000000000000" ma:open="false" ma:isKeyword="false">
      <xsd:complexType>
        <xsd:sequence>
          <xsd:element ref="pc:Terms" minOccurs="0" maxOccurs="1"/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dd733d-5918-4031-8251-d30265015c80" elementFormDefault="qualified">
    <xsd:import namespace="http://schemas.microsoft.com/office/2006/documentManagement/types"/>
    <xsd:import namespace="http://schemas.microsoft.com/office/infopath/2007/PartnerControls"/>
    <xsd:element name="TaxCatchAll" ma:index="9" nillable="true" ma:displayName="Taxonomy Catch All Column" ma:hidden="true" ma:list="{4c0d808d-970e-4d6a-9407-970fd1ccd888}" ma:internalName="TaxCatchAll" ma:showField="CatchAllData" ma:web="d9dd733d-5918-4031-8251-d30265015c80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TaxCatchAllLabel" ma:index="10" nillable="true" ma:displayName="Taxonomy Catch All Column1" ma:hidden="true" ma:list="{4c0d808d-970e-4d6a-9407-970fd1ccd888}" ma:internalName="TaxCatchAllLabel" ma:readOnly="true" ma:showField="CatchAllDataLabel" ma:web="d9dd733d-5918-4031-8251-d30265015c80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_dlc_DocId" ma:index="17" nillable="true" ma:displayName="Document ID Value" ma:description="The value of the document ID assigned to this item." ma:indexed="true" ma:internalName="_dlc_DocId" ma:readOnly="true">
      <xsd:simpleType>
        <xsd:restriction base="dms:Text"/>
      </xsd:simpleType>
    </xsd:element>
    <xsd:element name="_dlc_DocIdPersistId" ma:index="18" nillable="true" ma:displayName="Persist ID" ma:description="Keep ID on add." ma:hidden="true" ma:internalName="_dlc_DocIdPersistId" ma:readOnly="true">
      <xsd:simpleType>
        <xsd:restriction base="dms:Boolean"/>
      </xsd:simpleType>
    </xsd:element>
    <xsd:element name="_dlc_DocIdUrl" ma:index="19" nillable="true" ma:displayName="Document ID" ma:description="Permanent link to this document." ma:hidden="true" ma:internalName="_dlc_DocIdUrl" ma:readOnly="true">
      <xsd:complexType>
        <xsd:complexContent>
          <xsd:extension base="dms:URL">
            <xsd:sequence>
              <xsd:element name="Url" type="dms:ValidUrl" minOccurs="0" nillable="true"/>
              <xsd:element name="Description" type="xsd:string" nillable="true"/>
            </xsd:sequence>
          </xsd:extension>
        </xsd:complexContent>
      </xsd:complexType>
    </xsd:element>
    <xsd:element name="SharedWithUsers" ma:index="23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4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aacb922-5235-4a66-b188-303b9b46fbd7" elementFormDefault="qualified">
    <xsd:import namespace="http://schemas.microsoft.com/office/2006/documentManagement/types"/>
    <xsd:import namespace="http://schemas.microsoft.com/office/infopath/2007/PartnerControls"/>
    <xsd:element name="LegacyData" ma:index="16" nillable="true" ma:displayName="Legacy Data" ma:internalName="LegacyData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9ff49155-5265-46e4-810b-5c4cca24d74b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20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21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ObjectDetectorVersions" ma:index="22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People" ma:index="25" nillable="true" ma:displayName="People" ma:description="Access" ma:format="Dropdown" ma:list="UserInfo" ma:SharePointGroup="0" ma:internalName="People">
      <xsd:complexType>
        <xsd:complexContent>
          <xsd:extension base="dms:User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MediaServiceSearchProperties" ma:index="26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spe:Receivers xmlns:spe="http://schemas.microsoft.com/sharepoint/events">
  <Receiver>
    <Name>Document ID Generator</Name>
    <Synchronization>Synchronous</Synchronization>
    <Type>10001</Type>
    <SequenceNumber>1000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10002</Type>
    <SequenceNumber>1001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10004</Type>
    <SequenceNumber>1002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10006</Type>
    <SequenceNumber>1003</SequenceNumber>
    <Url/>
    <Assembly>Microsoft.Office.DocumentManagement, Version=16.0.0.0, Culture=neutral, PublicKeyToken=71e9bce111e9429c</Assembly>
    <Class>Microsoft.Office.DocumentManagement.Internal.DocIdHandler</Class>
    <Data/>
    <Filter/>
  </Receiver>
</spe:Receiver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4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d9dd733d-5918-4031-8251-d30265015c80">
      <Value>3</Value>
      <Value>2</Value>
      <Value>1</Value>
    </TaxCatchAll>
    <People xmlns="9ff49155-5265-46e4-810b-5c4cca24d74b">
      <UserInfo>
        <DisplayName/>
        <AccountId xsi:nil="true"/>
        <AccountType/>
      </UserInfo>
    </People>
    <c6f593ada1854b629148449de059396b xmlns="0f9fa326-da26-4ea8-b6a9-645e8136fe1d">
      <Terms xmlns="http://schemas.microsoft.com/office/infopath/2007/PartnerControls">
        <TermInfo xmlns="http://schemas.microsoft.com/office/infopath/2007/PartnerControls">
          <TermName xmlns="http://schemas.microsoft.com/office/infopath/2007/PartnerControls">DESNZ</TermName>
          <TermId xmlns="http://schemas.microsoft.com/office/infopath/2007/PartnerControls">bb335eaf-f697-16af-0755-aa8d4628e736</TermId>
        </TermInfo>
      </Terms>
    </c6f593ada1854b629148449de059396b>
    <LegacyData xmlns="aaacb922-5235-4a66-b188-303b9b46fbd7" xsi:nil="true"/>
    <m817f42addf14c9a838da36e78800043 xmlns="0f9fa326-da26-4ea8-b6a9-645e8136fe1d">
      <Terms xmlns="http://schemas.microsoft.com/office/infopath/2007/PartnerControls">
        <TermInfo xmlns="http://schemas.microsoft.com/office/infopath/2007/PartnerControls">
          <TermName xmlns="http://schemas.microsoft.com/office/infopath/2007/PartnerControls">Energy supply and security</TermName>
          <TermId xmlns="http://schemas.microsoft.com/office/infopath/2007/PartnerControls">ca24af43-cb19-9c06-b7c6-7d5864afb0e5</TermId>
        </TermInfo>
      </Terms>
    </m817f42addf14c9a838da36e78800043>
    <h573c97cf80c4aa6b446c5363dc3ac94 xmlns="0f9fa326-da26-4ea8-b6a9-645e8136fe1d">
      <Terms xmlns="http://schemas.microsoft.com/office/infopath/2007/PartnerControls">
        <TermInfo xmlns="http://schemas.microsoft.com/office/infopath/2007/PartnerControls">
          <TermName xmlns="http://schemas.microsoft.com/office/infopath/2007/PartnerControls">Petroleum environmental and decomissioning regulation</TermName>
          <TermId xmlns="http://schemas.microsoft.com/office/infopath/2007/PartnerControls">ec2bd04c-7dd0-067d-ce58-52c4856b154e</TermId>
        </TermInfo>
      </Terms>
    </h573c97cf80c4aa6b446c5363dc3ac94>
    <SharedWithUsers xmlns="d9dd733d-5918-4031-8251-d30265015c80">
      <UserInfo>
        <DisplayName>Fikardos, Zia</DisplayName>
        <AccountId>450</AccountId>
        <AccountType/>
      </UserInfo>
      <UserInfo>
        <DisplayName>Hoad, Ellie</DisplayName>
        <AccountId>1032</AccountId>
        <AccountType/>
      </UserInfo>
      <UserInfo>
        <DisplayName>Kendall, Sophie</DisplayName>
        <AccountId>264</AccountId>
        <AccountType/>
      </UserInfo>
      <UserInfo>
        <DisplayName>van Loef, Mae</DisplayName>
        <AccountId>689</AccountId>
        <AccountType/>
      </UserInfo>
    </SharedWithUsers>
    <_dlc_DocId xmlns="d9dd733d-5918-4031-8251-d30265015c80">PFE5XNEKQQZ4-853025249-73136</_dlc_DocId>
    <_dlc_DocIdUrl xmlns="d9dd733d-5918-4031-8251-d30265015c80">
      <Url>https://beisgov.sharepoint.com/sites/OPREDPG-EXT-OS-SACNoiseManagementRegulatorsWorkingGroup/_layouts/15/DocIdRedir.aspx?ID=PFE5XNEKQQZ4-853025249-73136</Url>
      <Description>PFE5XNEKQQZ4-853025249-73136</Description>
    </_dlc_DocIdUrl>
  </documentManagement>
</p:properties>
</file>

<file path=customXml/itemProps1.xml><?xml version="1.0" encoding="utf-8"?>
<ds:datastoreItem xmlns:ds="http://schemas.openxmlformats.org/officeDocument/2006/customXml" ds:itemID="{72DFAA7D-5082-4DF1-AF07-0C6599BE0ED9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0f9fa326-da26-4ea8-b6a9-645e8136fe1d"/>
    <ds:schemaRef ds:uri="d9dd733d-5918-4031-8251-d30265015c80"/>
    <ds:schemaRef ds:uri="aaacb922-5235-4a66-b188-303b9b46fbd7"/>
    <ds:schemaRef ds:uri="9ff49155-5265-46e4-810b-5c4cca24d74b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983FA8E5-FAAA-4ACA-9513-ED3FC501F8FA}">
  <ds:schemaRefs>
    <ds:schemaRef ds:uri="http://schemas.microsoft.com/sharepoint/events"/>
  </ds:schemaRefs>
</ds:datastoreItem>
</file>

<file path=customXml/itemProps3.xml><?xml version="1.0" encoding="utf-8"?>
<ds:datastoreItem xmlns:ds="http://schemas.openxmlformats.org/officeDocument/2006/customXml" ds:itemID="{F08DBA72-5227-4A34-BC84-780AAADBA2D1}">
  <ds:schemaRefs>
    <ds:schemaRef ds:uri="http://schemas.microsoft.com/sharepoint/v3/contenttype/forms"/>
  </ds:schemaRefs>
</ds:datastoreItem>
</file>

<file path=customXml/itemProps4.xml><?xml version="1.0" encoding="utf-8"?>
<ds:datastoreItem xmlns:ds="http://schemas.openxmlformats.org/officeDocument/2006/customXml" ds:itemID="{A384976E-4EEB-4A5A-B745-144C688565CE}">
  <ds:schemaRefs>
    <ds:schemaRef ds:uri="aaacb922-5235-4a66-b188-303b9b46fbd7"/>
    <ds:schemaRef ds:uri="http://schemas.openxmlformats.org/package/2006/metadata/core-properties"/>
    <ds:schemaRef ds:uri="http://purl.org/dc/terms/"/>
    <ds:schemaRef ds:uri="http://schemas.microsoft.com/office/2006/metadata/properties"/>
    <ds:schemaRef ds:uri="http://schemas.microsoft.com/office/2006/documentManagement/types"/>
    <ds:schemaRef ds:uri="http://purl.org/dc/elements/1.1/"/>
    <ds:schemaRef ds:uri="http://www.w3.org/XML/1998/namespace"/>
    <ds:schemaRef ds:uri="http://schemas.microsoft.com/office/infopath/2007/PartnerControls"/>
    <ds:schemaRef ds:uri="9ff49155-5265-46e4-810b-5c4cca24d74b"/>
    <ds:schemaRef ds:uri="d9dd733d-5918-4031-8251-d30265015c80"/>
    <ds:schemaRef ds:uri="0f9fa326-da26-4ea8-b6a9-645e8136fe1d"/>
    <ds:schemaRef ds:uri="http://purl.org/dc/dcmitype/"/>
  </ds:schemaRefs>
</ds:datastoreItem>
</file>

<file path=docMetadata/LabelInfo.xml><?xml version="1.0" encoding="utf-8"?>
<clbl:labelList xmlns:clbl="http://schemas.microsoft.com/office/2020/mipLabelMetadata">
  <clbl:label id="{ba62f585-b40f-4ab9-bafe-39150f03d124}" enabled="1" method="Standard" siteId="{cbac7005-02c1-43eb-b497-e6492d1b2dd8}" removed="0"/>
</clbl:labelLis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Noisy Activities</vt:lpstr>
      <vt:lpstr>Assessment summary (New)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Kendall, Sophie (MMO)</dc:creator>
  <cp:keywords/>
  <dc:description/>
  <cp:lastModifiedBy>Herea, Iolanda (Energy Security)</cp:lastModifiedBy>
  <cp:revision/>
  <dcterms:created xsi:type="dcterms:W3CDTF">2023-04-25T10:03:35Z</dcterms:created>
  <dcterms:modified xsi:type="dcterms:W3CDTF">2026-06-22T09:17:20Z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0x0101004691A8DE0991884F8E90AD6474FC737301005DF76352B6A6D64CB8D0D451731455EB</vt:lpwstr>
  </property>
  <property fmtid="{D5CDD505-2E9C-101B-9397-08002B2CF9AE}" pid="3" name="InformationType">
    <vt:lpwstr>74;#Resource Material|25135abf-0ca8-4224-bc4a-6af7429b05d6</vt:lpwstr>
  </property>
  <property fmtid="{D5CDD505-2E9C-101B-9397-08002B2CF9AE}" pid="4" name="Distribution">
    <vt:lpwstr>9;#Internal MMO|9e54e93c-6f74-4d6d-a34c-a723f348cce8</vt:lpwstr>
  </property>
  <property fmtid="{D5CDD505-2E9C-101B-9397-08002B2CF9AE}" pid="5" name="MediaServiceImageTags">
    <vt:lpwstr/>
  </property>
  <property fmtid="{D5CDD505-2E9C-101B-9397-08002B2CF9AE}" pid="6" name="HOCopyrightLevel">
    <vt:lpwstr>7;#Crown|69589897-2828-4761-976e-717fd8e631c9</vt:lpwstr>
  </property>
  <property fmtid="{D5CDD505-2E9C-101B-9397-08002B2CF9AE}" pid="7" name="HOGovernmentSecurityClassification">
    <vt:lpwstr>6;#Official|14c80daa-741b-422c-9722-f71693c9ede4</vt:lpwstr>
  </property>
  <property fmtid="{D5CDD505-2E9C-101B-9397-08002B2CF9AE}" pid="8" name="HOSiteType">
    <vt:lpwstr>10;#Team|ff0485df-0575-416f-802f-e999165821b7</vt:lpwstr>
  </property>
  <property fmtid="{D5CDD505-2E9C-101B-9397-08002B2CF9AE}" pid="9" name="OrganisationalUnit">
    <vt:lpwstr>8;#MMO|3dd1941a-77ab-4417-a830-fb2a710a0fe0</vt:lpwstr>
  </property>
  <property fmtid="{D5CDD505-2E9C-101B-9397-08002B2CF9AE}" pid="10" name="Status">
    <vt:lpwstr>;#Draft;#</vt:lpwstr>
  </property>
  <property fmtid="{D5CDD505-2E9C-101B-9397-08002B2CF9AE}" pid="11" name="SharedWithUsers">
    <vt:lpwstr>450;#Fikardos, Zia;#1032;#Hoad, Ellie;#264;#Kendall, Sophie;#689;#van Loef, Mae</vt:lpwstr>
  </property>
  <property fmtid="{D5CDD505-2E9C-101B-9397-08002B2CF9AE}" pid="12" name="KIM_Activity">
    <vt:lpwstr>2;#Petroleum environmental and decomissioning regulation|ec2bd04c-7dd0-067d-ce58-52c4856b154e</vt:lpwstr>
  </property>
  <property fmtid="{D5CDD505-2E9C-101B-9397-08002B2CF9AE}" pid="13" name="_dlc_DocIdItemGuid">
    <vt:lpwstr>73a41f2e-ff0c-4df2-a5cb-bbca2621fd31</vt:lpwstr>
  </property>
  <property fmtid="{D5CDD505-2E9C-101B-9397-08002B2CF9AE}" pid="14" name="KIM_GovernmentBody">
    <vt:lpwstr>3;#DESNZ|bb335eaf-f697-16af-0755-aa8d4628e736</vt:lpwstr>
  </property>
  <property fmtid="{D5CDD505-2E9C-101B-9397-08002B2CF9AE}" pid="15" name="KIM_Function">
    <vt:lpwstr>1;#Energy supply and security|ca24af43-cb19-9c06-b7c6-7d5864afb0e5</vt:lpwstr>
  </property>
</Properties>
</file>