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02279A6E-B3F3-4A4B-B8A7-8595A2C19AE7}" xr6:coauthVersionLast="47" xr6:coauthVersionMax="47" xr10:uidLastSave="{00000000-0000-0000-0000-000000000000}"/>
  <bookViews>
    <workbookView xWindow="28680" yWindow="-820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2" i="14" l="1"/>
  <c r="U52" i="14" s="1"/>
  <c r="T52" i="14"/>
  <c r="V52" i="14" s="1"/>
  <c r="S43" i="14"/>
  <c r="W43" i="14" s="1"/>
  <c r="T43" i="14"/>
  <c r="V43" i="14" s="1"/>
  <c r="T51" i="14"/>
  <c r="S51" i="14"/>
  <c r="S50" i="14"/>
  <c r="T50" i="14"/>
  <c r="V50" i="14" s="1"/>
  <c r="T35" i="14"/>
  <c r="T34" i="14"/>
  <c r="S16" i="14"/>
  <c r="U16" i="14" s="1"/>
  <c r="T16" i="14"/>
  <c r="V16" i="14" s="1"/>
  <c r="T6" i="14"/>
  <c r="X6" i="14" s="1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4" i="14"/>
  <c r="T45" i="14"/>
  <c r="T46" i="14"/>
  <c r="T47" i="14"/>
  <c r="T48" i="14"/>
  <c r="T49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4" i="14"/>
  <c r="S45" i="14"/>
  <c r="S46" i="14"/>
  <c r="S47" i="14"/>
  <c r="S48" i="14"/>
  <c r="S49" i="14"/>
  <c r="U43" i="14" l="1"/>
  <c r="X50" i="14"/>
  <c r="X52" i="14"/>
  <c r="W52" i="14"/>
  <c r="X43" i="14"/>
  <c r="W50" i="14"/>
  <c r="U50" i="14"/>
  <c r="W51" i="14"/>
  <c r="U51" i="14"/>
  <c r="X51" i="14"/>
  <c r="V51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9" i="14" l="1"/>
  <c r="X49" i="14"/>
  <c r="V48" i="14"/>
  <c r="X48" i="14"/>
  <c r="V47" i="14"/>
  <c r="X47" i="14"/>
  <c r="V46" i="14"/>
  <c r="X46" i="14"/>
  <c r="V45" i="14"/>
  <c r="X45" i="14"/>
  <c r="V44" i="14"/>
  <c r="X44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U49" i="14"/>
  <c r="W49" i="14"/>
  <c r="U48" i="14"/>
  <c r="W48" i="14"/>
  <c r="U47" i="14"/>
  <c r="W47" i="14"/>
  <c r="U46" i="14"/>
  <c r="W46" i="14"/>
  <c r="U45" i="14"/>
  <c r="W45" i="14"/>
  <c r="U44" i="14"/>
  <c r="W44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<sst xmlns="http://schemas.openxmlformats.org/spreadsheetml/2006/main" count="412" uniqueCount="183">
  <si>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</si>
  <si>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</si>
  <si>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</si>
  <si>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</si>
  <si>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</si>
  <si>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</si>
  <si>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</si>
  <si>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</si>
  <si>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</si>
  <si>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</si>
  <si>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</si>
  <si>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</si>
  <si>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</si>
  <si>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</si>
  <si>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</si>
  <si>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</si>
  <si>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</si>
  <si>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</si>
  <si>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</si>
  <si>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</si>
  <si>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</si>
  <si>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</si>
  <si>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</si>
  <si>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</si>
  <si>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</si>
  <si>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</si>
  <si>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</si>
  <si>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</si>
  <si>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</si>
  <si>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</si>
  <si>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</si>
  <si>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</si>
  <si>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</si>
  <si>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</si>
  <si>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</si>
  <si>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</si>
  <si>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</si>
  <si>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</si>
  <si>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</si>
  <si>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</si>
  <si>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</si>
  <si>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</si>
  <si>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</si>
  <si>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</si>
  <si>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</si>
  <si>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</si>
  <si>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</si>
  <si>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</si>
  <si>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</si>
  <si>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</si>
  <si>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</si>
  <si>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</si>
  <si>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</si>
  <si>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</si>
  <si>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</si>
  <si>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</si>
  <si>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</si>
  <si>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</si>
  <si>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</si>
  <si>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</si>
  <si>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</si>
  <si>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</si>
  <si>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</si>
  <si>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</si>
  <si>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</si>
  <si>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</si>
  <si>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</si>
  <si>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</si>
  <si>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</si>
  <si>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</si>
  <si>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</si>
  <si>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</si>
  <si>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</si>
  <si>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</si>
  <si>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</si>
  <si>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</si>
  <si>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</si>
  <si>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</si>
  <si>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</si>
  <si>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</si>
  <si>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</si>
  <si>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</si>
  <si>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</si>
  <si>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</si>
  <si>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</si>
  <si>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</si>
  <si>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</si>
  <si>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</si>
  <si>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</si>
  <si>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</si>
  <si>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</si>
  <si>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</si>
  <si>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</si>
  <si>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</si>
  <si>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</si>
  <si>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</si>
  <si>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</si>
  <si>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</si>
  <si>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</si>
  <si>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</si>
  <si>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</si>
  <si>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</si>
  <si>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</si>
  <si>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</si>
  <si>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</si>
  <si>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Cygnus - Conductor Driving of the 44/12a-AFF Well</t>
  </si>
  <si>
    <t>Ithaca (NE) E&amp;P Ltd</t>
  </si>
  <si>
    <t>Other</t>
  </si>
  <si>
    <t>44/12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</si>
  <si>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</si>
  <si>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</si>
  <si>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</si>
  <si>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</si>
  <si>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</si>
  <si>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</si>
  <si>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</si>
  <si>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</si>
  <si>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</si>
  <si>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</si>
  <si>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</si>
  <si>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</si>
  <si>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</si>
  <si>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</si>
  <si>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</si>
  <si>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</si>
  <si>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</si>
  <si>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</si>
  <si>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</si>
  <si>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</si>
  <si>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</si>
  <si>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</si>
  <si>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</si>
  <si>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</si>
  <si>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Conductor Piling</t>
  </si>
  <si>
    <t>Soft start, marine mammal observer</t>
  </si>
  <si>
    <t>Hoton Platform - New Well Conductor</t>
  </si>
  <si>
    <t>Perenco</t>
  </si>
  <si>
    <t>Platypus</t>
  </si>
  <si>
    <t>GS/1976/0</t>
  </si>
  <si>
    <t>Harbour Energy - Geophysical Survey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</si>
  <si>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</si>
  <si>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</si>
  <si>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</si>
  <si>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</si>
  <si>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 - CANCELLED</t>
  </si>
  <si>
    <t>NEP Expansion (C5025) Seismic Survey - CANCELLED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</si>
  <si>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</si>
  <si>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</si>
  <si>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</si>
  <si>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</si>
  <si>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</si>
  <si>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</si>
  <si>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</si>
  <si>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</si>
  <si>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</si>
  <si>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</si>
  <si>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</si>
  <si>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</si>
  <si>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</si>
  <si>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2026 Conductor driving (slot) Cygnus A Wellhead Platform</t>
  </si>
  <si>
    <t>DR/2628/0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</si>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</sst>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0" fontId="0" fillId="15" borderId="16" xfId="0" applyFill="1" applyBorder="1" applyProtection="1"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0" fontId="0" fillId="10" borderId="15" xfId="0" applyFill="1" applyBorder="1" applyAlignment="1" applyProtection="1">
      <alignment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35" xfId="0" applyFill="1" applyBorder="1" applyAlignment="1" applyProtection="1">
      <alignment vertical="center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52" totalsRowShown="0" headerRowDxfId="49" dataDxfId="47" headerRowBorderDxfId="48" tableBorderDxfId="46">
  <sortState xmlns:xlrd2="http://schemas.microsoft.com/office/spreadsheetml/2017/richdata2" ref="A6:Y51">
    <sortCondition ref="Y5:Y51"/>
  </sortState>
  <tableColumns count="25">
    <tableColumn id="5" xr3:uid="{925033C0-1E6A-4B55-8C0E-2A01A64510A6}" name="Project/Activity Name" dataDxfId="45"/>
    <tableColumn id="7" xr3:uid="{6FBB07DB-2F2B-4881-A3A5-1674E8B8B2E2}" name="Applicant" dataDxfId="44"/>
    <tableColumn id="6" xr3:uid="{300F4350-CA5B-469F-AA6F-9F7F2B4E0266}" name="Regulator" dataDxfId="43"/>
    <tableColumn id="13" xr3:uid="{99CAAD7D-055D-4DA1-9F66-6B629D0AC57F}" name="Activity Type" dataDxfId="42"/>
    <tableColumn id="15" xr3:uid="{9F28C95D-8DD1-4830-80C5-B1015D46C787}" name="Which seasonal area of the SAC does this activity impact?" dataDxfId="41"/>
    <tableColumn id="24" xr3:uid="{DDB37C96-B96B-4002-B571-80E7252C0D12}" name="Quad/Block_x000a_(OPRED only)" dataDxfId="40"/>
    <tableColumn id="1" xr3:uid="{A6214B7B-6DF3-483F-848A-ABB549763EF4}" name="Case Reference" dataDxfId="39"/>
    <tableColumn id="26" xr3:uid="{B6518643-A800-411D-ADAE-733D9D8F5E16}" name="Wildlife Licence Reference" dataDxfId="38"/>
    <tableColumn id="4" xr3:uid="{840E864E-2B92-4F43-9F26-B212D5B1E390}" name="Case Status" dataDxfId="37"/>
    <tableColumn id="3" xr3:uid="{DC4A56A0-494C-494C-B196-DFA8DA1E7F0C}" name="Tracker Last Updated" dataDxfId="36"/>
    <tableColumn id="10" xr3:uid="{51F1810E-D4C4-410A-9E97-A9F1047E065D}" name="Start Date" dataDxfId="35"/>
    <tableColumn id="11" xr3:uid="{AF6FE6ED-3C4F-4713-A7D7-324F967EAB9D}" name="End Date" dataDxfId="34"/>
    <tableColumn id="12" xr3:uid="{4D9B6AB6-D613-4949-8C6D-6E933CC092F7}" name="Duration of Activity Impacting SAC (days)" dataDxfId="33"/>
    <tableColumn id="25" xr3:uid="{A1C1BA4E-A0E2-4EFD-BC00-92236C8B8ACD}" name="Area Overlap with SAC (km2)" dataDxfId="32"/>
    <tableColumn id="18" xr3:uid="{2FE19C17-2277-4F3C-9747-B4F55AD1B0B8}" name="Magnitude_x000a_(OPRED only)" dataDxfId="31"/>
    <tableColumn id="8" xr3:uid="{6C246670-77CE-474B-AE5B-3CC1803742C7}" name="Area Overlap with Summer SAC (km2) (NEW)" dataDxfId="30"/>
    <tableColumn id="14" xr3:uid="{2A3EED6C-4C94-4FE9-879B-5E4DEEA3245D}" name="Area Overlap with Winter SAC (km2) (NEW)" dataDxfId="29"/>
    <tableColumn id="16" xr3:uid="{96F810BE-FCDB-43B4-B983-D6137C44FE15}" name="Abatement/Mitigation_x000a_(MMO only)" dataDxfId="28"/>
    <tableColumn id="19" xr3:uid="{389684A2-0D5E-4DF1-9667-148D02562C30}" name="Include in Winter Calendar" dataDxfId="27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26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25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4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3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2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0">
  <autoFilter ref="B12:J51" xr:uid="{02B4AB80-8AC4-47D5-8C15-7A71D7753D4B}"/>
  <tableColumns count="9">
    <tableColumn id="1" xr3:uid="{89973DC1-CE94-4249-BAA1-87C40CF0932A}" name="Project name" dataDxfId="19">
      <calculatedColumnFormula>IFERROR(_xlfn.XLOOKUP(A13,Table13[TrackerID],Table13[Project/Activity Name]),"")</calculatedColumnFormula>
    </tableColumn>
    <tableColumn id="2" xr3:uid="{3F54B527-6D35-48DF-9B5A-F52425B1A0BF}" name="Activity Type" dataDxfId="18">
      <calculatedColumnFormula>IFERROR(_xlfn.XLOOKUP(A13,Table13[TrackerID],Table13[Activity Type]),"")</calculatedColumnFormula>
    </tableColumn>
    <tableColumn id="3" xr3:uid="{B9B4775D-287F-4987-A48A-F9A2D9397551}" name="Proposed Start Date" dataDxfId="17">
      <calculatedColumnFormula>IFERROR(_xlfn.XLOOKUP(A13,Table13[TrackerID],Table13[Start Date]),"")</calculatedColumnFormula>
    </tableColumn>
    <tableColumn id="4" xr3:uid="{7F51CC69-4F0D-4AC1-AAF7-0D1D7DC1BE5F}" name="Proposed End Date" dataDxfId="16">
      <calculatedColumnFormula>IFERROR(_xlfn.XLOOKUP(A13,Table13[TrackerID],Table13[End Date]),"")</calculatedColumnFormula>
    </tableColumn>
    <tableColumn id="5" xr3:uid="{C540FF98-981C-4A62-840F-411477A4FCD3}" name="Proposed days" dataDxfId="15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4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3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2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1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52"/>
  <sheetViews>
    <sheetView tabSelected="1" zoomScale="60" zoomScaleNormal="60" workbookViewId="0">
      <selection activeCell="B3" sqref="B3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41" t="s">
        <v>0</v>
      </c>
      <c r="B2" s="11"/>
      <c r="C2" s="143" t="s">
        <v>1</v>
      </c>
      <c r="D2" s="144"/>
      <c r="E2" s="145"/>
      <c r="F2" s="23"/>
      <c r="G2" s="146" t="s">
        <v>2</v>
      </c>
      <c r="H2" s="12">
        <v>45931</v>
      </c>
      <c r="I2" s="148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42"/>
      <c r="B3" s="11"/>
      <c r="C3" s="150" t="s">
        <v>6</v>
      </c>
      <c r="D3" s="151"/>
      <c r="E3" s="152"/>
      <c r="F3" s="23"/>
      <c r="G3" s="147"/>
      <c r="H3" s="13">
        <v>46112</v>
      </c>
      <c r="I3" s="149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 x14ac:dyDescent="0.35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 x14ac:dyDescent="0.35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 x14ac:dyDescent="0.35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 x14ac:dyDescent="0.35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 x14ac:dyDescent="0.35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 x14ac:dyDescent="0.35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 x14ac:dyDescent="0.35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 x14ac:dyDescent="0.35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 x14ac:dyDescent="0.35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 x14ac:dyDescent="0.35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 x14ac:dyDescent="0.35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 x14ac:dyDescent="0.35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 x14ac:dyDescent="0.35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5" customHeight="1" x14ac:dyDescent="0.35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5" customHeight="1" x14ac:dyDescent="0.35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 x14ac:dyDescent="0.35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 x14ac:dyDescent="0.35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 x14ac:dyDescent="0.35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 x14ac:dyDescent="0.35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40</v>
      </c>
      <c r="J24" s="82">
        <v>45853</v>
      </c>
      <c r="K24" s="8">
        <v>45658</v>
      </c>
      <c r="L24" s="8">
        <v>45858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 x14ac:dyDescent="0.35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40</v>
      </c>
      <c r="J25" s="82">
        <v>45853</v>
      </c>
      <c r="K25" s="8">
        <v>45686</v>
      </c>
      <c r="L25" s="8">
        <v>45858</v>
      </c>
      <c r="M25" s="10">
        <v>365</v>
      </c>
      <c r="N25" s="10">
        <v>1.56E-4</v>
      </c>
      <c r="O25" s="96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 x14ac:dyDescent="0.35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 x14ac:dyDescent="0.35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 x14ac:dyDescent="0.35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 x14ac:dyDescent="0.35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 x14ac:dyDescent="0.35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 x14ac:dyDescent="0.35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40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 x14ac:dyDescent="0.35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40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 x14ac:dyDescent="0.35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40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" x14ac:dyDescent="0.35">
      <c r="A34" s="74" t="s">
        <v>126</v>
      </c>
      <c r="B34" s="77" t="s">
        <v>127</v>
      </c>
      <c r="C34" s="30" t="s">
        <v>36</v>
      </c>
      <c r="D34" s="30" t="s">
        <v>55</v>
      </c>
      <c r="E34" s="31" t="s">
        <v>86</v>
      </c>
      <c r="F34" s="78"/>
      <c r="G34" s="26" t="s">
        <v>128</v>
      </c>
      <c r="H34" s="28"/>
      <c r="I34" s="95" t="s">
        <v>129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" x14ac:dyDescent="0.35">
      <c r="A35" s="74" t="s">
        <v>126</v>
      </c>
      <c r="B35" s="77" t="s">
        <v>127</v>
      </c>
      <c r="C35" s="30" t="s">
        <v>36</v>
      </c>
      <c r="D35" s="30" t="s">
        <v>55</v>
      </c>
      <c r="E35" s="31" t="s">
        <v>86</v>
      </c>
      <c r="F35" s="78"/>
      <c r="G35" s="26" t="s">
        <v>128</v>
      </c>
      <c r="H35" s="28"/>
      <c r="I35" s="80" t="s">
        <v>129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29" x14ac:dyDescent="0.35">
      <c r="A36" s="74" t="s">
        <v>131</v>
      </c>
      <c r="B36" s="77" t="s">
        <v>132</v>
      </c>
      <c r="C36" s="30" t="s">
        <v>61</v>
      </c>
      <c r="D36" s="30" t="s">
        <v>133</v>
      </c>
      <c r="E36" s="31" t="s">
        <v>38</v>
      </c>
      <c r="F36" s="78"/>
      <c r="G36" s="26"/>
      <c r="H36" s="94"/>
      <c r="I36" s="80" t="s">
        <v>129</v>
      </c>
      <c r="J36" s="82">
        <v>45908</v>
      </c>
      <c r="K36" s="8">
        <v>46204</v>
      </c>
      <c r="L36" s="8">
        <v>46295</v>
      </c>
      <c r="M36" s="10">
        <v>3</v>
      </c>
      <c r="N36" s="10">
        <v>78.540000000000006</v>
      </c>
      <c r="O36" s="43"/>
      <c r="P36" s="38"/>
      <c r="Q36" s="38"/>
      <c r="R36" s="9" t="s">
        <v>134</v>
      </c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0.2905875388486015</v>
      </c>
      <c r="Y36" s="61">
        <v>56</v>
      </c>
    </row>
    <row r="37" spans="1:25" ht="29" x14ac:dyDescent="0.35">
      <c r="A37" s="74" t="s">
        <v>135</v>
      </c>
      <c r="B37" s="77" t="s">
        <v>136</v>
      </c>
      <c r="C37" s="30" t="s">
        <v>61</v>
      </c>
      <c r="D37" s="30" t="s">
        <v>133</v>
      </c>
      <c r="E37" s="31" t="s">
        <v>38</v>
      </c>
      <c r="F37" s="78"/>
      <c r="G37" s="26"/>
      <c r="H37" s="28"/>
      <c r="I37" s="80" t="s">
        <v>129</v>
      </c>
      <c r="J37" s="82">
        <v>45908</v>
      </c>
      <c r="K37" s="8">
        <v>46141</v>
      </c>
      <c r="L37" s="8">
        <v>46151</v>
      </c>
      <c r="M37" s="10">
        <v>3</v>
      </c>
      <c r="N37" s="10">
        <v>78.540000000000006</v>
      </c>
      <c r="O37" s="43"/>
      <c r="P37" s="38"/>
      <c r="Q37" s="38"/>
      <c r="R37" s="9" t="s">
        <v>134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0.2905875388486015</v>
      </c>
      <c r="Y37" s="64">
        <v>57</v>
      </c>
    </row>
    <row r="38" spans="1:25" ht="18.5" x14ac:dyDescent="0.35">
      <c r="A38" s="74" t="s">
        <v>137</v>
      </c>
      <c r="B38" s="77" t="s">
        <v>136</v>
      </c>
      <c r="C38" s="30" t="s">
        <v>61</v>
      </c>
      <c r="D38" s="30" t="s">
        <v>44</v>
      </c>
      <c r="E38" s="31" t="s">
        <v>38</v>
      </c>
      <c r="F38" s="78"/>
      <c r="G38" s="26" t="s">
        <v>138</v>
      </c>
      <c r="H38" s="28"/>
      <c r="I38" s="80" t="s">
        <v>40</v>
      </c>
      <c r="J38" s="82">
        <v>45915</v>
      </c>
      <c r="K38" s="8">
        <v>45915</v>
      </c>
      <c r="L38" s="8">
        <v>45930</v>
      </c>
      <c r="M38" s="10">
        <v>15</v>
      </c>
      <c r="N38" s="10">
        <v>275.2</v>
      </c>
      <c r="O38" s="43"/>
      <c r="P38" s="38"/>
      <c r="Q38" s="38"/>
      <c r="R38" s="10"/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1.0182033446795915</v>
      </c>
      <c r="Y38" s="61">
        <v>61</v>
      </c>
    </row>
    <row r="39" spans="1:25" ht="18.5" x14ac:dyDescent="0.35">
      <c r="A39" s="74" t="s">
        <v>139</v>
      </c>
      <c r="B39" s="77"/>
      <c r="C39" s="30" t="s">
        <v>61</v>
      </c>
      <c r="D39" s="30" t="s">
        <v>44</v>
      </c>
      <c r="E39" s="31" t="s">
        <v>86</v>
      </c>
      <c r="F39" s="78"/>
      <c r="G39" s="26"/>
      <c r="H39" s="28"/>
      <c r="I39" s="80" t="s">
        <v>40</v>
      </c>
      <c r="J39" s="82">
        <v>45951</v>
      </c>
      <c r="K39" s="8">
        <v>46023</v>
      </c>
      <c r="L39" s="8">
        <v>46203</v>
      </c>
      <c r="M39" s="10"/>
      <c r="N39" s="10"/>
      <c r="O39" s="43"/>
      <c r="P39" s="38"/>
      <c r="Q39" s="38"/>
      <c r="R39" s="10"/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0</v>
      </c>
      <c r="Y39" s="61">
        <v>62</v>
      </c>
    </row>
    <row r="40" spans="1:25" ht="43.5" x14ac:dyDescent="0.35">
      <c r="A40" s="74" t="s">
        <v>140</v>
      </c>
      <c r="B40" s="77" t="s">
        <v>60</v>
      </c>
      <c r="C40" s="30" t="s">
        <v>61</v>
      </c>
      <c r="D40" s="30" t="s">
        <v>57</v>
      </c>
      <c r="E40" s="31" t="s">
        <v>38</v>
      </c>
      <c r="F40" s="78"/>
      <c r="G40" s="26"/>
      <c r="H40" s="26"/>
      <c r="I40" s="80" t="s">
        <v>129</v>
      </c>
      <c r="J40" s="82">
        <v>45966</v>
      </c>
      <c r="K40" s="8">
        <v>46113</v>
      </c>
      <c r="L40" s="8">
        <v>46295</v>
      </c>
      <c r="M40" s="10">
        <v>10</v>
      </c>
      <c r="N40" s="10">
        <v>100</v>
      </c>
      <c r="O40" s="43"/>
      <c r="P40" s="38"/>
      <c r="Q40" s="38"/>
      <c r="R40" s="9" t="s">
        <v>141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0.36998668047950273</v>
      </c>
      <c r="Y40" s="61">
        <v>65</v>
      </c>
    </row>
    <row r="41" spans="1:25" ht="43.5" x14ac:dyDescent="0.35">
      <c r="A41" s="74" t="s">
        <v>142</v>
      </c>
      <c r="B41" s="77" t="s">
        <v>60</v>
      </c>
      <c r="C41" s="30" t="s">
        <v>61</v>
      </c>
      <c r="D41" s="30" t="s">
        <v>74</v>
      </c>
      <c r="E41" s="31" t="s">
        <v>38</v>
      </c>
      <c r="F41" s="78"/>
      <c r="G41" s="26"/>
      <c r="H41" s="26"/>
      <c r="I41" s="80" t="s">
        <v>129</v>
      </c>
      <c r="J41" s="82">
        <v>45966</v>
      </c>
      <c r="K41" s="8">
        <v>46113</v>
      </c>
      <c r="L41" s="8">
        <v>46295</v>
      </c>
      <c r="M41" s="10">
        <v>3</v>
      </c>
      <c r="N41" s="10">
        <v>1950</v>
      </c>
      <c r="O41" s="43"/>
      <c r="P41" s="38"/>
      <c r="Q41" s="38"/>
      <c r="R41" s="9" t="s">
        <v>141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7.2147402693503038</v>
      </c>
      <c r="Y41" s="64">
        <v>66</v>
      </c>
    </row>
    <row r="42" spans="1:25" ht="43.5" x14ac:dyDescent="0.35">
      <c r="A42" s="74" t="s">
        <v>143</v>
      </c>
      <c r="B42" s="77" t="s">
        <v>60</v>
      </c>
      <c r="C42" s="30" t="s">
        <v>61</v>
      </c>
      <c r="D42" s="30" t="s">
        <v>44</v>
      </c>
      <c r="E42" s="31" t="s">
        <v>38</v>
      </c>
      <c r="F42" s="78"/>
      <c r="G42" s="26"/>
      <c r="H42" s="26"/>
      <c r="I42" s="80" t="s">
        <v>129</v>
      </c>
      <c r="J42" s="82">
        <v>45966</v>
      </c>
      <c r="K42" s="8">
        <v>46143</v>
      </c>
      <c r="L42" s="8">
        <v>46203</v>
      </c>
      <c r="M42" s="10">
        <v>5</v>
      </c>
      <c r="N42" s="10">
        <v>650</v>
      </c>
      <c r="O42" s="43"/>
      <c r="P42" s="38"/>
      <c r="Q42" s="38"/>
      <c r="R42" s="9" t="s">
        <v>141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2.4049134231167679</v>
      </c>
      <c r="Y42" s="61">
        <v>67</v>
      </c>
    </row>
    <row r="43" spans="1:25" s="134" customFormat="1" ht="43.5" x14ac:dyDescent="0.35">
      <c r="A43" s="118" t="s">
        <v>144</v>
      </c>
      <c r="B43" s="119" t="s">
        <v>60</v>
      </c>
      <c r="C43" s="120" t="s">
        <v>61</v>
      </c>
      <c r="D43" s="120" t="s">
        <v>55</v>
      </c>
      <c r="E43" s="121" t="s">
        <v>38</v>
      </c>
      <c r="F43" s="122"/>
      <c r="G43" s="120"/>
      <c r="H43" s="123"/>
      <c r="I43" s="124"/>
      <c r="J43" s="125">
        <v>45966</v>
      </c>
      <c r="K43" s="126">
        <v>46204</v>
      </c>
      <c r="L43" s="126">
        <v>46265</v>
      </c>
      <c r="M43" s="120">
        <v>0</v>
      </c>
      <c r="N43" s="120">
        <v>0</v>
      </c>
      <c r="O43" s="127"/>
      <c r="P43" s="121"/>
      <c r="Q43" s="121"/>
      <c r="R43" s="128" t="s">
        <v>141</v>
      </c>
      <c r="S43" s="12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13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131">
        <f>IF(Table13[[#This Row],[Include in Winter Calendar]],Table13[[#This Row],[Area Overlap with Winter SAC (km2) (NEW)]]*100/$M$3,0)</f>
        <v>0</v>
      </c>
      <c r="V43" s="131">
        <f>IF(Table13[[#This Row],[Include in Summer Calendar]],Table13[[#This Row],[Area Overlap with Summer SAC (km2) (NEW)]]*100/$M$2,0)</f>
        <v>0</v>
      </c>
      <c r="W43" s="132">
        <f>IF(Table13[[#This Row],[Include in Winter Calendar]],Table13[[#This Row],[Area Overlap with SAC (km2)]]*100/$M$3,0)</f>
        <v>0</v>
      </c>
      <c r="X43" s="132">
        <f>IF(Table13[[#This Row],[Include in Summer Calendar]],Table13[[#This Row],[Area Overlap with SAC (km2)]]*100/$M$2,0)</f>
        <v>0</v>
      </c>
      <c r="Y43" s="133">
        <v>68</v>
      </c>
    </row>
    <row r="44" spans="1:25" s="134" customFormat="1" ht="58" x14ac:dyDescent="0.35">
      <c r="A44" s="118" t="s">
        <v>145</v>
      </c>
      <c r="B44" s="119" t="s">
        <v>60</v>
      </c>
      <c r="C44" s="120" t="s">
        <v>61</v>
      </c>
      <c r="D44" s="120" t="s">
        <v>80</v>
      </c>
      <c r="E44" s="121" t="s">
        <v>38</v>
      </c>
      <c r="F44" s="122"/>
      <c r="G44" s="120"/>
      <c r="H44" s="120"/>
      <c r="I44" s="124"/>
      <c r="J44" s="125">
        <v>45966</v>
      </c>
      <c r="K44" s="126">
        <v>46113</v>
      </c>
      <c r="L44" s="126">
        <v>46203</v>
      </c>
      <c r="M44" s="120">
        <v>0</v>
      </c>
      <c r="N44" s="120">
        <v>0</v>
      </c>
      <c r="O44" s="127"/>
      <c r="P44" s="121"/>
      <c r="Q44" s="121"/>
      <c r="R44" s="128" t="s">
        <v>146</v>
      </c>
      <c r="S44" s="12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13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131">
        <f>IF(Table13[[#This Row],[Include in Winter Calendar]],Table13[[#This Row],[Area Overlap with Winter SAC (km2) (NEW)]]*100/$M$3,0)</f>
        <v>0</v>
      </c>
      <c r="V44" s="131">
        <f>IF(Table13[[#This Row],[Include in Summer Calendar]],Table13[[#This Row],[Area Overlap with Summer SAC (km2) (NEW)]]*100/$M$2,0)</f>
        <v>0</v>
      </c>
      <c r="W44" s="132">
        <f>IF(Table13[[#This Row],[Include in Winter Calendar]],Table13[[#This Row],[Area Overlap with SAC (km2)]]*100/$M$3,0)</f>
        <v>0</v>
      </c>
      <c r="X44" s="132">
        <f>IF(Table13[[#This Row],[Include in Summer Calendar]],Table13[[#This Row],[Area Overlap with SAC (km2)]]*100/$M$2,0)</f>
        <v>0</v>
      </c>
      <c r="Y44" s="133">
        <v>69</v>
      </c>
    </row>
    <row r="45" spans="1:25" ht="58" x14ac:dyDescent="0.35">
      <c r="A45" s="74" t="s">
        <v>147</v>
      </c>
      <c r="B45" s="77" t="s">
        <v>60</v>
      </c>
      <c r="C45" s="30" t="s">
        <v>61</v>
      </c>
      <c r="D45" s="30" t="s">
        <v>80</v>
      </c>
      <c r="E45" s="31" t="s">
        <v>38</v>
      </c>
      <c r="F45" s="78"/>
      <c r="G45" s="26"/>
      <c r="H45" s="26"/>
      <c r="I45" s="80" t="s">
        <v>129</v>
      </c>
      <c r="J45" s="82">
        <v>45966</v>
      </c>
      <c r="K45" s="8">
        <v>46113</v>
      </c>
      <c r="L45" s="8">
        <v>46295</v>
      </c>
      <c r="M45" s="10">
        <v>3</v>
      </c>
      <c r="N45" s="10">
        <v>450</v>
      </c>
      <c r="O45" s="43"/>
      <c r="P45" s="38"/>
      <c r="Q45" s="38"/>
      <c r="R45" s="9" t="s">
        <v>148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1.6649400621577624</v>
      </c>
      <c r="Y45" s="61">
        <v>70</v>
      </c>
    </row>
    <row r="46" spans="1:25" ht="58" x14ac:dyDescent="0.35">
      <c r="A46" s="74" t="s">
        <v>149</v>
      </c>
      <c r="B46" s="77" t="s">
        <v>60</v>
      </c>
      <c r="C46" s="30" t="s">
        <v>61</v>
      </c>
      <c r="D46" s="30" t="s">
        <v>80</v>
      </c>
      <c r="E46" s="31" t="s">
        <v>38</v>
      </c>
      <c r="F46" s="78"/>
      <c r="G46" s="26"/>
      <c r="H46" s="26"/>
      <c r="I46" s="80" t="s">
        <v>129</v>
      </c>
      <c r="J46" s="82">
        <v>45966</v>
      </c>
      <c r="K46" s="8">
        <v>46113</v>
      </c>
      <c r="L46" s="8">
        <v>46203</v>
      </c>
      <c r="M46" s="10">
        <v>2</v>
      </c>
      <c r="N46" s="10">
        <v>800</v>
      </c>
      <c r="O46" s="43"/>
      <c r="P46" s="38"/>
      <c r="Q46" s="38"/>
      <c r="R46" s="9" t="s">
        <v>146</v>
      </c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2.9598934438360218</v>
      </c>
      <c r="Y46" s="61">
        <v>71</v>
      </c>
    </row>
    <row r="47" spans="1:25" ht="18.5" x14ac:dyDescent="0.35">
      <c r="A47" s="74" t="s">
        <v>150</v>
      </c>
      <c r="B47" s="77" t="s">
        <v>98</v>
      </c>
      <c r="C47" s="30" t="s">
        <v>36</v>
      </c>
      <c r="D47" s="30" t="s">
        <v>74</v>
      </c>
      <c r="E47" s="31" t="s">
        <v>38</v>
      </c>
      <c r="F47" s="78"/>
      <c r="G47" s="26" t="s">
        <v>151</v>
      </c>
      <c r="H47" s="26"/>
      <c r="I47" s="80" t="s">
        <v>129</v>
      </c>
      <c r="J47" s="82">
        <v>45951</v>
      </c>
      <c r="K47" s="8">
        <v>46113</v>
      </c>
      <c r="L47" s="8">
        <v>46233</v>
      </c>
      <c r="M47" s="10">
        <v>1</v>
      </c>
      <c r="N47" s="10">
        <v>380.13</v>
      </c>
      <c r="O47" s="43"/>
      <c r="P47" s="38"/>
      <c r="Q47" s="38"/>
      <c r="R47" s="9"/>
      <c r="S4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60">
        <f>IF(Table13[[#This Row],[Include in Winter Calendar]],Table13[[#This Row],[Area Overlap with SAC (km2)]]*100/$M$3,0)</f>
        <v>0</v>
      </c>
      <c r="X47" s="60">
        <f>IF(Table13[[#This Row],[Include in Summer Calendar]],Table13[[#This Row],[Area Overlap with SAC (km2)]]*100/$M$2,0)</f>
        <v>1.4064303685067339</v>
      </c>
      <c r="Y47" s="61">
        <v>73</v>
      </c>
    </row>
    <row r="48" spans="1:25" ht="18.5" x14ac:dyDescent="0.35">
      <c r="A48" s="74" t="s">
        <v>152</v>
      </c>
      <c r="B48" s="77" t="s">
        <v>47</v>
      </c>
      <c r="C48" s="30" t="s">
        <v>36</v>
      </c>
      <c r="D48" s="30" t="s">
        <v>52</v>
      </c>
      <c r="E48" s="31" t="s">
        <v>48</v>
      </c>
      <c r="F48" s="78"/>
      <c r="G48" s="26" t="s">
        <v>49</v>
      </c>
      <c r="H48" s="26"/>
      <c r="I48" s="80" t="s">
        <v>50</v>
      </c>
      <c r="J48" s="82">
        <v>45986</v>
      </c>
      <c r="K48" s="8">
        <v>45798</v>
      </c>
      <c r="L48" s="7">
        <v>46295</v>
      </c>
      <c r="M48" s="10">
        <v>100</v>
      </c>
      <c r="N48" s="10"/>
      <c r="O48" s="43"/>
      <c r="P48" s="38"/>
      <c r="Q48" s="38"/>
      <c r="R48" s="10" t="s">
        <v>53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0</v>
      </c>
      <c r="Y48" s="61">
        <v>74</v>
      </c>
    </row>
    <row r="49" spans="1:25" ht="18.5" x14ac:dyDescent="0.35">
      <c r="A49" s="74" t="s">
        <v>150</v>
      </c>
      <c r="B49" s="77" t="s">
        <v>98</v>
      </c>
      <c r="C49" s="30" t="s">
        <v>36</v>
      </c>
      <c r="D49" s="30" t="s">
        <v>74</v>
      </c>
      <c r="E49" s="31" t="s">
        <v>38</v>
      </c>
      <c r="F49" s="78"/>
      <c r="G49" s="26" t="s">
        <v>151</v>
      </c>
      <c r="H49" s="28"/>
      <c r="I49" s="80" t="s">
        <v>129</v>
      </c>
      <c r="J49" s="82">
        <v>45951</v>
      </c>
      <c r="K49" s="8">
        <v>46113</v>
      </c>
      <c r="L49" s="8">
        <v>46233</v>
      </c>
      <c r="M49" s="97">
        <v>1</v>
      </c>
      <c r="N49" s="97">
        <v>380.13</v>
      </c>
      <c r="O49" s="43"/>
      <c r="P49" s="38"/>
      <c r="Q49" s="38"/>
      <c r="R49" s="9"/>
      <c r="S4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89">
        <f>IF(Table13[[#This Row],[Include in Winter Calendar]],Table13[[#This Row],[Area Overlap with Winter SAC (km2) (NEW)]]*100/$M$3,0)</f>
        <v>0</v>
      </c>
      <c r="V49" s="89">
        <f>IF(Table13[[#This Row],[Include in Summer Calendar]],Table13[[#This Row],[Area Overlap with Summer SAC (km2) (NEW)]]*100/$M$2,0)</f>
        <v>0</v>
      </c>
      <c r="W49" s="60">
        <f>IF(Table13[[#This Row],[Include in Winter Calendar]],Table13[[#This Row],[Area Overlap with SAC (km2)]]*100/$M$3,0)</f>
        <v>0</v>
      </c>
      <c r="X49" s="60">
        <f>IF(Table13[[#This Row],[Include in Summer Calendar]],Table13[[#This Row],[Area Overlap with SAC (km2)]]*100/$M$2,0)</f>
        <v>1.4064303685067339</v>
      </c>
      <c r="Y49" s="64">
        <v>75</v>
      </c>
    </row>
    <row r="50" spans="1:25" ht="54" customHeight="1" x14ac:dyDescent="0.35">
      <c r="A50" s="98" t="s">
        <v>153</v>
      </c>
      <c r="B50" s="100" t="s">
        <v>69</v>
      </c>
      <c r="C50" s="101" t="s">
        <v>36</v>
      </c>
      <c r="D50" s="101" t="s">
        <v>57</v>
      </c>
      <c r="E50" s="102" t="s">
        <v>38</v>
      </c>
      <c r="F50" s="103"/>
      <c r="G50" s="27" t="s">
        <v>154</v>
      </c>
      <c r="H50" s="27"/>
      <c r="I50" s="104" t="s">
        <v>129</v>
      </c>
      <c r="J50" s="105">
        <v>45993</v>
      </c>
      <c r="K50" s="106">
        <v>45992</v>
      </c>
      <c r="L50" s="106">
        <v>47026</v>
      </c>
      <c r="M50" s="115">
        <v>9</v>
      </c>
      <c r="N50" s="115">
        <v>79</v>
      </c>
      <c r="O50" s="113"/>
      <c r="P50" s="99"/>
      <c r="Q50" s="99"/>
      <c r="R50" s="56" t="s">
        <v>155</v>
      </c>
      <c r="S5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89">
        <f>IF(Table13[[#This Row],[Include in Winter Calendar]],Table13[[#This Row],[Area Overlap with Winter SAC (km2) (NEW)]]*100/$M$3,0)</f>
        <v>0</v>
      </c>
      <c r="V50" s="89">
        <f>IF(Table13[[#This Row],[Include in Summer Calendar]],Table13[[#This Row],[Area Overlap with Summer SAC (km2) (NEW)]]*100/$M$2,0)</f>
        <v>0</v>
      </c>
      <c r="W50" s="58">
        <f>IF(Table13[[#This Row],[Include in Winter Calendar]],Table13[[#This Row],[Area Overlap with SAC (km2)]]*100/$M$3,0)</f>
        <v>0</v>
      </c>
      <c r="X50" s="58">
        <f>IF(Table13[[#This Row],[Include in Summer Calendar]],Table13[[#This Row],[Area Overlap with SAC (km2)]]*100/$M$2,0)</f>
        <v>0.29228947757880719</v>
      </c>
      <c r="Y50" s="61"/>
    </row>
    <row r="51" spans="1:25" ht="69.75" customHeight="1" x14ac:dyDescent="0.35">
      <c r="A51" s="98" t="s">
        <v>156</v>
      </c>
      <c r="B51" s="107" t="s">
        <v>157</v>
      </c>
      <c r="C51" s="108" t="s">
        <v>36</v>
      </c>
      <c r="D51" s="108" t="s">
        <v>74</v>
      </c>
      <c r="E51" s="109" t="s">
        <v>38</v>
      </c>
      <c r="F51" s="110"/>
      <c r="G51" s="28"/>
      <c r="H51" s="28"/>
      <c r="I51" s="111"/>
      <c r="J51" s="112">
        <v>45999</v>
      </c>
      <c r="K51" s="117">
        <v>46113</v>
      </c>
      <c r="L51" s="117">
        <v>46295</v>
      </c>
      <c r="M51" s="116">
        <v>1</v>
      </c>
      <c r="N51" s="116">
        <v>3</v>
      </c>
      <c r="O51" s="114"/>
      <c r="P51" s="99"/>
      <c r="Q51" s="99"/>
      <c r="R51" s="56" t="s">
        <v>158</v>
      </c>
      <c r="S5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89">
        <f>IF(Table13[[#This Row],[Include in Winter Calendar]],Table13[[#This Row],[Area Overlap with Winter SAC (km2) (NEW)]]*100/$M$3,0)</f>
        <v>0</v>
      </c>
      <c r="V51" s="89">
        <f>IF(Table13[[#This Row],[Include in Summer Calendar]],Table13[[#This Row],[Area Overlap with Summer SAC (km2) (NEW)]]*100/$M$2,0)</f>
        <v>0</v>
      </c>
      <c r="W51" s="60">
        <f>IF(Table13[[#This Row],[Include in Winter Calendar]],Table13[[#This Row],[Area Overlap with SAC (km2)]]*100/$M$3,0)</f>
        <v>0</v>
      </c>
      <c r="X51" s="60">
        <f>IF(Table13[[#This Row],[Include in Summer Calendar]],Table13[[#This Row],[Area Overlap with SAC (km2)]]*100/$M$2,0)</f>
        <v>1.1099600414385083E-2</v>
      </c>
      <c r="Y51" s="61"/>
    </row>
    <row r="52" spans="1:25" ht="101.15" customHeight="1" x14ac:dyDescent="0.35">
      <c r="A52" s="98" t="s">
        <v>159</v>
      </c>
      <c r="B52" s="135" t="s">
        <v>106</v>
      </c>
      <c r="C52" s="136" t="s">
        <v>61</v>
      </c>
      <c r="D52" s="136" t="s">
        <v>133</v>
      </c>
      <c r="E52" s="137" t="s">
        <v>38</v>
      </c>
      <c r="F52" s="138" t="s">
        <v>108</v>
      </c>
      <c r="G52" s="28" t="s">
        <v>160</v>
      </c>
      <c r="H52" s="28" t="s">
        <v>64</v>
      </c>
      <c r="I52" s="111" t="s">
        <v>50</v>
      </c>
      <c r="J52" s="112"/>
      <c r="K52" s="139">
        <v>46083</v>
      </c>
      <c r="L52" s="139">
        <v>46173</v>
      </c>
      <c r="M52" s="97">
        <v>1</v>
      </c>
      <c r="N52" s="97">
        <v>78.540000000000006</v>
      </c>
      <c r="O52" s="140" t="s">
        <v>64</v>
      </c>
      <c r="P52" s="99"/>
      <c r="Q52" s="99"/>
      <c r="R52" s="97"/>
      <c r="S5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89">
        <f>IF(Table13[[#This Row],[Include in Winter Calendar]],Table13[[#This Row],[Area Overlap with Winter SAC (km2) (NEW)]]*100/$M$3,0)</f>
        <v>0</v>
      </c>
      <c r="V52" s="89">
        <f>IF(Table13[[#This Row],[Include in Summer Calendar]],Table13[[#This Row],[Area Overlap with Summer SAC (km2) (NEW)]]*100/$M$2,0)</f>
        <v>0</v>
      </c>
      <c r="W52" s="60">
        <f>IF(Table13[[#This Row],[Include in Winter Calendar]],Table13[[#This Row],[Area Overlap with SAC (km2)]]*100/$M$3,0)</f>
        <v>0</v>
      </c>
      <c r="X52" s="60">
        <f>IF(Table13[[#This Row],[Include in Summer Calendar]],Table13[[#This Row],[Area Overlap with SAC (km2)]]*100/$M$2,0)</f>
        <v>0.2905875388486015</v>
      </c>
      <c r="Y52" s="61">
        <v>57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3 O6:Y35 B34:I35 K34:N35 B36:Y39 B40:N40 O40:Y47 B41:L42 N41:N42 B43:N47 B48:G49 I48:Y49">
    <cfRule type="expression" dxfId="10" priority="38" stopIfTrue="1">
      <formula>$I6="Completed"</formula>
    </cfRule>
    <cfRule type="expression" dxfId="9" priority="39" stopIfTrue="1">
      <formula>OR($I6="Cancelled",$I6="Postponed")</formula>
    </cfRule>
  </conditionalFormatting>
  <conditionalFormatting sqref="G6:G52">
    <cfRule type="expression" dxfId="8" priority="41">
      <formula>AND($G6="",OR($I6="Approved",$I6="Submitted"))</formula>
    </cfRule>
  </conditionalFormatting>
  <conditionalFormatting sqref="H48">
    <cfRule type="expression" dxfId="7" priority="1" stopIfTrue="1">
      <formula>$I49="Completed"</formula>
    </cfRule>
    <cfRule type="expression" dxfId="6" priority="2" stopIfTrue="1">
      <formula>OR($I49="Cancelled",$I49="Postponed")</formula>
    </cfRule>
  </conditionalFormatting>
  <conditionalFormatting sqref="J34 M41">
    <cfRule type="expression" dxfId="5" priority="44" stopIfTrue="1">
      <formula>$I35="Completed"</formula>
    </cfRule>
    <cfRule type="expression" dxfId="4" priority="45" stopIfTrue="1">
      <formula>OR($I35="Cancelled",$I35="Postponed")</formula>
    </cfRule>
  </conditionalFormatting>
  <dataValidations count="5">
    <dataValidation type="list" allowBlank="1" showInputMessage="1" showErrorMessage="1" sqref="E6:E52" xr:uid="{7264FD1A-492A-4917-A29C-D45FAA112A04}">
      <formula1>"Summer, Winter, Both"</formula1>
    </dataValidation>
    <dataValidation type="list" allowBlank="1" showInputMessage="1" showErrorMessage="1" sqref="I6:I52" xr:uid="{21C67652-EEA5-4949-B028-9B83E585FE35}">
      <formula1>"Proposed, Submitted, Approved, Completed, Postponed, Cancelled"</formula1>
    </dataValidation>
    <dataValidation type="list" allowBlank="1" showInputMessage="1" showErrorMessage="1" sqref="D6:D52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52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52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161</v>
      </c>
      <c r="C2" s="90" t="s">
        <v>38</v>
      </c>
      <c r="E2" s="19" t="s">
        <v>162</v>
      </c>
      <c r="F2" s="70">
        <f>IF(C2="Summer",'Noisy Activities'!J2,'Noisy Activities'!H2)</f>
        <v>46113</v>
      </c>
      <c r="G2" s="21" t="s">
        <v>163</v>
      </c>
      <c r="H2" s="22">
        <f>F3-F2+1</f>
        <v>183</v>
      </c>
      <c r="K2" s="67"/>
      <c r="L2" s="51"/>
    </row>
    <row r="3" spans="1:12" ht="59.15" customHeight="1" thickBot="1" x14ac:dyDescent="0.4">
      <c r="B3" s="19" t="s">
        <v>164</v>
      </c>
      <c r="C3" s="91">
        <f ca="1">TODAY()</f>
        <v>46125</v>
      </c>
      <c r="E3" s="16" t="s">
        <v>165</v>
      </c>
      <c r="F3" s="68">
        <f>IF(C2="Summer",'Noisy Activities'!J3,'Noisy Activities'!H3)</f>
        <v>46295</v>
      </c>
      <c r="G3" s="19" t="s">
        <v>166</v>
      </c>
      <c r="H3" s="20">
        <f>IF(C2="Summer",27028,12696)</f>
        <v>27028</v>
      </c>
      <c r="K3" s="67"/>
      <c r="L3" s="51"/>
    </row>
    <row r="4" spans="1:12" ht="15" thickBot="1" x14ac:dyDescent="0.4"/>
    <row r="5" spans="1:12" ht="46.5" customHeight="1" thickBot="1" x14ac:dyDescent="0.4">
      <c r="C5" s="153" t="s">
        <v>167</v>
      </c>
      <c r="D5" s="154"/>
      <c r="E5" s="154"/>
      <c r="F5" s="155"/>
    </row>
    <row r="6" spans="1:12" ht="60.65" customHeight="1" thickBot="1" x14ac:dyDescent="0.4">
      <c r="C6" s="54" t="s">
        <v>168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169</v>
      </c>
      <c r="F6" s="72">
        <f ca="1">_xlfn.AGGREGATE(9,6,Table44[Contribution to seasonal disturbance (absolute worst case)])</f>
        <v>0</v>
      </c>
    </row>
    <row r="7" spans="1:12" ht="61.5" customHeight="1" thickBot="1" x14ac:dyDescent="0.4">
      <c r="C7" s="55" t="s">
        <v>170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171</v>
      </c>
      <c r="F7" s="73">
        <f ca="1">_xlfn.AGGREGATE(9,6,Table44[Contribution to seasonal disturbance (realistic worst case)])</f>
        <v>0</v>
      </c>
    </row>
    <row r="8" spans="1:12" ht="64.5" customHeight="1" thickBot="1" x14ac:dyDescent="0.4">
      <c r="C8" s="156" t="s">
        <v>172</v>
      </c>
      <c r="D8" s="157"/>
      <c r="E8" s="157"/>
      <c r="F8" s="158"/>
    </row>
    <row r="9" spans="1:12" ht="12.65" customHeight="1" x14ac:dyDescent="0.35">
      <c r="B9" s="53"/>
      <c r="C9" s="53"/>
      <c r="D9" s="53"/>
      <c r="E9" s="53"/>
    </row>
    <row r="10" spans="1:12" ht="23.5" x14ac:dyDescent="0.55000000000000004">
      <c r="B10" s="52" t="s">
        <v>173</v>
      </c>
    </row>
    <row r="12" spans="1:12" ht="75.650000000000006" customHeight="1" x14ac:dyDescent="0.35">
      <c r="A12" s="42" t="s">
        <v>174</v>
      </c>
      <c r="B12" s="41" t="s">
        <v>175</v>
      </c>
      <c r="C12" s="41" t="s">
        <v>12</v>
      </c>
      <c r="D12" s="41" t="s">
        <v>176</v>
      </c>
      <c r="E12" s="41" t="s">
        <v>177</v>
      </c>
      <c r="F12" s="41" t="s">
        <v>178</v>
      </c>
      <c r="G12" s="41" t="s">
        <v>179</v>
      </c>
      <c r="H12" s="41" t="s">
        <v>180</v>
      </c>
      <c r="I12" s="41" t="s">
        <v>181</v>
      </c>
      <c r="J12" s="41" t="s">
        <v>182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PFE5XNEKQQZ4-853025249-73102</_dlc_DocId>
    <_dlc_DocIdUrl xmlns="d9dd733d-5918-4031-8251-d30265015c80">
      <Url>https://beisgov.sharepoint.com/sites/OPREDPG-EXT-OS-SACNoiseManagementRegulatorsWorkingGroup/_layouts/15/DocIdRedir.aspx?ID=PFE5XNEKQQZ4-853025249-73102</Url>
      <Description>PFE5XNEKQQZ4-853025249-73102</Description>
    </_dlc_DocIdUrl>
  </documentManagement>
</p:properties>
</file>

<file path=customXml/itemProps1.xml><?xml version="1.0" encoding="utf-8"?>
<ds:datastoreItem xmlns:ds="http://schemas.openxmlformats.org/officeDocument/2006/customXml" ds:itemID="{B29D5DA9-3AE9-430F-AD2F-96AE5EF9F41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DF53D4A-DA70-4C81-82EA-5680BCF19F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2026-04-13T08:54:59Z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49115641-8c76-4350-bb59-9734e6fa9f29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