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defaultThemeVersion="166925"/>
  <mc:AlternateContent xmlns:mc="http://schemas.openxmlformats.org/markup-compatibility/2006">
    <mc:Choice Requires="x15">
      <x15ac:absPath xmlns:x15ac="http://schemas.microsoft.com/office/spreadsheetml/2010/11/ac" url="C:\Users\DanielFarrugia\Downloads\"/>
    </mc:Choice>
  </mc:AlternateContent>
  <xr:revisionPtr revIDLastSave="0" documentId="8_{A6E6C58A-1644-4F07-B8ED-3AC8D8D4EBBF}" xr6:coauthVersionLast="47" xr6:coauthVersionMax="47" xr10:uidLastSave="{00000000-0000-0000-0000-000000000000}"/>
  <workbookProtection workbookAlgorithmName="SHA-512" workbookHashValue="eDa5Cn5xiLhcwDbVYtl9US0AqOGr4GvcyxmhqVn9ls+PJ6rrUiDre5o6LrX9Uih4eQGFrszSPXaYUW1XAmvwcg==" workbookSaltValue="r4A+z4LFP0qtbHN2meeQlg==" workbookSpinCount="100000" lockStructure="1"/>
  <bookViews>
    <workbookView xWindow="-110" yWindow="-110" windowWidth="22780" windowHeight="14540" tabRatio="599" xr2:uid="{5467A8F6-0B6C-47B1-833F-5249E342D509}"/>
  </bookViews>
  <sheets>
    <sheet name="Cover_sheet" sheetId="2" r:id="rId1"/>
    <sheet name="Contents" sheetId="3" r:id="rId2"/>
    <sheet name="Guidance" sheetId="13" r:id="rId3"/>
    <sheet name="(2010-11)" sheetId="16" state="hidden" r:id="rId4"/>
    <sheet name="(2011-12)" sheetId="17" state="hidden" r:id="rId5"/>
    <sheet name="(2012-13)" sheetId="18" state="hidden" r:id="rId6"/>
    <sheet name="(2013-14)" sheetId="19" state="hidden" r:id="rId7"/>
    <sheet name="(2014-15)" sheetId="20" state="hidden" r:id="rId8"/>
    <sheet name="(2015-16)" sheetId="21" state="hidden" r:id="rId9"/>
    <sheet name="(2016-17)" sheetId="22" state="hidden" r:id="rId10"/>
    <sheet name="(2017-18)" sheetId="23" state="hidden" r:id="rId11"/>
    <sheet name="FIRE1201_historical_raw" sheetId="24" state="hidden" r:id="rId12"/>
    <sheet name="FIRE1201_historical" sheetId="25" r:id="rId13"/>
    <sheet name="FIRE1201a" sheetId="4" r:id="rId14"/>
    <sheet name="FIRE1201a_working" sheetId="12" state="hidden" r:id="rId15"/>
    <sheet name="FIRE1201b_working" sheetId="11" state="hidden" r:id="rId16"/>
    <sheet name="FIRE1201b" sheetId="10" r:id="rId17"/>
    <sheet name="Data - Visits" sheetId="1" r:id="rId18"/>
    <sheet name="Data - Staff" sheetId="9" r:id="rId19"/>
    <sheet name="FRS geographical categories" sheetId="8" r:id="rId20"/>
  </sheets>
  <definedNames>
    <definedName name="_xlnm._FilterDatabase" localSheetId="18" hidden="1">'Data - Staff'!$A$1:$G$1585</definedName>
    <definedName name="_xlnm._FilterDatabase" localSheetId="17" hidden="1">'Data - Visits'!$A$1:$I$3873</definedName>
    <definedName name="_xlnm._FilterDatabase" localSheetId="19" hidden="1">'FRS geographical categories'!$A$1:$C$45</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F3" i="9" l="1"/>
  <c r="F4" i="9"/>
  <c r="F5" i="9"/>
  <c r="F6" i="9"/>
  <c r="F7" i="9"/>
  <c r="F8" i="9"/>
  <c r="F9" i="9"/>
  <c r="F10" i="9"/>
  <c r="F11" i="9"/>
  <c r="F12" i="9"/>
  <c r="F13" i="9"/>
  <c r="F14" i="9"/>
  <c r="F15" i="9"/>
  <c r="F16" i="9"/>
  <c r="F17" i="9"/>
  <c r="F18" i="9"/>
  <c r="F19" i="9"/>
  <c r="F20" i="9"/>
  <c r="F21" i="9"/>
  <c r="F22" i="9"/>
  <c r="F23" i="9"/>
  <c r="F24" i="9"/>
  <c r="F25" i="9"/>
  <c r="F26" i="9"/>
  <c r="F27" i="9"/>
  <c r="F28" i="9"/>
  <c r="F29" i="9"/>
  <c r="F30" i="9"/>
  <c r="F31" i="9"/>
  <c r="F32" i="9"/>
  <c r="F33" i="9"/>
  <c r="F34" i="9"/>
  <c r="F35" i="9"/>
  <c r="F36" i="9"/>
  <c r="F37" i="9"/>
  <c r="F38" i="9"/>
  <c r="F39" i="9"/>
  <c r="F40" i="9"/>
  <c r="F41" i="9"/>
  <c r="F42" i="9"/>
  <c r="F43" i="9"/>
  <c r="F44" i="9"/>
  <c r="F45" i="9"/>
  <c r="F46" i="9"/>
  <c r="F47" i="9"/>
  <c r="F48" i="9"/>
  <c r="F49" i="9"/>
  <c r="F50" i="9"/>
  <c r="F51" i="9"/>
  <c r="F52" i="9"/>
  <c r="F53" i="9"/>
  <c r="F54" i="9"/>
  <c r="F55" i="9"/>
  <c r="F56" i="9"/>
  <c r="F57" i="9"/>
  <c r="F58" i="9"/>
  <c r="F59" i="9"/>
  <c r="F60" i="9"/>
  <c r="F61" i="9"/>
  <c r="F62" i="9"/>
  <c r="F63" i="9"/>
  <c r="F64" i="9"/>
  <c r="F65" i="9"/>
  <c r="F66" i="9"/>
  <c r="F67" i="9"/>
  <c r="F68" i="9"/>
  <c r="F69" i="9"/>
  <c r="F70" i="9"/>
  <c r="F71" i="9"/>
  <c r="F72" i="9"/>
  <c r="F73" i="9"/>
  <c r="F74" i="9"/>
  <c r="F75" i="9"/>
  <c r="F76" i="9"/>
  <c r="F77" i="9"/>
  <c r="F78" i="9"/>
  <c r="F79" i="9"/>
  <c r="F80" i="9"/>
  <c r="F81" i="9"/>
  <c r="F82" i="9"/>
  <c r="F83" i="9"/>
  <c r="F84" i="9"/>
  <c r="F85" i="9"/>
  <c r="F86" i="9"/>
  <c r="F87" i="9"/>
  <c r="F88" i="9"/>
  <c r="F89" i="9"/>
  <c r="F90" i="9"/>
  <c r="F91" i="9"/>
  <c r="F92" i="9"/>
  <c r="F93" i="9"/>
  <c r="F94" i="9"/>
  <c r="F95" i="9"/>
  <c r="F96" i="9"/>
  <c r="F97" i="9"/>
  <c r="F98" i="9"/>
  <c r="F99" i="9"/>
  <c r="F100" i="9"/>
  <c r="F101" i="9"/>
  <c r="F102" i="9"/>
  <c r="F103" i="9"/>
  <c r="F104" i="9"/>
  <c r="F105" i="9"/>
  <c r="F106" i="9"/>
  <c r="F107" i="9"/>
  <c r="F108" i="9"/>
  <c r="F109" i="9"/>
  <c r="F110" i="9"/>
  <c r="F111" i="9"/>
  <c r="F112" i="9"/>
  <c r="F113" i="9"/>
  <c r="F114" i="9"/>
  <c r="F115" i="9"/>
  <c r="F116" i="9"/>
  <c r="F117" i="9"/>
  <c r="F118" i="9"/>
  <c r="F119" i="9"/>
  <c r="F120" i="9"/>
  <c r="F121" i="9"/>
  <c r="F122" i="9"/>
  <c r="F123" i="9"/>
  <c r="F124" i="9"/>
  <c r="F125" i="9"/>
  <c r="F126" i="9"/>
  <c r="F127" i="9"/>
  <c r="F128" i="9"/>
  <c r="F129" i="9"/>
  <c r="F130" i="9"/>
  <c r="F131" i="9"/>
  <c r="F132" i="9"/>
  <c r="F133" i="9"/>
  <c r="F134" i="9"/>
  <c r="F135" i="9"/>
  <c r="F136" i="9"/>
  <c r="F137" i="9"/>
  <c r="F138" i="9"/>
  <c r="F139" i="9"/>
  <c r="F140" i="9"/>
  <c r="F141" i="9"/>
  <c r="F142" i="9"/>
  <c r="F143" i="9"/>
  <c r="F144" i="9"/>
  <c r="F145" i="9"/>
  <c r="F146" i="9"/>
  <c r="F147" i="9"/>
  <c r="F148" i="9"/>
  <c r="F149" i="9"/>
  <c r="F150" i="9"/>
  <c r="F151" i="9"/>
  <c r="F152" i="9"/>
  <c r="F153" i="9"/>
  <c r="F154" i="9"/>
  <c r="F155" i="9"/>
  <c r="F156" i="9"/>
  <c r="F157" i="9"/>
  <c r="F158" i="9"/>
  <c r="F159" i="9"/>
  <c r="F160" i="9"/>
  <c r="F161" i="9"/>
  <c r="F162" i="9"/>
  <c r="F163" i="9"/>
  <c r="F164" i="9"/>
  <c r="F165" i="9"/>
  <c r="F166" i="9"/>
  <c r="F167" i="9"/>
  <c r="F168" i="9"/>
  <c r="F169" i="9"/>
  <c r="F170" i="9"/>
  <c r="F171" i="9"/>
  <c r="F172" i="9"/>
  <c r="F173" i="9"/>
  <c r="F174" i="9"/>
  <c r="F175" i="9"/>
  <c r="F176" i="9"/>
  <c r="F177" i="9"/>
  <c r="F178" i="9"/>
  <c r="F179" i="9"/>
  <c r="F180" i="9"/>
  <c r="F181" i="9"/>
  <c r="F182" i="9"/>
  <c r="F183" i="9"/>
  <c r="F184" i="9"/>
  <c r="F185" i="9"/>
  <c r="F186" i="9"/>
  <c r="F187" i="9"/>
  <c r="F188" i="9"/>
  <c r="F189" i="9"/>
  <c r="F190" i="9"/>
  <c r="F191" i="9"/>
  <c r="F192" i="9"/>
  <c r="F193" i="9"/>
  <c r="F194" i="9"/>
  <c r="F195" i="9"/>
  <c r="F196" i="9"/>
  <c r="F197" i="9"/>
  <c r="F198" i="9"/>
  <c r="F199" i="9"/>
  <c r="F200" i="9"/>
  <c r="F201" i="9"/>
  <c r="F202" i="9"/>
  <c r="F203" i="9"/>
  <c r="F204" i="9"/>
  <c r="F205" i="9"/>
  <c r="F206" i="9"/>
  <c r="F207" i="9"/>
  <c r="F208" i="9"/>
  <c r="F209" i="9"/>
  <c r="F210" i="9"/>
  <c r="F211" i="9"/>
  <c r="F212" i="9"/>
  <c r="F213" i="9"/>
  <c r="F214" i="9"/>
  <c r="F215" i="9"/>
  <c r="F216" i="9"/>
  <c r="F217" i="9"/>
  <c r="F218" i="9"/>
  <c r="F219" i="9"/>
  <c r="F220" i="9"/>
  <c r="F221" i="9"/>
  <c r="F222" i="9"/>
  <c r="F223" i="9"/>
  <c r="F224" i="9"/>
  <c r="F225" i="9"/>
  <c r="F226" i="9"/>
  <c r="F227" i="9"/>
  <c r="F228" i="9"/>
  <c r="F229" i="9"/>
  <c r="F230" i="9"/>
  <c r="F231" i="9"/>
  <c r="F232" i="9"/>
  <c r="F233" i="9"/>
  <c r="F234" i="9"/>
  <c r="F235" i="9"/>
  <c r="F236" i="9"/>
  <c r="F237" i="9"/>
  <c r="F238" i="9"/>
  <c r="F239" i="9"/>
  <c r="F240" i="9"/>
  <c r="F241" i="9"/>
  <c r="F242" i="9"/>
  <c r="F243" i="9"/>
  <c r="F244" i="9"/>
  <c r="F245" i="9"/>
  <c r="F246" i="9"/>
  <c r="F247" i="9"/>
  <c r="F248" i="9"/>
  <c r="F249" i="9"/>
  <c r="F250" i="9"/>
  <c r="F251" i="9"/>
  <c r="F252" i="9"/>
  <c r="F253" i="9"/>
  <c r="F254" i="9"/>
  <c r="F255" i="9"/>
  <c r="F256" i="9"/>
  <c r="F257" i="9"/>
  <c r="F258" i="9"/>
  <c r="F259" i="9"/>
  <c r="F260" i="9"/>
  <c r="F261" i="9"/>
  <c r="F262" i="9"/>
  <c r="F263" i="9"/>
  <c r="F264" i="9"/>
  <c r="F265" i="9"/>
  <c r="F266" i="9"/>
  <c r="F267" i="9"/>
  <c r="F268" i="9"/>
  <c r="F269" i="9"/>
  <c r="F270" i="9"/>
  <c r="F271" i="9"/>
  <c r="F272" i="9"/>
  <c r="F273" i="9"/>
  <c r="F274" i="9"/>
  <c r="F275" i="9"/>
  <c r="F276" i="9"/>
  <c r="F277" i="9"/>
  <c r="F278" i="9"/>
  <c r="F279" i="9"/>
  <c r="F280" i="9"/>
  <c r="F281" i="9"/>
  <c r="F282" i="9"/>
  <c r="F283" i="9"/>
  <c r="F284" i="9"/>
  <c r="F285" i="9"/>
  <c r="F286" i="9"/>
  <c r="F287" i="9"/>
  <c r="F288" i="9"/>
  <c r="F289" i="9"/>
  <c r="F290" i="9"/>
  <c r="F291" i="9"/>
  <c r="F292" i="9"/>
  <c r="F293" i="9"/>
  <c r="F294" i="9"/>
  <c r="F295" i="9"/>
  <c r="F296" i="9"/>
  <c r="F297" i="9"/>
  <c r="F298" i="9"/>
  <c r="F299" i="9"/>
  <c r="F300" i="9"/>
  <c r="F301" i="9"/>
  <c r="F302" i="9"/>
  <c r="F303" i="9"/>
  <c r="F304" i="9"/>
  <c r="F305" i="9"/>
  <c r="F306" i="9"/>
  <c r="F307" i="9"/>
  <c r="F308" i="9"/>
  <c r="F309" i="9"/>
  <c r="F310" i="9"/>
  <c r="F311" i="9"/>
  <c r="F312" i="9"/>
  <c r="F313" i="9"/>
  <c r="F314" i="9"/>
  <c r="F315" i="9"/>
  <c r="F316" i="9"/>
  <c r="F317" i="9"/>
  <c r="F318" i="9"/>
  <c r="F319" i="9"/>
  <c r="F320" i="9"/>
  <c r="F321" i="9"/>
  <c r="F322" i="9"/>
  <c r="F323" i="9"/>
  <c r="F324" i="9"/>
  <c r="F325" i="9"/>
  <c r="F326" i="9"/>
  <c r="F327" i="9"/>
  <c r="F328" i="9"/>
  <c r="F329" i="9"/>
  <c r="F330" i="9"/>
  <c r="F331" i="9"/>
  <c r="F332" i="9"/>
  <c r="F333" i="9"/>
  <c r="F334" i="9"/>
  <c r="F335" i="9"/>
  <c r="F336" i="9"/>
  <c r="F337" i="9"/>
  <c r="F338" i="9"/>
  <c r="F339" i="9"/>
  <c r="F340" i="9"/>
  <c r="F341" i="9"/>
  <c r="F342" i="9"/>
  <c r="F343" i="9"/>
  <c r="F344" i="9"/>
  <c r="F345" i="9"/>
  <c r="F346" i="9"/>
  <c r="F347" i="9"/>
  <c r="F348" i="9"/>
  <c r="F349" i="9"/>
  <c r="F350" i="9"/>
  <c r="F351" i="9"/>
  <c r="F352" i="9"/>
  <c r="F353" i="9"/>
  <c r="F354" i="9"/>
  <c r="F355" i="9"/>
  <c r="F356" i="9"/>
  <c r="F357" i="9"/>
  <c r="F358" i="9"/>
  <c r="F359" i="9"/>
  <c r="F360" i="9"/>
  <c r="F361" i="9"/>
  <c r="F362" i="9"/>
  <c r="F363" i="9"/>
  <c r="F364" i="9"/>
  <c r="F365" i="9"/>
  <c r="F366" i="9"/>
  <c r="F367" i="9"/>
  <c r="F368" i="9"/>
  <c r="F369" i="9"/>
  <c r="F370" i="9"/>
  <c r="F371" i="9"/>
  <c r="F372" i="9"/>
  <c r="F373" i="9"/>
  <c r="F374" i="9"/>
  <c r="F375" i="9"/>
  <c r="F376" i="9"/>
  <c r="F377" i="9"/>
  <c r="F378" i="9"/>
  <c r="F379" i="9"/>
  <c r="F380" i="9"/>
  <c r="F381" i="9"/>
  <c r="F382" i="9"/>
  <c r="F383" i="9"/>
  <c r="F384" i="9"/>
  <c r="F385" i="9"/>
  <c r="F386" i="9"/>
  <c r="F387" i="9"/>
  <c r="F388" i="9"/>
  <c r="F389" i="9"/>
  <c r="F390" i="9"/>
  <c r="F391" i="9"/>
  <c r="F392" i="9"/>
  <c r="F393" i="9"/>
  <c r="F394" i="9"/>
  <c r="F395" i="9"/>
  <c r="F396" i="9"/>
  <c r="F397" i="9"/>
  <c r="F398" i="9"/>
  <c r="F399" i="9"/>
  <c r="F400" i="9"/>
  <c r="F401" i="9"/>
  <c r="F402" i="9"/>
  <c r="F403" i="9"/>
  <c r="F404" i="9"/>
  <c r="F405" i="9"/>
  <c r="F406" i="9"/>
  <c r="F407" i="9"/>
  <c r="F408" i="9"/>
  <c r="F409" i="9"/>
  <c r="F410" i="9"/>
  <c r="F411" i="9"/>
  <c r="F412" i="9"/>
  <c r="F413" i="9"/>
  <c r="F414" i="9"/>
  <c r="F415" i="9"/>
  <c r="F416" i="9"/>
  <c r="F417" i="9"/>
  <c r="F418" i="9"/>
  <c r="F419" i="9"/>
  <c r="F420" i="9"/>
  <c r="F421" i="9"/>
  <c r="F422" i="9"/>
  <c r="F423" i="9"/>
  <c r="F424" i="9"/>
  <c r="F425" i="9"/>
  <c r="F426" i="9"/>
  <c r="F427" i="9"/>
  <c r="F428" i="9"/>
  <c r="F429" i="9"/>
  <c r="F430" i="9"/>
  <c r="F431" i="9"/>
  <c r="F432" i="9"/>
  <c r="F433" i="9"/>
  <c r="F434" i="9"/>
  <c r="F435" i="9"/>
  <c r="F436" i="9"/>
  <c r="F437" i="9"/>
  <c r="F438" i="9"/>
  <c r="F439" i="9"/>
  <c r="F440" i="9"/>
  <c r="F441" i="9"/>
  <c r="F442" i="9"/>
  <c r="F443" i="9"/>
  <c r="F444" i="9"/>
  <c r="F445" i="9"/>
  <c r="F446" i="9"/>
  <c r="F447" i="9"/>
  <c r="F448" i="9"/>
  <c r="F449" i="9"/>
  <c r="F450" i="9"/>
  <c r="F451" i="9"/>
  <c r="F452" i="9"/>
  <c r="F453" i="9"/>
  <c r="F454" i="9"/>
  <c r="F455" i="9"/>
  <c r="F456" i="9"/>
  <c r="F457" i="9"/>
  <c r="F458" i="9"/>
  <c r="F459" i="9"/>
  <c r="F460" i="9"/>
  <c r="F461" i="9"/>
  <c r="F462" i="9"/>
  <c r="F463" i="9"/>
  <c r="F464" i="9"/>
  <c r="F465" i="9"/>
  <c r="F466" i="9"/>
  <c r="F467" i="9"/>
  <c r="F468" i="9"/>
  <c r="F469" i="9"/>
  <c r="F470" i="9"/>
  <c r="F471" i="9"/>
  <c r="F472" i="9"/>
  <c r="F473" i="9"/>
  <c r="F474" i="9"/>
  <c r="F475" i="9"/>
  <c r="F476" i="9"/>
  <c r="F477" i="9"/>
  <c r="F478" i="9"/>
  <c r="F479" i="9"/>
  <c r="F480" i="9"/>
  <c r="F481" i="9"/>
  <c r="F482" i="9"/>
  <c r="F483" i="9"/>
  <c r="F484" i="9"/>
  <c r="F485" i="9"/>
  <c r="F486" i="9"/>
  <c r="F487" i="9"/>
  <c r="F488" i="9"/>
  <c r="F489" i="9"/>
  <c r="F490" i="9"/>
  <c r="F491" i="9"/>
  <c r="F492" i="9"/>
  <c r="F493" i="9"/>
  <c r="F494" i="9"/>
  <c r="F495" i="9"/>
  <c r="F496" i="9"/>
  <c r="F497" i="9"/>
  <c r="F498" i="9"/>
  <c r="F499" i="9"/>
  <c r="F500" i="9"/>
  <c r="F501" i="9"/>
  <c r="F502" i="9"/>
  <c r="F503" i="9"/>
  <c r="F504" i="9"/>
  <c r="F505" i="9"/>
  <c r="F506" i="9"/>
  <c r="F507" i="9"/>
  <c r="F508" i="9"/>
  <c r="F509" i="9"/>
  <c r="F510" i="9"/>
  <c r="F511" i="9"/>
  <c r="F512" i="9"/>
  <c r="F513" i="9"/>
  <c r="F514" i="9"/>
  <c r="F515" i="9"/>
  <c r="F516" i="9"/>
  <c r="F517" i="9"/>
  <c r="F518" i="9"/>
  <c r="F519" i="9"/>
  <c r="F520" i="9"/>
  <c r="F521" i="9"/>
  <c r="F522" i="9"/>
  <c r="F523" i="9"/>
  <c r="F524" i="9"/>
  <c r="F525" i="9"/>
  <c r="F526" i="9"/>
  <c r="F527" i="9"/>
  <c r="F528" i="9"/>
  <c r="F529" i="9"/>
  <c r="F530" i="9"/>
  <c r="F531" i="9"/>
  <c r="F532" i="9"/>
  <c r="F533" i="9"/>
  <c r="F534" i="9"/>
  <c r="F535" i="9"/>
  <c r="F536" i="9"/>
  <c r="F537" i="9"/>
  <c r="F538" i="9"/>
  <c r="F539" i="9"/>
  <c r="F540" i="9"/>
  <c r="F541" i="9"/>
  <c r="F542" i="9"/>
  <c r="F543" i="9"/>
  <c r="F544" i="9"/>
  <c r="F545" i="9"/>
  <c r="F546" i="9"/>
  <c r="F547" i="9"/>
  <c r="F548" i="9"/>
  <c r="F549" i="9"/>
  <c r="F550" i="9"/>
  <c r="F551" i="9"/>
  <c r="F552" i="9"/>
  <c r="F553" i="9"/>
  <c r="F554" i="9"/>
  <c r="F555" i="9"/>
  <c r="F556" i="9"/>
  <c r="F557" i="9"/>
  <c r="F558" i="9"/>
  <c r="F559" i="9"/>
  <c r="F560" i="9"/>
  <c r="F561" i="9"/>
  <c r="F562" i="9"/>
  <c r="F563" i="9"/>
  <c r="F564" i="9"/>
  <c r="F565" i="9"/>
  <c r="F566" i="9"/>
  <c r="F567" i="9"/>
  <c r="F568" i="9"/>
  <c r="F569" i="9"/>
  <c r="F570" i="9"/>
  <c r="F571" i="9"/>
  <c r="F572" i="9"/>
  <c r="F573" i="9"/>
  <c r="F574" i="9"/>
  <c r="F575" i="9"/>
  <c r="F576" i="9"/>
  <c r="F577" i="9"/>
  <c r="F578" i="9"/>
  <c r="F579" i="9"/>
  <c r="F580" i="9"/>
  <c r="F581" i="9"/>
  <c r="F582" i="9"/>
  <c r="F583" i="9"/>
  <c r="F584" i="9"/>
  <c r="F585" i="9"/>
  <c r="F586" i="9"/>
  <c r="F587" i="9"/>
  <c r="F588" i="9"/>
  <c r="F589" i="9"/>
  <c r="F590" i="9"/>
  <c r="F591" i="9"/>
  <c r="F592" i="9"/>
  <c r="F593" i="9"/>
  <c r="F594" i="9"/>
  <c r="F595" i="9"/>
  <c r="F596" i="9"/>
  <c r="F597" i="9"/>
  <c r="F598" i="9"/>
  <c r="F599" i="9"/>
  <c r="F600" i="9"/>
  <c r="F601" i="9"/>
  <c r="F602" i="9"/>
  <c r="F603" i="9"/>
  <c r="F604" i="9"/>
  <c r="F605" i="9"/>
  <c r="F606" i="9"/>
  <c r="F607" i="9"/>
  <c r="F608" i="9"/>
  <c r="F609" i="9"/>
  <c r="F610" i="9"/>
  <c r="F611" i="9"/>
  <c r="F612" i="9"/>
  <c r="F613" i="9"/>
  <c r="F614" i="9"/>
  <c r="F615" i="9"/>
  <c r="F616" i="9"/>
  <c r="F617" i="9"/>
  <c r="F618" i="9"/>
  <c r="F619" i="9"/>
  <c r="F620" i="9"/>
  <c r="F621" i="9"/>
  <c r="F622" i="9"/>
  <c r="F623" i="9"/>
  <c r="F624" i="9"/>
  <c r="F625" i="9"/>
  <c r="F626" i="9"/>
  <c r="F627" i="9"/>
  <c r="F628" i="9"/>
  <c r="F629" i="9"/>
  <c r="F630" i="9"/>
  <c r="F631" i="9"/>
  <c r="F632" i="9"/>
  <c r="F633" i="9"/>
  <c r="F634" i="9"/>
  <c r="F635" i="9"/>
  <c r="F636" i="9"/>
  <c r="F637" i="9"/>
  <c r="F638" i="9"/>
  <c r="F639" i="9"/>
  <c r="F640" i="9"/>
  <c r="F641" i="9"/>
  <c r="F642" i="9"/>
  <c r="F643" i="9"/>
  <c r="F644" i="9"/>
  <c r="F645" i="9"/>
  <c r="F646" i="9"/>
  <c r="F647" i="9"/>
  <c r="F648" i="9"/>
  <c r="F649" i="9"/>
  <c r="F650" i="9"/>
  <c r="F651" i="9"/>
  <c r="F652" i="9"/>
  <c r="F653" i="9"/>
  <c r="F654" i="9"/>
  <c r="F655" i="9"/>
  <c r="F656" i="9"/>
  <c r="F657" i="9"/>
  <c r="F658" i="9"/>
  <c r="F659" i="9"/>
  <c r="F660" i="9"/>
  <c r="F661" i="9"/>
  <c r="F662" i="9"/>
  <c r="F663" i="9"/>
  <c r="F664" i="9"/>
  <c r="F665" i="9"/>
  <c r="F666" i="9"/>
  <c r="F667" i="9"/>
  <c r="F668" i="9"/>
  <c r="F669" i="9"/>
  <c r="F670" i="9"/>
  <c r="F671" i="9"/>
  <c r="F672" i="9"/>
  <c r="F673" i="9"/>
  <c r="F674" i="9"/>
  <c r="F675" i="9"/>
  <c r="F676" i="9"/>
  <c r="F677" i="9"/>
  <c r="F678" i="9"/>
  <c r="F679" i="9"/>
  <c r="F680" i="9"/>
  <c r="F681" i="9"/>
  <c r="F682" i="9"/>
  <c r="F683" i="9"/>
  <c r="F684" i="9"/>
  <c r="F685" i="9"/>
  <c r="F686" i="9"/>
  <c r="F687" i="9"/>
  <c r="F688" i="9"/>
  <c r="F689" i="9"/>
  <c r="F690" i="9"/>
  <c r="F691" i="9"/>
  <c r="F692" i="9"/>
  <c r="F693" i="9"/>
  <c r="F694" i="9"/>
  <c r="F695" i="9"/>
  <c r="F696" i="9"/>
  <c r="F697" i="9"/>
  <c r="F698" i="9"/>
  <c r="F699" i="9"/>
  <c r="F700" i="9"/>
  <c r="F701" i="9"/>
  <c r="F702" i="9"/>
  <c r="F703" i="9"/>
  <c r="F704" i="9"/>
  <c r="F705" i="9"/>
  <c r="F706" i="9"/>
  <c r="F707" i="9"/>
  <c r="F708" i="9"/>
  <c r="F709" i="9"/>
  <c r="F710" i="9"/>
  <c r="F711" i="9"/>
  <c r="F712" i="9"/>
  <c r="F713" i="9"/>
  <c r="F714" i="9"/>
  <c r="F715" i="9"/>
  <c r="F716" i="9"/>
  <c r="F717" i="9"/>
  <c r="F718" i="9"/>
  <c r="F719" i="9"/>
  <c r="F720" i="9"/>
  <c r="F721" i="9"/>
  <c r="F722" i="9"/>
  <c r="F723" i="9"/>
  <c r="F724" i="9"/>
  <c r="F725" i="9"/>
  <c r="F726" i="9"/>
  <c r="F727" i="9"/>
  <c r="F728" i="9"/>
  <c r="F729" i="9"/>
  <c r="F730" i="9"/>
  <c r="F731" i="9"/>
  <c r="F732" i="9"/>
  <c r="F733" i="9"/>
  <c r="F734" i="9"/>
  <c r="F735" i="9"/>
  <c r="F736" i="9"/>
  <c r="F737" i="9"/>
  <c r="F738" i="9"/>
  <c r="F739" i="9"/>
  <c r="F740" i="9"/>
  <c r="F741" i="9"/>
  <c r="F742" i="9"/>
  <c r="F743" i="9"/>
  <c r="F744" i="9"/>
  <c r="F745" i="9"/>
  <c r="F746" i="9"/>
  <c r="F747" i="9"/>
  <c r="F748" i="9"/>
  <c r="F749" i="9"/>
  <c r="F750" i="9"/>
  <c r="F751" i="9"/>
  <c r="F752" i="9"/>
  <c r="F753" i="9"/>
  <c r="F754" i="9"/>
  <c r="F755" i="9"/>
  <c r="F756" i="9"/>
  <c r="F757" i="9"/>
  <c r="F758" i="9"/>
  <c r="F759" i="9"/>
  <c r="F760" i="9"/>
  <c r="F761" i="9"/>
  <c r="F762" i="9"/>
  <c r="F763" i="9"/>
  <c r="F764" i="9"/>
  <c r="F765" i="9"/>
  <c r="F766" i="9"/>
  <c r="F767" i="9"/>
  <c r="F768" i="9"/>
  <c r="F769" i="9"/>
  <c r="F770" i="9"/>
  <c r="F771" i="9"/>
  <c r="F772" i="9"/>
  <c r="F773" i="9"/>
  <c r="F774" i="9"/>
  <c r="F775" i="9"/>
  <c r="F776" i="9"/>
  <c r="F777" i="9"/>
  <c r="F778" i="9"/>
  <c r="F779" i="9"/>
  <c r="F780" i="9"/>
  <c r="F781" i="9"/>
  <c r="F782" i="9"/>
  <c r="F783" i="9"/>
  <c r="F784" i="9"/>
  <c r="F785" i="9"/>
  <c r="F786" i="9"/>
  <c r="F787" i="9"/>
  <c r="F788" i="9"/>
  <c r="F789" i="9"/>
  <c r="F790" i="9"/>
  <c r="F791" i="9"/>
  <c r="F792" i="9"/>
  <c r="F793" i="9"/>
  <c r="F794" i="9"/>
  <c r="F795" i="9"/>
  <c r="F796" i="9"/>
  <c r="F797" i="9"/>
  <c r="F798" i="9"/>
  <c r="F799" i="9"/>
  <c r="F800" i="9"/>
  <c r="F801" i="9"/>
  <c r="F802" i="9"/>
  <c r="F803" i="9"/>
  <c r="F804" i="9"/>
  <c r="F805" i="9"/>
  <c r="F806" i="9"/>
  <c r="F807" i="9"/>
  <c r="F808" i="9"/>
  <c r="F809" i="9"/>
  <c r="F810" i="9"/>
  <c r="F811" i="9"/>
  <c r="F812" i="9"/>
  <c r="F813" i="9"/>
  <c r="F814" i="9"/>
  <c r="F815" i="9"/>
  <c r="F816" i="9"/>
  <c r="F817" i="9"/>
  <c r="F818" i="9"/>
  <c r="F819" i="9"/>
  <c r="F820" i="9"/>
  <c r="F821" i="9"/>
  <c r="F822" i="9"/>
  <c r="F823" i="9"/>
  <c r="F824" i="9"/>
  <c r="F825" i="9"/>
  <c r="F826" i="9"/>
  <c r="F827" i="9"/>
  <c r="F828" i="9"/>
  <c r="F829" i="9"/>
  <c r="F830" i="9"/>
  <c r="F831" i="9"/>
  <c r="F832" i="9"/>
  <c r="F833" i="9"/>
  <c r="F834" i="9"/>
  <c r="F835" i="9"/>
  <c r="F836" i="9"/>
  <c r="F837" i="9"/>
  <c r="F838" i="9"/>
  <c r="F839" i="9"/>
  <c r="F840" i="9"/>
  <c r="F841" i="9"/>
  <c r="F842" i="9"/>
  <c r="F843" i="9"/>
  <c r="F844" i="9"/>
  <c r="F845" i="9"/>
  <c r="F846" i="9"/>
  <c r="F847" i="9"/>
  <c r="F848" i="9"/>
  <c r="F849" i="9"/>
  <c r="F850" i="9"/>
  <c r="F851" i="9"/>
  <c r="F852" i="9"/>
  <c r="F853" i="9"/>
  <c r="F854" i="9"/>
  <c r="F855" i="9"/>
  <c r="F856" i="9"/>
  <c r="F857" i="9"/>
  <c r="F858" i="9"/>
  <c r="F859" i="9"/>
  <c r="F860" i="9"/>
  <c r="F861" i="9"/>
  <c r="F862" i="9"/>
  <c r="F863" i="9"/>
  <c r="F864" i="9"/>
  <c r="F865" i="9"/>
  <c r="F866" i="9"/>
  <c r="F867" i="9"/>
  <c r="F868" i="9"/>
  <c r="F869" i="9"/>
  <c r="F870" i="9"/>
  <c r="F871" i="9"/>
  <c r="F872" i="9"/>
  <c r="F873" i="9"/>
  <c r="F874" i="9"/>
  <c r="F875" i="9"/>
  <c r="F876" i="9"/>
  <c r="F877" i="9"/>
  <c r="F878" i="9"/>
  <c r="F879" i="9"/>
  <c r="F880" i="9"/>
  <c r="F881" i="9"/>
  <c r="F882" i="9"/>
  <c r="F883" i="9"/>
  <c r="F884" i="9"/>
  <c r="F885" i="9"/>
  <c r="F886" i="9"/>
  <c r="F887" i="9"/>
  <c r="F888" i="9"/>
  <c r="F889" i="9"/>
  <c r="F890" i="9"/>
  <c r="F891" i="9"/>
  <c r="F892" i="9"/>
  <c r="F893" i="9"/>
  <c r="F894" i="9"/>
  <c r="F895" i="9"/>
  <c r="F896" i="9"/>
  <c r="F897" i="9"/>
  <c r="F898" i="9"/>
  <c r="F899" i="9"/>
  <c r="F900" i="9"/>
  <c r="F901" i="9"/>
  <c r="F902" i="9"/>
  <c r="F903" i="9"/>
  <c r="F904" i="9"/>
  <c r="F905" i="9"/>
  <c r="F906" i="9"/>
  <c r="F907" i="9"/>
  <c r="F908" i="9"/>
  <c r="F909" i="9"/>
  <c r="F910" i="9"/>
  <c r="F911" i="9"/>
  <c r="F912" i="9"/>
  <c r="F913" i="9"/>
  <c r="F914" i="9"/>
  <c r="F915" i="9"/>
  <c r="F916" i="9"/>
  <c r="F917" i="9"/>
  <c r="F918" i="9"/>
  <c r="F919" i="9"/>
  <c r="F920" i="9"/>
  <c r="F921" i="9"/>
  <c r="F922" i="9"/>
  <c r="F923" i="9"/>
  <c r="F924" i="9"/>
  <c r="F925" i="9"/>
  <c r="F926" i="9"/>
  <c r="F927" i="9"/>
  <c r="F928" i="9"/>
  <c r="F929" i="9"/>
  <c r="F930" i="9"/>
  <c r="F931" i="9"/>
  <c r="F932" i="9"/>
  <c r="F933" i="9"/>
  <c r="F934" i="9"/>
  <c r="F935" i="9"/>
  <c r="F936" i="9"/>
  <c r="F937" i="9"/>
  <c r="F938" i="9"/>
  <c r="F939" i="9"/>
  <c r="F940" i="9"/>
  <c r="F941" i="9"/>
  <c r="F942" i="9"/>
  <c r="F943" i="9"/>
  <c r="F944" i="9"/>
  <c r="F945" i="9"/>
  <c r="F946" i="9"/>
  <c r="F947" i="9"/>
  <c r="F948" i="9"/>
  <c r="F949" i="9"/>
  <c r="F950" i="9"/>
  <c r="F951" i="9"/>
  <c r="F952" i="9"/>
  <c r="F953" i="9"/>
  <c r="F954" i="9"/>
  <c r="F955" i="9"/>
  <c r="F956" i="9"/>
  <c r="F957" i="9"/>
  <c r="F958" i="9"/>
  <c r="F959" i="9"/>
  <c r="F960" i="9"/>
  <c r="F961" i="9"/>
  <c r="F962" i="9"/>
  <c r="F963" i="9"/>
  <c r="F964" i="9"/>
  <c r="F965" i="9"/>
  <c r="F966" i="9"/>
  <c r="F967" i="9"/>
  <c r="F968" i="9"/>
  <c r="F969" i="9"/>
  <c r="F970" i="9"/>
  <c r="F971" i="9"/>
  <c r="F972" i="9"/>
  <c r="F973" i="9"/>
  <c r="F974" i="9"/>
  <c r="F975" i="9"/>
  <c r="F976" i="9"/>
  <c r="F977" i="9"/>
  <c r="F978" i="9"/>
  <c r="F979" i="9"/>
  <c r="F980" i="9"/>
  <c r="F981" i="9"/>
  <c r="F982" i="9"/>
  <c r="F983" i="9"/>
  <c r="F984" i="9"/>
  <c r="F985" i="9"/>
  <c r="F986" i="9"/>
  <c r="F987" i="9"/>
  <c r="F988" i="9"/>
  <c r="F989" i="9"/>
  <c r="F990" i="9"/>
  <c r="F991" i="9"/>
  <c r="F992" i="9"/>
  <c r="F993" i="9"/>
  <c r="F994" i="9"/>
  <c r="F995" i="9"/>
  <c r="F996" i="9"/>
  <c r="F997" i="9"/>
  <c r="F998" i="9"/>
  <c r="F999" i="9"/>
  <c r="F1000" i="9"/>
  <c r="F1001" i="9"/>
  <c r="F1002" i="9"/>
  <c r="F1003" i="9"/>
  <c r="F1004" i="9"/>
  <c r="F1005" i="9"/>
  <c r="F1006" i="9"/>
  <c r="F1007" i="9"/>
  <c r="F1008" i="9"/>
  <c r="F1009" i="9"/>
  <c r="F1010" i="9"/>
  <c r="F1011" i="9"/>
  <c r="F1012" i="9"/>
  <c r="F1013" i="9"/>
  <c r="F1014" i="9"/>
  <c r="F1015" i="9"/>
  <c r="F1016" i="9"/>
  <c r="F1017" i="9"/>
  <c r="F1018" i="9"/>
  <c r="F1019" i="9"/>
  <c r="F1020" i="9"/>
  <c r="F1021" i="9"/>
  <c r="F1022" i="9"/>
  <c r="F1023" i="9"/>
  <c r="F1024" i="9"/>
  <c r="F1025" i="9"/>
  <c r="F1026" i="9"/>
  <c r="F1027" i="9"/>
  <c r="F1028" i="9"/>
  <c r="F1029" i="9"/>
  <c r="F1030" i="9"/>
  <c r="F1031" i="9"/>
  <c r="F1032" i="9"/>
  <c r="F1033" i="9"/>
  <c r="F1034" i="9"/>
  <c r="F1035" i="9"/>
  <c r="F1036" i="9"/>
  <c r="F1037" i="9"/>
  <c r="F1038" i="9"/>
  <c r="F1039" i="9"/>
  <c r="F1040" i="9"/>
  <c r="F1041" i="9"/>
  <c r="F1042" i="9"/>
  <c r="F1043" i="9"/>
  <c r="F1044" i="9"/>
  <c r="F1045" i="9"/>
  <c r="F1046" i="9"/>
  <c r="F1047" i="9"/>
  <c r="F1048" i="9"/>
  <c r="F1049" i="9"/>
  <c r="F1050" i="9"/>
  <c r="F1051" i="9"/>
  <c r="F1052" i="9"/>
  <c r="F1053" i="9"/>
  <c r="F1054" i="9"/>
  <c r="F1055" i="9"/>
  <c r="F1056" i="9"/>
  <c r="F1057" i="9"/>
  <c r="F1058" i="9"/>
  <c r="F1059" i="9"/>
  <c r="F1060" i="9"/>
  <c r="F1061" i="9"/>
  <c r="F1062" i="9"/>
  <c r="F1063" i="9"/>
  <c r="F1064" i="9"/>
  <c r="F1065" i="9"/>
  <c r="F1066" i="9"/>
  <c r="F1067" i="9"/>
  <c r="F1068" i="9"/>
  <c r="F1069" i="9"/>
  <c r="F1070" i="9"/>
  <c r="F1071" i="9"/>
  <c r="F1072" i="9"/>
  <c r="F1073" i="9"/>
  <c r="F1074" i="9"/>
  <c r="F1075" i="9"/>
  <c r="F1076" i="9"/>
  <c r="F1077" i="9"/>
  <c r="F1078" i="9"/>
  <c r="F1079" i="9"/>
  <c r="F1080" i="9"/>
  <c r="F1081" i="9"/>
  <c r="F1082" i="9"/>
  <c r="F1083" i="9"/>
  <c r="F1084" i="9"/>
  <c r="F1085" i="9"/>
  <c r="F1086" i="9"/>
  <c r="F1087" i="9"/>
  <c r="F1088" i="9"/>
  <c r="F1089" i="9"/>
  <c r="F1090" i="9"/>
  <c r="F1091" i="9"/>
  <c r="F1092" i="9"/>
  <c r="F1093" i="9"/>
  <c r="F1094" i="9"/>
  <c r="F1095" i="9"/>
  <c r="F1096" i="9"/>
  <c r="F1097" i="9"/>
  <c r="F1098" i="9"/>
  <c r="F1099" i="9"/>
  <c r="F1100" i="9"/>
  <c r="F1101" i="9"/>
  <c r="F1102" i="9"/>
  <c r="F1103" i="9"/>
  <c r="F1104" i="9"/>
  <c r="F1105" i="9"/>
  <c r="F1106" i="9"/>
  <c r="F1107" i="9"/>
  <c r="F1108" i="9"/>
  <c r="F1109" i="9"/>
  <c r="F1110" i="9"/>
  <c r="F1111" i="9"/>
  <c r="F1112" i="9"/>
  <c r="F1113" i="9"/>
  <c r="F1114" i="9"/>
  <c r="F1115" i="9"/>
  <c r="F1116" i="9"/>
  <c r="F1117" i="9"/>
  <c r="F1118" i="9"/>
  <c r="F1119" i="9"/>
  <c r="F1120" i="9"/>
  <c r="F1121" i="9"/>
  <c r="F1122" i="9"/>
  <c r="F1123" i="9"/>
  <c r="F1124" i="9"/>
  <c r="F1125" i="9"/>
  <c r="F1126" i="9"/>
  <c r="F1127" i="9"/>
  <c r="F1128" i="9"/>
  <c r="F1129" i="9"/>
  <c r="F1130" i="9"/>
  <c r="F1131" i="9"/>
  <c r="F1132" i="9"/>
  <c r="F1133" i="9"/>
  <c r="F1134" i="9"/>
  <c r="F1135" i="9"/>
  <c r="F1136" i="9"/>
  <c r="F1137" i="9"/>
  <c r="F1138" i="9"/>
  <c r="F1139" i="9"/>
  <c r="F1140" i="9"/>
  <c r="F1141" i="9"/>
  <c r="F1142" i="9"/>
  <c r="F1143" i="9"/>
  <c r="F1144" i="9"/>
  <c r="F1145" i="9"/>
  <c r="F1146" i="9"/>
  <c r="F1147" i="9"/>
  <c r="F1148" i="9"/>
  <c r="F1149" i="9"/>
  <c r="F1150" i="9"/>
  <c r="F1151" i="9"/>
  <c r="F1152" i="9"/>
  <c r="F1153" i="9"/>
  <c r="F1154" i="9"/>
  <c r="F1155" i="9"/>
  <c r="F1156" i="9"/>
  <c r="F1157" i="9"/>
  <c r="F1158" i="9"/>
  <c r="F1159" i="9"/>
  <c r="F1160" i="9"/>
  <c r="F1161" i="9"/>
  <c r="F1162" i="9"/>
  <c r="F1163" i="9"/>
  <c r="F1164" i="9"/>
  <c r="F1165" i="9"/>
  <c r="F1166" i="9"/>
  <c r="F1167" i="9"/>
  <c r="F1168" i="9"/>
  <c r="F1169" i="9"/>
  <c r="F1170" i="9"/>
  <c r="F1171" i="9"/>
  <c r="F1172" i="9"/>
  <c r="F1173" i="9"/>
  <c r="F1174" i="9"/>
  <c r="F1175" i="9"/>
  <c r="F1176" i="9"/>
  <c r="F1177" i="9"/>
  <c r="F1178" i="9"/>
  <c r="F1179" i="9"/>
  <c r="F1180" i="9"/>
  <c r="F1181" i="9"/>
  <c r="F1182" i="9"/>
  <c r="F1183" i="9"/>
  <c r="F1184" i="9"/>
  <c r="F1185" i="9"/>
  <c r="F1186" i="9"/>
  <c r="F1187" i="9"/>
  <c r="F1188" i="9"/>
  <c r="F1189" i="9"/>
  <c r="F1190" i="9"/>
  <c r="F1191" i="9"/>
  <c r="F1192" i="9"/>
  <c r="F1193" i="9"/>
  <c r="F1194" i="9"/>
  <c r="F1195" i="9"/>
  <c r="F1196" i="9"/>
  <c r="F1197" i="9"/>
  <c r="F1198" i="9"/>
  <c r="F1199" i="9"/>
  <c r="F1200" i="9"/>
  <c r="F1201" i="9"/>
  <c r="F1202" i="9"/>
  <c r="F1203" i="9"/>
  <c r="F1204" i="9"/>
  <c r="F1205" i="9"/>
  <c r="F1206" i="9"/>
  <c r="F1207" i="9"/>
  <c r="F1208" i="9"/>
  <c r="F1209" i="9"/>
  <c r="F1210" i="9"/>
  <c r="F1211" i="9"/>
  <c r="F1212" i="9"/>
  <c r="F1213" i="9"/>
  <c r="F1214" i="9"/>
  <c r="F1215" i="9"/>
  <c r="F1216" i="9"/>
  <c r="F1217" i="9"/>
  <c r="F1218" i="9"/>
  <c r="F1219" i="9"/>
  <c r="F1220" i="9"/>
  <c r="F1221" i="9"/>
  <c r="F1222" i="9"/>
  <c r="F1223" i="9"/>
  <c r="F1224" i="9"/>
  <c r="F1225" i="9"/>
  <c r="F1226" i="9"/>
  <c r="F1227" i="9"/>
  <c r="F1228" i="9"/>
  <c r="F1229" i="9"/>
  <c r="F1230" i="9"/>
  <c r="F1231" i="9"/>
  <c r="F1232" i="9"/>
  <c r="F1233" i="9"/>
  <c r="F1234" i="9"/>
  <c r="F1235" i="9"/>
  <c r="F1236" i="9"/>
  <c r="F1237" i="9"/>
  <c r="F1238" i="9"/>
  <c r="F1239" i="9"/>
  <c r="F1240" i="9"/>
  <c r="F1241" i="9"/>
  <c r="F1242" i="9"/>
  <c r="F1243" i="9"/>
  <c r="F1244" i="9"/>
  <c r="F1245" i="9"/>
  <c r="F1246" i="9"/>
  <c r="F1247" i="9"/>
  <c r="F1248" i="9"/>
  <c r="F1249" i="9"/>
  <c r="F1250" i="9"/>
  <c r="F1251" i="9"/>
  <c r="F1252" i="9"/>
  <c r="F1253" i="9"/>
  <c r="F1254" i="9"/>
  <c r="F1255" i="9"/>
  <c r="F1256" i="9"/>
  <c r="F1257" i="9"/>
  <c r="F1258" i="9"/>
  <c r="F1259" i="9"/>
  <c r="F1260" i="9"/>
  <c r="F1261" i="9"/>
  <c r="F1262" i="9"/>
  <c r="F1263" i="9"/>
  <c r="F1264" i="9"/>
  <c r="F1265" i="9"/>
  <c r="F1266" i="9"/>
  <c r="F1267" i="9"/>
  <c r="F1268" i="9"/>
  <c r="F1269" i="9"/>
  <c r="F1270" i="9"/>
  <c r="F1271" i="9"/>
  <c r="F1272" i="9"/>
  <c r="F1273" i="9"/>
  <c r="F1274" i="9"/>
  <c r="F1275" i="9"/>
  <c r="F1276" i="9"/>
  <c r="F1277" i="9"/>
  <c r="F1278" i="9"/>
  <c r="F1279" i="9"/>
  <c r="F1280" i="9"/>
  <c r="F1281" i="9"/>
  <c r="F1282" i="9"/>
  <c r="F1283" i="9"/>
  <c r="F1284" i="9"/>
  <c r="F1285" i="9"/>
  <c r="F1286" i="9"/>
  <c r="F1287" i="9"/>
  <c r="F1288" i="9"/>
  <c r="F1289" i="9"/>
  <c r="F1290" i="9"/>
  <c r="F1291" i="9"/>
  <c r="F1292" i="9"/>
  <c r="F1293" i="9"/>
  <c r="F1294" i="9"/>
  <c r="F1295" i="9"/>
  <c r="F1296" i="9"/>
  <c r="F1297" i="9"/>
  <c r="F1298" i="9"/>
  <c r="F1299" i="9"/>
  <c r="F1300" i="9"/>
  <c r="F1301" i="9"/>
  <c r="F1302" i="9"/>
  <c r="F1303" i="9"/>
  <c r="F1304" i="9"/>
  <c r="F1305" i="9"/>
  <c r="F1306" i="9"/>
  <c r="F1307" i="9"/>
  <c r="F1308" i="9"/>
  <c r="F1309" i="9"/>
  <c r="F1310" i="9"/>
  <c r="F1311" i="9"/>
  <c r="F1312" i="9"/>
  <c r="F1313" i="9"/>
  <c r="F1314" i="9"/>
  <c r="F1315" i="9"/>
  <c r="F1316" i="9"/>
  <c r="F1317" i="9"/>
  <c r="F1318" i="9"/>
  <c r="F1319" i="9"/>
  <c r="F1320" i="9"/>
  <c r="F1321" i="9"/>
  <c r="F1322" i="9"/>
  <c r="F1323" i="9"/>
  <c r="F1324" i="9"/>
  <c r="F1325" i="9"/>
  <c r="F1326" i="9"/>
  <c r="F1327" i="9"/>
  <c r="F1328" i="9"/>
  <c r="F1329" i="9"/>
  <c r="F1330" i="9"/>
  <c r="F1331" i="9"/>
  <c r="F1332" i="9"/>
  <c r="F1333" i="9"/>
  <c r="F1334" i="9"/>
  <c r="F1335" i="9"/>
  <c r="F1336" i="9"/>
  <c r="F1337" i="9"/>
  <c r="F1338" i="9"/>
  <c r="F1339" i="9"/>
  <c r="F1340" i="9"/>
  <c r="F1341" i="9"/>
  <c r="F1342" i="9"/>
  <c r="F1343" i="9"/>
  <c r="F1344" i="9"/>
  <c r="F1345" i="9"/>
  <c r="F1346" i="9"/>
  <c r="F1347" i="9"/>
  <c r="F1348" i="9"/>
  <c r="F1349" i="9"/>
  <c r="F1350" i="9"/>
  <c r="F1351" i="9"/>
  <c r="F1352" i="9"/>
  <c r="F1353" i="9"/>
  <c r="F1354" i="9"/>
  <c r="F1355" i="9"/>
  <c r="F1356" i="9"/>
  <c r="F1357" i="9"/>
  <c r="F1358" i="9"/>
  <c r="F1359" i="9"/>
  <c r="F1360" i="9"/>
  <c r="F1361" i="9"/>
  <c r="F1362" i="9"/>
  <c r="F1363" i="9"/>
  <c r="F1364" i="9"/>
  <c r="F1365" i="9"/>
  <c r="F1366" i="9"/>
  <c r="F1367" i="9"/>
  <c r="F1368" i="9"/>
  <c r="F1369" i="9"/>
  <c r="F1370" i="9"/>
  <c r="F1371" i="9"/>
  <c r="F1372" i="9"/>
  <c r="F1373" i="9"/>
  <c r="F1374" i="9"/>
  <c r="F1375" i="9"/>
  <c r="F1376" i="9"/>
  <c r="F1377" i="9"/>
  <c r="F1378" i="9"/>
  <c r="F1379" i="9"/>
  <c r="F1380" i="9"/>
  <c r="F1381" i="9"/>
  <c r="F1382" i="9"/>
  <c r="F1383" i="9"/>
  <c r="F1384" i="9"/>
  <c r="F1385" i="9"/>
  <c r="F1386" i="9"/>
  <c r="F1387" i="9"/>
  <c r="F1388" i="9"/>
  <c r="F1389" i="9"/>
  <c r="F1390" i="9"/>
  <c r="F1391" i="9"/>
  <c r="F1392" i="9"/>
  <c r="F1393" i="9"/>
  <c r="F1394" i="9"/>
  <c r="F1395" i="9"/>
  <c r="F1396" i="9"/>
  <c r="F1397" i="9"/>
  <c r="F1398" i="9"/>
  <c r="F1399" i="9"/>
  <c r="F1400" i="9"/>
  <c r="F1401" i="9"/>
  <c r="F1402" i="9"/>
  <c r="F1403" i="9"/>
  <c r="F1404" i="9"/>
  <c r="F1405" i="9"/>
  <c r="F1406" i="9"/>
  <c r="F1407" i="9"/>
  <c r="F1408" i="9"/>
  <c r="F1409" i="9"/>
  <c r="F1410" i="9"/>
  <c r="F1411" i="9"/>
  <c r="F1412" i="9"/>
  <c r="F1413" i="9"/>
  <c r="F1414" i="9"/>
  <c r="F1415" i="9"/>
  <c r="F1416" i="9"/>
  <c r="F1417" i="9"/>
  <c r="F1418" i="9"/>
  <c r="F1419" i="9"/>
  <c r="F1420" i="9"/>
  <c r="F1421" i="9"/>
  <c r="F1422" i="9"/>
  <c r="F1423" i="9"/>
  <c r="F1424" i="9"/>
  <c r="F1425" i="9"/>
  <c r="F1426" i="9"/>
  <c r="F1427" i="9"/>
  <c r="F1428" i="9"/>
  <c r="F1429" i="9"/>
  <c r="F1430" i="9"/>
  <c r="F1431" i="9"/>
  <c r="F1432" i="9"/>
  <c r="F1433" i="9"/>
  <c r="F1434" i="9"/>
  <c r="F1435" i="9"/>
  <c r="F1436" i="9"/>
  <c r="F1437" i="9"/>
  <c r="F1438" i="9"/>
  <c r="F1439" i="9"/>
  <c r="F1440" i="9"/>
  <c r="F1441" i="9"/>
  <c r="F1442" i="9"/>
  <c r="F1443" i="9"/>
  <c r="F1444" i="9"/>
  <c r="F1445" i="9"/>
  <c r="F1446" i="9"/>
  <c r="F1447" i="9"/>
  <c r="F1448" i="9"/>
  <c r="F1449" i="9"/>
  <c r="F1450" i="9"/>
  <c r="F1451" i="9"/>
  <c r="F1452" i="9"/>
  <c r="F1453" i="9"/>
  <c r="F1454" i="9"/>
  <c r="F1455" i="9"/>
  <c r="F1456" i="9"/>
  <c r="F1457" i="9"/>
  <c r="F1458" i="9"/>
  <c r="F1459" i="9"/>
  <c r="F1460" i="9"/>
  <c r="F1461" i="9"/>
  <c r="F1462" i="9"/>
  <c r="F1463" i="9"/>
  <c r="F1464" i="9"/>
  <c r="F1465" i="9"/>
  <c r="F1466" i="9"/>
  <c r="F1467" i="9"/>
  <c r="F1468" i="9"/>
  <c r="F1469" i="9"/>
  <c r="F1470" i="9"/>
  <c r="F1471" i="9"/>
  <c r="F1472" i="9"/>
  <c r="F1473" i="9"/>
  <c r="F1474" i="9"/>
  <c r="F1475" i="9"/>
  <c r="F1476" i="9"/>
  <c r="F1477" i="9"/>
  <c r="F1478" i="9"/>
  <c r="F1479" i="9"/>
  <c r="F1480" i="9"/>
  <c r="F1481" i="9"/>
  <c r="F1482" i="9"/>
  <c r="F1483" i="9"/>
  <c r="F1484" i="9"/>
  <c r="F1485" i="9"/>
  <c r="F1486" i="9"/>
  <c r="F1487" i="9"/>
  <c r="F1488" i="9"/>
  <c r="F1489" i="9"/>
  <c r="F1490" i="9"/>
  <c r="F1491" i="9"/>
  <c r="F1492" i="9"/>
  <c r="F1493" i="9"/>
  <c r="F1494" i="9"/>
  <c r="F1495" i="9"/>
  <c r="F1496" i="9"/>
  <c r="F1497" i="9"/>
  <c r="F1498" i="9"/>
  <c r="F1499" i="9"/>
  <c r="F1500" i="9"/>
  <c r="F1501" i="9"/>
  <c r="F1502" i="9"/>
  <c r="F1503" i="9"/>
  <c r="F1504" i="9"/>
  <c r="F1505" i="9"/>
  <c r="F1506" i="9"/>
  <c r="F1507" i="9"/>
  <c r="F1508" i="9"/>
  <c r="F1509" i="9"/>
  <c r="F1510" i="9"/>
  <c r="F1511" i="9"/>
  <c r="F1512" i="9"/>
  <c r="F1513" i="9"/>
  <c r="F1514" i="9"/>
  <c r="F1515" i="9"/>
  <c r="F1516" i="9"/>
  <c r="F1517" i="9"/>
  <c r="F1518" i="9"/>
  <c r="F1519" i="9"/>
  <c r="F1520" i="9"/>
  <c r="F1521" i="9"/>
  <c r="F1522" i="9"/>
  <c r="F1523" i="9"/>
  <c r="F1524" i="9"/>
  <c r="F1525" i="9"/>
  <c r="F1526" i="9"/>
  <c r="F1527" i="9"/>
  <c r="F1528" i="9"/>
  <c r="F1529" i="9"/>
  <c r="F1530" i="9"/>
  <c r="F1531" i="9"/>
  <c r="F1532" i="9"/>
  <c r="F1533" i="9"/>
  <c r="F1534" i="9"/>
  <c r="F1535" i="9"/>
  <c r="F1536" i="9"/>
  <c r="F1537" i="9"/>
  <c r="F1538" i="9"/>
  <c r="F1539" i="9"/>
  <c r="F1540" i="9"/>
  <c r="F1541" i="9"/>
  <c r="F1542" i="9"/>
  <c r="F1543" i="9"/>
  <c r="F1544" i="9"/>
  <c r="F1545" i="9"/>
  <c r="F1546" i="9"/>
  <c r="F1547" i="9"/>
  <c r="F1548" i="9"/>
  <c r="F1549" i="9"/>
  <c r="F1550" i="9"/>
  <c r="F1551" i="9"/>
  <c r="F1552" i="9"/>
  <c r="F1553" i="9"/>
  <c r="F1554" i="9"/>
  <c r="F1555" i="9"/>
  <c r="F1556" i="9"/>
  <c r="F1557" i="9"/>
  <c r="F1558" i="9"/>
  <c r="F1559" i="9"/>
  <c r="F1560" i="9"/>
  <c r="F1561" i="9"/>
  <c r="F1562" i="9"/>
  <c r="F1563" i="9"/>
  <c r="F1564" i="9"/>
  <c r="F1565" i="9"/>
  <c r="F1566" i="9"/>
  <c r="F1567" i="9"/>
  <c r="F1568" i="9"/>
  <c r="F1569" i="9"/>
  <c r="F1570" i="9"/>
  <c r="F1571" i="9"/>
  <c r="F1572" i="9"/>
  <c r="F1573" i="9"/>
  <c r="F1574" i="9"/>
  <c r="F1575" i="9"/>
  <c r="F1576" i="9"/>
  <c r="F1577" i="9"/>
  <c r="F1578" i="9"/>
  <c r="F1579" i="9"/>
  <c r="F1580" i="9"/>
  <c r="F1581" i="9"/>
  <c r="F1582" i="9"/>
  <c r="F1583" i="9"/>
  <c r="F1584" i="9"/>
  <c r="F1585" i="9"/>
  <c r="F2" i="9"/>
  <c r="E3" i="9"/>
  <c r="E4" i="9"/>
  <c r="E5" i="9"/>
  <c r="E6" i="9"/>
  <c r="E7" i="9"/>
  <c r="E8" i="9"/>
  <c r="E9" i="9"/>
  <c r="E10" i="9"/>
  <c r="E11" i="9"/>
  <c r="E12" i="9"/>
  <c r="E13" i="9"/>
  <c r="E14" i="9"/>
  <c r="E15" i="9"/>
  <c r="E16" i="9"/>
  <c r="E17" i="9"/>
  <c r="E18" i="9"/>
  <c r="E19" i="9"/>
  <c r="E20" i="9"/>
  <c r="E21" i="9"/>
  <c r="E22" i="9"/>
  <c r="E23" i="9"/>
  <c r="E24" i="9"/>
  <c r="E25" i="9"/>
  <c r="E26" i="9"/>
  <c r="E27" i="9"/>
  <c r="E28" i="9"/>
  <c r="E29" i="9"/>
  <c r="E30" i="9"/>
  <c r="E31" i="9"/>
  <c r="E32" i="9"/>
  <c r="E33" i="9"/>
  <c r="E34" i="9"/>
  <c r="E35" i="9"/>
  <c r="E36" i="9"/>
  <c r="E37" i="9"/>
  <c r="E38" i="9"/>
  <c r="E39" i="9"/>
  <c r="E40" i="9"/>
  <c r="E41" i="9"/>
  <c r="E42" i="9"/>
  <c r="E43" i="9"/>
  <c r="E44" i="9"/>
  <c r="E45" i="9"/>
  <c r="E46" i="9"/>
  <c r="E47" i="9"/>
  <c r="E48" i="9"/>
  <c r="E49" i="9"/>
  <c r="E50" i="9"/>
  <c r="E51" i="9"/>
  <c r="E52" i="9"/>
  <c r="E53" i="9"/>
  <c r="E54" i="9"/>
  <c r="E55" i="9"/>
  <c r="E56" i="9"/>
  <c r="E57" i="9"/>
  <c r="E58" i="9"/>
  <c r="E59" i="9"/>
  <c r="E60" i="9"/>
  <c r="E61" i="9"/>
  <c r="E62" i="9"/>
  <c r="E63" i="9"/>
  <c r="E64" i="9"/>
  <c r="E65" i="9"/>
  <c r="E66" i="9"/>
  <c r="E67" i="9"/>
  <c r="E68" i="9"/>
  <c r="E69" i="9"/>
  <c r="E70" i="9"/>
  <c r="E71" i="9"/>
  <c r="E72" i="9"/>
  <c r="E73" i="9"/>
  <c r="E74" i="9"/>
  <c r="E75" i="9"/>
  <c r="E76" i="9"/>
  <c r="E77" i="9"/>
  <c r="E78" i="9"/>
  <c r="E79" i="9"/>
  <c r="E80" i="9"/>
  <c r="E81" i="9"/>
  <c r="E82" i="9"/>
  <c r="E83" i="9"/>
  <c r="E84" i="9"/>
  <c r="E85" i="9"/>
  <c r="E86" i="9"/>
  <c r="E87" i="9"/>
  <c r="E88" i="9"/>
  <c r="E89" i="9"/>
  <c r="E90" i="9"/>
  <c r="E91" i="9"/>
  <c r="E92" i="9"/>
  <c r="E93" i="9"/>
  <c r="E94" i="9"/>
  <c r="E95" i="9"/>
  <c r="E96" i="9"/>
  <c r="E97" i="9"/>
  <c r="E98" i="9"/>
  <c r="E99" i="9"/>
  <c r="E100" i="9"/>
  <c r="E101" i="9"/>
  <c r="E102" i="9"/>
  <c r="E103" i="9"/>
  <c r="E104" i="9"/>
  <c r="E105" i="9"/>
  <c r="E106" i="9"/>
  <c r="E107" i="9"/>
  <c r="E108" i="9"/>
  <c r="E109" i="9"/>
  <c r="E110" i="9"/>
  <c r="E111" i="9"/>
  <c r="E112" i="9"/>
  <c r="E113" i="9"/>
  <c r="E114" i="9"/>
  <c r="E115" i="9"/>
  <c r="E116" i="9"/>
  <c r="E117" i="9"/>
  <c r="E118" i="9"/>
  <c r="E119" i="9"/>
  <c r="E120" i="9"/>
  <c r="E121" i="9"/>
  <c r="E122" i="9"/>
  <c r="E123" i="9"/>
  <c r="E124" i="9"/>
  <c r="E125" i="9"/>
  <c r="E126" i="9"/>
  <c r="E127" i="9"/>
  <c r="E128" i="9"/>
  <c r="E129" i="9"/>
  <c r="E130" i="9"/>
  <c r="E131" i="9"/>
  <c r="E132" i="9"/>
  <c r="E133" i="9"/>
  <c r="E134" i="9"/>
  <c r="E135" i="9"/>
  <c r="E136" i="9"/>
  <c r="E137" i="9"/>
  <c r="E138" i="9"/>
  <c r="E139" i="9"/>
  <c r="E140" i="9"/>
  <c r="E141" i="9"/>
  <c r="E142" i="9"/>
  <c r="E143" i="9"/>
  <c r="E144" i="9"/>
  <c r="E145" i="9"/>
  <c r="E146" i="9"/>
  <c r="E147" i="9"/>
  <c r="E148" i="9"/>
  <c r="E149" i="9"/>
  <c r="E150" i="9"/>
  <c r="E151" i="9"/>
  <c r="E152" i="9"/>
  <c r="E153" i="9"/>
  <c r="E154" i="9"/>
  <c r="E155" i="9"/>
  <c r="E156" i="9"/>
  <c r="E157" i="9"/>
  <c r="E158" i="9"/>
  <c r="E159" i="9"/>
  <c r="E160" i="9"/>
  <c r="E161" i="9"/>
  <c r="E162" i="9"/>
  <c r="E163" i="9"/>
  <c r="E164" i="9"/>
  <c r="E165" i="9"/>
  <c r="E166" i="9"/>
  <c r="E167" i="9"/>
  <c r="E168" i="9"/>
  <c r="E169" i="9"/>
  <c r="E170" i="9"/>
  <c r="E171" i="9"/>
  <c r="E172" i="9"/>
  <c r="E173" i="9"/>
  <c r="E174" i="9"/>
  <c r="E175" i="9"/>
  <c r="E176" i="9"/>
  <c r="E177" i="9"/>
  <c r="E178" i="9"/>
  <c r="E179" i="9"/>
  <c r="E180" i="9"/>
  <c r="E181" i="9"/>
  <c r="E182" i="9"/>
  <c r="E183" i="9"/>
  <c r="E184" i="9"/>
  <c r="E185" i="9"/>
  <c r="E186" i="9"/>
  <c r="E187" i="9"/>
  <c r="E188" i="9"/>
  <c r="E189" i="9"/>
  <c r="E190" i="9"/>
  <c r="E191" i="9"/>
  <c r="E192" i="9"/>
  <c r="E193" i="9"/>
  <c r="E194" i="9"/>
  <c r="E195" i="9"/>
  <c r="E196" i="9"/>
  <c r="E197" i="9"/>
  <c r="E198" i="9"/>
  <c r="E199" i="9"/>
  <c r="E200" i="9"/>
  <c r="E201" i="9"/>
  <c r="E202" i="9"/>
  <c r="E203" i="9"/>
  <c r="E204" i="9"/>
  <c r="E205" i="9"/>
  <c r="E206" i="9"/>
  <c r="E207" i="9"/>
  <c r="E208" i="9"/>
  <c r="E209" i="9"/>
  <c r="E210" i="9"/>
  <c r="E211" i="9"/>
  <c r="E212" i="9"/>
  <c r="E213" i="9"/>
  <c r="E214" i="9"/>
  <c r="E215" i="9"/>
  <c r="E216" i="9"/>
  <c r="E217" i="9"/>
  <c r="E218" i="9"/>
  <c r="E219" i="9"/>
  <c r="E220" i="9"/>
  <c r="E221" i="9"/>
  <c r="E222" i="9"/>
  <c r="E223" i="9"/>
  <c r="E224" i="9"/>
  <c r="E225" i="9"/>
  <c r="E226" i="9"/>
  <c r="E227" i="9"/>
  <c r="E228" i="9"/>
  <c r="E229" i="9"/>
  <c r="E230" i="9"/>
  <c r="E231" i="9"/>
  <c r="E232" i="9"/>
  <c r="E233" i="9"/>
  <c r="E234" i="9"/>
  <c r="E235" i="9"/>
  <c r="E236" i="9"/>
  <c r="E237" i="9"/>
  <c r="E238" i="9"/>
  <c r="E239" i="9"/>
  <c r="E240" i="9"/>
  <c r="E241" i="9"/>
  <c r="E242" i="9"/>
  <c r="E243" i="9"/>
  <c r="E244" i="9"/>
  <c r="E245" i="9"/>
  <c r="E246" i="9"/>
  <c r="E247" i="9"/>
  <c r="E248" i="9"/>
  <c r="E249" i="9"/>
  <c r="E250" i="9"/>
  <c r="E251" i="9"/>
  <c r="E252" i="9"/>
  <c r="E253" i="9"/>
  <c r="E254" i="9"/>
  <c r="E255" i="9"/>
  <c r="E256" i="9"/>
  <c r="E257" i="9"/>
  <c r="E258" i="9"/>
  <c r="E259" i="9"/>
  <c r="E260" i="9"/>
  <c r="E261" i="9"/>
  <c r="E262" i="9"/>
  <c r="E263" i="9"/>
  <c r="E264" i="9"/>
  <c r="E265" i="9"/>
  <c r="E266" i="9"/>
  <c r="E267" i="9"/>
  <c r="E268" i="9"/>
  <c r="E269" i="9"/>
  <c r="E270" i="9"/>
  <c r="E271" i="9"/>
  <c r="E272" i="9"/>
  <c r="E273" i="9"/>
  <c r="E274" i="9"/>
  <c r="E275" i="9"/>
  <c r="E276" i="9"/>
  <c r="E277" i="9"/>
  <c r="E278" i="9"/>
  <c r="E279" i="9"/>
  <c r="E280" i="9"/>
  <c r="E281" i="9"/>
  <c r="E282" i="9"/>
  <c r="E283" i="9"/>
  <c r="E284" i="9"/>
  <c r="E285" i="9"/>
  <c r="E286" i="9"/>
  <c r="E287" i="9"/>
  <c r="E288" i="9"/>
  <c r="E289" i="9"/>
  <c r="E290" i="9"/>
  <c r="E291" i="9"/>
  <c r="E292" i="9"/>
  <c r="E293" i="9"/>
  <c r="E294" i="9"/>
  <c r="E295" i="9"/>
  <c r="E296" i="9"/>
  <c r="E297" i="9"/>
  <c r="E298" i="9"/>
  <c r="E299" i="9"/>
  <c r="E300" i="9"/>
  <c r="E301" i="9"/>
  <c r="E302" i="9"/>
  <c r="E303" i="9"/>
  <c r="E304" i="9"/>
  <c r="E305" i="9"/>
  <c r="E306" i="9"/>
  <c r="E307" i="9"/>
  <c r="E308" i="9"/>
  <c r="E309" i="9"/>
  <c r="E310" i="9"/>
  <c r="E311" i="9"/>
  <c r="E312" i="9"/>
  <c r="E313" i="9"/>
  <c r="E314" i="9"/>
  <c r="E315" i="9"/>
  <c r="E316" i="9"/>
  <c r="E317" i="9"/>
  <c r="E318" i="9"/>
  <c r="E319" i="9"/>
  <c r="E320" i="9"/>
  <c r="E321" i="9"/>
  <c r="E322" i="9"/>
  <c r="E323" i="9"/>
  <c r="E324" i="9"/>
  <c r="E325" i="9"/>
  <c r="E326" i="9"/>
  <c r="E327" i="9"/>
  <c r="E328" i="9"/>
  <c r="E329" i="9"/>
  <c r="E330" i="9"/>
  <c r="E331" i="9"/>
  <c r="E332" i="9"/>
  <c r="E333" i="9"/>
  <c r="E334" i="9"/>
  <c r="E335" i="9"/>
  <c r="E336" i="9"/>
  <c r="E337" i="9"/>
  <c r="E338" i="9"/>
  <c r="E339" i="9"/>
  <c r="E340" i="9"/>
  <c r="E341" i="9"/>
  <c r="E342" i="9"/>
  <c r="E343" i="9"/>
  <c r="E344" i="9"/>
  <c r="E345" i="9"/>
  <c r="E346" i="9"/>
  <c r="E347" i="9"/>
  <c r="E348" i="9"/>
  <c r="E349" i="9"/>
  <c r="E350" i="9"/>
  <c r="E351" i="9"/>
  <c r="E352" i="9"/>
  <c r="E353" i="9"/>
  <c r="E354" i="9"/>
  <c r="E355" i="9"/>
  <c r="E356" i="9"/>
  <c r="E357" i="9"/>
  <c r="E358" i="9"/>
  <c r="E359" i="9"/>
  <c r="E360" i="9"/>
  <c r="E361" i="9"/>
  <c r="E362" i="9"/>
  <c r="E363" i="9"/>
  <c r="E364" i="9"/>
  <c r="E365" i="9"/>
  <c r="E366" i="9"/>
  <c r="E367" i="9"/>
  <c r="E368" i="9"/>
  <c r="E369" i="9"/>
  <c r="E370" i="9"/>
  <c r="E371" i="9"/>
  <c r="E372" i="9"/>
  <c r="E373" i="9"/>
  <c r="E374" i="9"/>
  <c r="E375" i="9"/>
  <c r="E376" i="9"/>
  <c r="E377" i="9"/>
  <c r="E378" i="9"/>
  <c r="E379" i="9"/>
  <c r="E380" i="9"/>
  <c r="E381" i="9"/>
  <c r="E382" i="9"/>
  <c r="E383" i="9"/>
  <c r="E384" i="9"/>
  <c r="E385" i="9"/>
  <c r="E386" i="9"/>
  <c r="E387" i="9"/>
  <c r="E388" i="9"/>
  <c r="E389" i="9"/>
  <c r="E390" i="9"/>
  <c r="E391" i="9"/>
  <c r="E392" i="9"/>
  <c r="E393" i="9"/>
  <c r="E394" i="9"/>
  <c r="E395" i="9"/>
  <c r="E396" i="9"/>
  <c r="E397" i="9"/>
  <c r="E398" i="9"/>
  <c r="E399" i="9"/>
  <c r="E400" i="9"/>
  <c r="E401" i="9"/>
  <c r="E402" i="9"/>
  <c r="E403" i="9"/>
  <c r="E404" i="9"/>
  <c r="E405" i="9"/>
  <c r="E406" i="9"/>
  <c r="E407" i="9"/>
  <c r="E408" i="9"/>
  <c r="E409" i="9"/>
  <c r="E410" i="9"/>
  <c r="E411" i="9"/>
  <c r="E412" i="9"/>
  <c r="E413" i="9"/>
  <c r="E414" i="9"/>
  <c r="E415" i="9"/>
  <c r="E416" i="9"/>
  <c r="E417" i="9"/>
  <c r="E418" i="9"/>
  <c r="E419" i="9"/>
  <c r="E420" i="9"/>
  <c r="E421" i="9"/>
  <c r="E422" i="9"/>
  <c r="E423" i="9"/>
  <c r="E424" i="9"/>
  <c r="E425" i="9"/>
  <c r="E426" i="9"/>
  <c r="E427" i="9"/>
  <c r="E428" i="9"/>
  <c r="E429" i="9"/>
  <c r="E430" i="9"/>
  <c r="E431" i="9"/>
  <c r="E432" i="9"/>
  <c r="E433" i="9"/>
  <c r="E434" i="9"/>
  <c r="E435" i="9"/>
  <c r="E436" i="9"/>
  <c r="E437" i="9"/>
  <c r="E438" i="9"/>
  <c r="E439" i="9"/>
  <c r="E440" i="9"/>
  <c r="E441" i="9"/>
  <c r="E442" i="9"/>
  <c r="E443" i="9"/>
  <c r="E444" i="9"/>
  <c r="E445" i="9"/>
  <c r="E446" i="9"/>
  <c r="E447" i="9"/>
  <c r="E448" i="9"/>
  <c r="E449" i="9"/>
  <c r="E450" i="9"/>
  <c r="E451" i="9"/>
  <c r="E452" i="9"/>
  <c r="E453" i="9"/>
  <c r="E454" i="9"/>
  <c r="E455" i="9"/>
  <c r="E456" i="9"/>
  <c r="E457" i="9"/>
  <c r="E458" i="9"/>
  <c r="E459" i="9"/>
  <c r="E460" i="9"/>
  <c r="E461" i="9"/>
  <c r="E462" i="9"/>
  <c r="E463" i="9"/>
  <c r="E464" i="9"/>
  <c r="E465" i="9"/>
  <c r="E466" i="9"/>
  <c r="E467" i="9"/>
  <c r="E468" i="9"/>
  <c r="E469" i="9"/>
  <c r="E470" i="9"/>
  <c r="E471" i="9"/>
  <c r="E472" i="9"/>
  <c r="E473" i="9"/>
  <c r="E474" i="9"/>
  <c r="E475" i="9"/>
  <c r="E476" i="9"/>
  <c r="E477" i="9"/>
  <c r="E478" i="9"/>
  <c r="E479" i="9"/>
  <c r="E480" i="9"/>
  <c r="E481" i="9"/>
  <c r="E482" i="9"/>
  <c r="E483" i="9"/>
  <c r="E484" i="9"/>
  <c r="E485" i="9"/>
  <c r="E486" i="9"/>
  <c r="E487" i="9"/>
  <c r="E488" i="9"/>
  <c r="E489" i="9"/>
  <c r="E490" i="9"/>
  <c r="E491" i="9"/>
  <c r="E492" i="9"/>
  <c r="E493" i="9"/>
  <c r="E494" i="9"/>
  <c r="E495" i="9"/>
  <c r="E496" i="9"/>
  <c r="E497" i="9"/>
  <c r="E498" i="9"/>
  <c r="E499" i="9"/>
  <c r="E500" i="9"/>
  <c r="E501" i="9"/>
  <c r="E502" i="9"/>
  <c r="E503" i="9"/>
  <c r="E504" i="9"/>
  <c r="E505" i="9"/>
  <c r="E506" i="9"/>
  <c r="E507" i="9"/>
  <c r="E508" i="9"/>
  <c r="E509" i="9"/>
  <c r="E510" i="9"/>
  <c r="E511" i="9"/>
  <c r="E512" i="9"/>
  <c r="E513" i="9"/>
  <c r="E514" i="9"/>
  <c r="E515" i="9"/>
  <c r="E516" i="9"/>
  <c r="E517" i="9"/>
  <c r="E518" i="9"/>
  <c r="E519" i="9"/>
  <c r="E520" i="9"/>
  <c r="E521" i="9"/>
  <c r="E522" i="9"/>
  <c r="E523" i="9"/>
  <c r="E524" i="9"/>
  <c r="E525" i="9"/>
  <c r="E526" i="9"/>
  <c r="E527" i="9"/>
  <c r="E528" i="9"/>
  <c r="E529" i="9"/>
  <c r="E530" i="9"/>
  <c r="E531" i="9"/>
  <c r="E532" i="9"/>
  <c r="E533" i="9"/>
  <c r="E534" i="9"/>
  <c r="E535" i="9"/>
  <c r="E536" i="9"/>
  <c r="E537" i="9"/>
  <c r="E538" i="9"/>
  <c r="E539" i="9"/>
  <c r="E540" i="9"/>
  <c r="E541" i="9"/>
  <c r="E542" i="9"/>
  <c r="E543" i="9"/>
  <c r="E544" i="9"/>
  <c r="E545" i="9"/>
  <c r="E546" i="9"/>
  <c r="E547" i="9"/>
  <c r="E548" i="9"/>
  <c r="E549" i="9"/>
  <c r="E550" i="9"/>
  <c r="E551" i="9"/>
  <c r="E552" i="9"/>
  <c r="E553" i="9"/>
  <c r="E554" i="9"/>
  <c r="E555" i="9"/>
  <c r="E556" i="9"/>
  <c r="E557" i="9"/>
  <c r="E558" i="9"/>
  <c r="E559" i="9"/>
  <c r="E560" i="9"/>
  <c r="E561" i="9"/>
  <c r="E562" i="9"/>
  <c r="E563" i="9"/>
  <c r="E564" i="9"/>
  <c r="E565" i="9"/>
  <c r="E566" i="9"/>
  <c r="E567" i="9"/>
  <c r="E568" i="9"/>
  <c r="E569" i="9"/>
  <c r="E570" i="9"/>
  <c r="E571" i="9"/>
  <c r="E572" i="9"/>
  <c r="E573" i="9"/>
  <c r="E574" i="9"/>
  <c r="E575" i="9"/>
  <c r="E576" i="9"/>
  <c r="E577" i="9"/>
  <c r="E578" i="9"/>
  <c r="E579" i="9"/>
  <c r="E580" i="9"/>
  <c r="E581" i="9"/>
  <c r="E582" i="9"/>
  <c r="E583" i="9"/>
  <c r="E584" i="9"/>
  <c r="E585" i="9"/>
  <c r="E586" i="9"/>
  <c r="E587" i="9"/>
  <c r="E588" i="9"/>
  <c r="E589" i="9"/>
  <c r="E590" i="9"/>
  <c r="E591" i="9"/>
  <c r="E592" i="9"/>
  <c r="E593" i="9"/>
  <c r="E594" i="9"/>
  <c r="E595" i="9"/>
  <c r="E596" i="9"/>
  <c r="E597" i="9"/>
  <c r="E598" i="9"/>
  <c r="E599" i="9"/>
  <c r="E600" i="9"/>
  <c r="E601" i="9"/>
  <c r="E602" i="9"/>
  <c r="E603" i="9"/>
  <c r="E604" i="9"/>
  <c r="E605" i="9"/>
  <c r="E606" i="9"/>
  <c r="E607" i="9"/>
  <c r="E608" i="9"/>
  <c r="E609" i="9"/>
  <c r="E610" i="9"/>
  <c r="E611" i="9"/>
  <c r="E612" i="9"/>
  <c r="E613" i="9"/>
  <c r="E614" i="9"/>
  <c r="E615" i="9"/>
  <c r="E616" i="9"/>
  <c r="E617" i="9"/>
  <c r="E618" i="9"/>
  <c r="E619" i="9"/>
  <c r="E620" i="9"/>
  <c r="E621" i="9"/>
  <c r="E622" i="9"/>
  <c r="E623" i="9"/>
  <c r="E624" i="9"/>
  <c r="E625" i="9"/>
  <c r="E626" i="9"/>
  <c r="E627" i="9"/>
  <c r="E628" i="9"/>
  <c r="E629" i="9"/>
  <c r="E630" i="9"/>
  <c r="E631" i="9"/>
  <c r="E632" i="9"/>
  <c r="E633" i="9"/>
  <c r="E634" i="9"/>
  <c r="E635" i="9"/>
  <c r="E636" i="9"/>
  <c r="E637" i="9"/>
  <c r="E638" i="9"/>
  <c r="E639" i="9"/>
  <c r="E640" i="9"/>
  <c r="E641" i="9"/>
  <c r="E642" i="9"/>
  <c r="E643" i="9"/>
  <c r="E644" i="9"/>
  <c r="E645" i="9"/>
  <c r="E646" i="9"/>
  <c r="E647" i="9"/>
  <c r="E648" i="9"/>
  <c r="E649" i="9"/>
  <c r="E650" i="9"/>
  <c r="E651" i="9"/>
  <c r="E652" i="9"/>
  <c r="E653" i="9"/>
  <c r="E654" i="9"/>
  <c r="E655" i="9"/>
  <c r="E656" i="9"/>
  <c r="E657" i="9"/>
  <c r="E658" i="9"/>
  <c r="E659" i="9"/>
  <c r="E660" i="9"/>
  <c r="E661" i="9"/>
  <c r="E662" i="9"/>
  <c r="E663" i="9"/>
  <c r="E664" i="9"/>
  <c r="E665" i="9"/>
  <c r="E666" i="9"/>
  <c r="E667" i="9"/>
  <c r="E668" i="9"/>
  <c r="E669" i="9"/>
  <c r="E670" i="9"/>
  <c r="E671" i="9"/>
  <c r="E672" i="9"/>
  <c r="E673" i="9"/>
  <c r="E674" i="9"/>
  <c r="E675" i="9"/>
  <c r="E676" i="9"/>
  <c r="E677" i="9"/>
  <c r="E678" i="9"/>
  <c r="E679" i="9"/>
  <c r="E680" i="9"/>
  <c r="E681" i="9"/>
  <c r="E682" i="9"/>
  <c r="E683" i="9"/>
  <c r="E684" i="9"/>
  <c r="E685" i="9"/>
  <c r="E686" i="9"/>
  <c r="E687" i="9"/>
  <c r="E688" i="9"/>
  <c r="E689" i="9"/>
  <c r="E690" i="9"/>
  <c r="E691" i="9"/>
  <c r="E692" i="9"/>
  <c r="E693" i="9"/>
  <c r="E694" i="9"/>
  <c r="E695" i="9"/>
  <c r="E696" i="9"/>
  <c r="E697" i="9"/>
  <c r="E698" i="9"/>
  <c r="E699" i="9"/>
  <c r="E700" i="9"/>
  <c r="E701" i="9"/>
  <c r="E702" i="9"/>
  <c r="E703" i="9"/>
  <c r="E704" i="9"/>
  <c r="E705" i="9"/>
  <c r="E706" i="9"/>
  <c r="E707" i="9"/>
  <c r="E708" i="9"/>
  <c r="E709" i="9"/>
  <c r="E710" i="9"/>
  <c r="E711" i="9"/>
  <c r="E712" i="9"/>
  <c r="E713" i="9"/>
  <c r="E714" i="9"/>
  <c r="E715" i="9"/>
  <c r="E716" i="9"/>
  <c r="E717" i="9"/>
  <c r="E718" i="9"/>
  <c r="E719" i="9"/>
  <c r="E720" i="9"/>
  <c r="E721" i="9"/>
  <c r="E722" i="9"/>
  <c r="E723" i="9"/>
  <c r="E724" i="9"/>
  <c r="E725" i="9"/>
  <c r="E726" i="9"/>
  <c r="E727" i="9"/>
  <c r="E728" i="9"/>
  <c r="E729" i="9"/>
  <c r="E730" i="9"/>
  <c r="E731" i="9"/>
  <c r="E732" i="9"/>
  <c r="E733" i="9"/>
  <c r="E734" i="9"/>
  <c r="E735" i="9"/>
  <c r="E736" i="9"/>
  <c r="E737" i="9"/>
  <c r="E738" i="9"/>
  <c r="E739" i="9"/>
  <c r="E740" i="9"/>
  <c r="E741" i="9"/>
  <c r="E742" i="9"/>
  <c r="E743" i="9"/>
  <c r="E744" i="9"/>
  <c r="E745" i="9"/>
  <c r="E746" i="9"/>
  <c r="E747" i="9"/>
  <c r="E748" i="9"/>
  <c r="E749" i="9"/>
  <c r="E750" i="9"/>
  <c r="E751" i="9"/>
  <c r="E752" i="9"/>
  <c r="E753" i="9"/>
  <c r="E754" i="9"/>
  <c r="E755" i="9"/>
  <c r="E756" i="9"/>
  <c r="E757" i="9"/>
  <c r="E758" i="9"/>
  <c r="E759" i="9"/>
  <c r="E760" i="9"/>
  <c r="E761" i="9"/>
  <c r="E762" i="9"/>
  <c r="E763" i="9"/>
  <c r="E764" i="9"/>
  <c r="E765" i="9"/>
  <c r="E766" i="9"/>
  <c r="E767" i="9"/>
  <c r="E768" i="9"/>
  <c r="E769" i="9"/>
  <c r="E770" i="9"/>
  <c r="E771" i="9"/>
  <c r="E772" i="9"/>
  <c r="E773" i="9"/>
  <c r="E774" i="9"/>
  <c r="E775" i="9"/>
  <c r="E776" i="9"/>
  <c r="E777" i="9"/>
  <c r="E778" i="9"/>
  <c r="E779" i="9"/>
  <c r="E780" i="9"/>
  <c r="E781" i="9"/>
  <c r="E782" i="9"/>
  <c r="E783" i="9"/>
  <c r="E784" i="9"/>
  <c r="E785" i="9"/>
  <c r="E786" i="9"/>
  <c r="E787" i="9"/>
  <c r="E788" i="9"/>
  <c r="E789" i="9"/>
  <c r="E790" i="9"/>
  <c r="E791" i="9"/>
  <c r="E792" i="9"/>
  <c r="E793" i="9"/>
  <c r="E794" i="9"/>
  <c r="E795" i="9"/>
  <c r="E796" i="9"/>
  <c r="E797" i="9"/>
  <c r="E798" i="9"/>
  <c r="E799" i="9"/>
  <c r="E800" i="9"/>
  <c r="E801" i="9"/>
  <c r="E802" i="9"/>
  <c r="E803" i="9"/>
  <c r="E804" i="9"/>
  <c r="E805" i="9"/>
  <c r="E806" i="9"/>
  <c r="E807" i="9"/>
  <c r="E808" i="9"/>
  <c r="E809" i="9"/>
  <c r="E810" i="9"/>
  <c r="E811" i="9"/>
  <c r="E812" i="9"/>
  <c r="E813" i="9"/>
  <c r="E814" i="9"/>
  <c r="E815" i="9"/>
  <c r="E816" i="9"/>
  <c r="E817" i="9"/>
  <c r="E818" i="9"/>
  <c r="E819" i="9"/>
  <c r="E820" i="9"/>
  <c r="E821" i="9"/>
  <c r="E822" i="9"/>
  <c r="E823" i="9"/>
  <c r="E824" i="9"/>
  <c r="E825" i="9"/>
  <c r="E826" i="9"/>
  <c r="E827" i="9"/>
  <c r="E828" i="9"/>
  <c r="E829" i="9"/>
  <c r="E830" i="9"/>
  <c r="E831" i="9"/>
  <c r="E832" i="9"/>
  <c r="E833" i="9"/>
  <c r="E834" i="9"/>
  <c r="E835" i="9"/>
  <c r="E836" i="9"/>
  <c r="E837" i="9"/>
  <c r="E838" i="9"/>
  <c r="E839" i="9"/>
  <c r="E840" i="9"/>
  <c r="E841" i="9"/>
  <c r="E842" i="9"/>
  <c r="E843" i="9"/>
  <c r="E844" i="9"/>
  <c r="E845" i="9"/>
  <c r="E846" i="9"/>
  <c r="E847" i="9"/>
  <c r="E848" i="9"/>
  <c r="E849" i="9"/>
  <c r="E850" i="9"/>
  <c r="E851" i="9"/>
  <c r="E852" i="9"/>
  <c r="E853" i="9"/>
  <c r="E854" i="9"/>
  <c r="E855" i="9"/>
  <c r="E856" i="9"/>
  <c r="E857" i="9"/>
  <c r="E858" i="9"/>
  <c r="E859" i="9"/>
  <c r="E860" i="9"/>
  <c r="E861" i="9"/>
  <c r="E862" i="9"/>
  <c r="E863" i="9"/>
  <c r="E864" i="9"/>
  <c r="E865" i="9"/>
  <c r="E866" i="9"/>
  <c r="E867" i="9"/>
  <c r="E868" i="9"/>
  <c r="E869" i="9"/>
  <c r="E870" i="9"/>
  <c r="E871" i="9"/>
  <c r="E872" i="9"/>
  <c r="E873" i="9"/>
  <c r="E874" i="9"/>
  <c r="E875" i="9"/>
  <c r="E876" i="9"/>
  <c r="E877" i="9"/>
  <c r="E878" i="9"/>
  <c r="E879" i="9"/>
  <c r="E880" i="9"/>
  <c r="E881" i="9"/>
  <c r="E882" i="9"/>
  <c r="E883" i="9"/>
  <c r="E884" i="9"/>
  <c r="E885" i="9"/>
  <c r="E886" i="9"/>
  <c r="E887" i="9"/>
  <c r="E888" i="9"/>
  <c r="E889" i="9"/>
  <c r="E890" i="9"/>
  <c r="E891" i="9"/>
  <c r="E892" i="9"/>
  <c r="E893" i="9"/>
  <c r="E894" i="9"/>
  <c r="E895" i="9"/>
  <c r="E896" i="9"/>
  <c r="E897" i="9"/>
  <c r="E898" i="9"/>
  <c r="E899" i="9"/>
  <c r="E900" i="9"/>
  <c r="E901" i="9"/>
  <c r="E902" i="9"/>
  <c r="E903" i="9"/>
  <c r="E904" i="9"/>
  <c r="E905" i="9"/>
  <c r="E906" i="9"/>
  <c r="E907" i="9"/>
  <c r="E908" i="9"/>
  <c r="E909" i="9"/>
  <c r="E910" i="9"/>
  <c r="E911" i="9"/>
  <c r="E912" i="9"/>
  <c r="E913" i="9"/>
  <c r="E914" i="9"/>
  <c r="E915" i="9"/>
  <c r="E916" i="9"/>
  <c r="E917" i="9"/>
  <c r="E918" i="9"/>
  <c r="E919" i="9"/>
  <c r="E920" i="9"/>
  <c r="E921" i="9"/>
  <c r="E922" i="9"/>
  <c r="E923" i="9"/>
  <c r="E924" i="9"/>
  <c r="E925" i="9"/>
  <c r="E926" i="9"/>
  <c r="E927" i="9"/>
  <c r="E928" i="9"/>
  <c r="E929" i="9"/>
  <c r="E930" i="9"/>
  <c r="E931" i="9"/>
  <c r="E932" i="9"/>
  <c r="E933" i="9"/>
  <c r="E934" i="9"/>
  <c r="E935" i="9"/>
  <c r="E936" i="9"/>
  <c r="E937" i="9"/>
  <c r="E938" i="9"/>
  <c r="E939" i="9"/>
  <c r="E940" i="9"/>
  <c r="E941" i="9"/>
  <c r="E942" i="9"/>
  <c r="E943" i="9"/>
  <c r="E944" i="9"/>
  <c r="E945" i="9"/>
  <c r="E946" i="9"/>
  <c r="E947" i="9"/>
  <c r="E948" i="9"/>
  <c r="E949" i="9"/>
  <c r="E950" i="9"/>
  <c r="E951" i="9"/>
  <c r="E952" i="9"/>
  <c r="E953" i="9"/>
  <c r="E954" i="9"/>
  <c r="E955" i="9"/>
  <c r="E956" i="9"/>
  <c r="E957" i="9"/>
  <c r="E958" i="9"/>
  <c r="E959" i="9"/>
  <c r="E960" i="9"/>
  <c r="E961" i="9"/>
  <c r="E962" i="9"/>
  <c r="E963" i="9"/>
  <c r="E964" i="9"/>
  <c r="E965" i="9"/>
  <c r="E966" i="9"/>
  <c r="E967" i="9"/>
  <c r="E968" i="9"/>
  <c r="E969" i="9"/>
  <c r="E970" i="9"/>
  <c r="E971" i="9"/>
  <c r="E972" i="9"/>
  <c r="E973" i="9"/>
  <c r="E974" i="9"/>
  <c r="E975" i="9"/>
  <c r="E976" i="9"/>
  <c r="E977" i="9"/>
  <c r="E978" i="9"/>
  <c r="E979" i="9"/>
  <c r="E980" i="9"/>
  <c r="E981" i="9"/>
  <c r="E982" i="9"/>
  <c r="E983" i="9"/>
  <c r="E984" i="9"/>
  <c r="E985" i="9"/>
  <c r="E986" i="9"/>
  <c r="E987" i="9"/>
  <c r="E988" i="9"/>
  <c r="E989" i="9"/>
  <c r="E990" i="9"/>
  <c r="E991" i="9"/>
  <c r="E992" i="9"/>
  <c r="E993" i="9"/>
  <c r="E994" i="9"/>
  <c r="E995" i="9"/>
  <c r="E996" i="9"/>
  <c r="E997" i="9"/>
  <c r="E998" i="9"/>
  <c r="E999" i="9"/>
  <c r="E1000" i="9"/>
  <c r="E1001" i="9"/>
  <c r="E1002" i="9"/>
  <c r="E1003" i="9"/>
  <c r="E1004" i="9"/>
  <c r="E1005" i="9"/>
  <c r="E1006" i="9"/>
  <c r="E1007" i="9"/>
  <c r="E1008" i="9"/>
  <c r="E1009" i="9"/>
  <c r="E1010" i="9"/>
  <c r="E1011" i="9"/>
  <c r="E1012" i="9"/>
  <c r="E1013" i="9"/>
  <c r="E1014" i="9"/>
  <c r="E1015" i="9"/>
  <c r="E1016" i="9"/>
  <c r="E1017" i="9"/>
  <c r="E1018" i="9"/>
  <c r="E1019" i="9"/>
  <c r="E1020" i="9"/>
  <c r="E1021" i="9"/>
  <c r="E1022" i="9"/>
  <c r="E1023" i="9"/>
  <c r="E1024" i="9"/>
  <c r="E1025" i="9"/>
  <c r="E1026" i="9"/>
  <c r="E1027" i="9"/>
  <c r="E1028" i="9"/>
  <c r="E1029" i="9"/>
  <c r="E1030" i="9"/>
  <c r="E1031" i="9"/>
  <c r="E1032" i="9"/>
  <c r="E1033" i="9"/>
  <c r="E1034" i="9"/>
  <c r="E1035" i="9"/>
  <c r="E1036" i="9"/>
  <c r="E1037" i="9"/>
  <c r="E1038" i="9"/>
  <c r="E1039" i="9"/>
  <c r="E1040" i="9"/>
  <c r="E1041" i="9"/>
  <c r="E1042" i="9"/>
  <c r="E1043" i="9"/>
  <c r="E1044" i="9"/>
  <c r="E1045" i="9"/>
  <c r="E1046" i="9"/>
  <c r="E1047" i="9"/>
  <c r="E1048" i="9"/>
  <c r="E1049" i="9"/>
  <c r="E1050" i="9"/>
  <c r="E1051" i="9"/>
  <c r="E1052" i="9"/>
  <c r="E1053" i="9"/>
  <c r="E1054" i="9"/>
  <c r="E1055" i="9"/>
  <c r="E1056" i="9"/>
  <c r="E1057" i="9"/>
  <c r="E1058" i="9"/>
  <c r="E1059" i="9"/>
  <c r="E1060" i="9"/>
  <c r="E1061" i="9"/>
  <c r="E1062" i="9"/>
  <c r="E1063" i="9"/>
  <c r="E1064" i="9"/>
  <c r="E1065" i="9"/>
  <c r="E1066" i="9"/>
  <c r="E1067" i="9"/>
  <c r="E1068" i="9"/>
  <c r="E1069" i="9"/>
  <c r="E1070" i="9"/>
  <c r="E1071" i="9"/>
  <c r="E1072" i="9"/>
  <c r="E1073" i="9"/>
  <c r="E1074" i="9"/>
  <c r="E1075" i="9"/>
  <c r="E1076" i="9"/>
  <c r="E1077" i="9"/>
  <c r="E1078" i="9"/>
  <c r="E1079" i="9"/>
  <c r="E1080" i="9"/>
  <c r="E1081" i="9"/>
  <c r="E1082" i="9"/>
  <c r="E1083" i="9"/>
  <c r="E1084" i="9"/>
  <c r="E1085" i="9"/>
  <c r="E1086" i="9"/>
  <c r="E1087" i="9"/>
  <c r="E1088" i="9"/>
  <c r="E1089" i="9"/>
  <c r="E1090" i="9"/>
  <c r="E1091" i="9"/>
  <c r="E1092" i="9"/>
  <c r="E1093" i="9"/>
  <c r="E1094" i="9"/>
  <c r="E1095" i="9"/>
  <c r="E1096" i="9"/>
  <c r="E1097" i="9"/>
  <c r="E1098" i="9"/>
  <c r="E1099" i="9"/>
  <c r="E1100" i="9"/>
  <c r="E1101" i="9"/>
  <c r="E1102" i="9"/>
  <c r="E1103" i="9"/>
  <c r="E1104" i="9"/>
  <c r="E1105" i="9"/>
  <c r="E1106" i="9"/>
  <c r="E1107" i="9"/>
  <c r="E1108" i="9"/>
  <c r="E1109" i="9"/>
  <c r="E1110" i="9"/>
  <c r="E1111" i="9"/>
  <c r="E1112" i="9"/>
  <c r="E1113" i="9"/>
  <c r="E1114" i="9"/>
  <c r="E1115" i="9"/>
  <c r="E1116" i="9"/>
  <c r="E1117" i="9"/>
  <c r="E1118" i="9"/>
  <c r="E1119" i="9"/>
  <c r="E1120" i="9"/>
  <c r="E1121" i="9"/>
  <c r="E1122" i="9"/>
  <c r="E1123" i="9"/>
  <c r="E1124" i="9"/>
  <c r="E1125" i="9"/>
  <c r="E1126" i="9"/>
  <c r="E1127" i="9"/>
  <c r="E1128" i="9"/>
  <c r="E1129" i="9"/>
  <c r="E1130" i="9"/>
  <c r="E1131" i="9"/>
  <c r="E1132" i="9"/>
  <c r="E1133" i="9"/>
  <c r="E1134" i="9"/>
  <c r="E1135" i="9"/>
  <c r="E1136" i="9"/>
  <c r="E1137" i="9"/>
  <c r="E1138" i="9"/>
  <c r="E1139" i="9"/>
  <c r="E1140" i="9"/>
  <c r="E1141" i="9"/>
  <c r="E1142" i="9"/>
  <c r="E1143" i="9"/>
  <c r="E1144" i="9"/>
  <c r="E1145" i="9"/>
  <c r="E1146" i="9"/>
  <c r="E1147" i="9"/>
  <c r="E1148" i="9"/>
  <c r="E1149" i="9"/>
  <c r="E1150" i="9"/>
  <c r="E1151" i="9"/>
  <c r="E1152" i="9"/>
  <c r="E1153" i="9"/>
  <c r="E1154" i="9"/>
  <c r="E1155" i="9"/>
  <c r="E1156" i="9"/>
  <c r="E1157" i="9"/>
  <c r="E1158" i="9"/>
  <c r="E1159" i="9"/>
  <c r="E1160" i="9"/>
  <c r="E1161" i="9"/>
  <c r="E1162" i="9"/>
  <c r="E1163" i="9"/>
  <c r="E1164" i="9"/>
  <c r="E1165" i="9"/>
  <c r="E1166" i="9"/>
  <c r="E1167" i="9"/>
  <c r="E1168" i="9"/>
  <c r="E1169" i="9"/>
  <c r="E1170" i="9"/>
  <c r="E1171" i="9"/>
  <c r="E1172" i="9"/>
  <c r="E1173" i="9"/>
  <c r="E1174" i="9"/>
  <c r="E1175" i="9"/>
  <c r="E1176" i="9"/>
  <c r="E1177" i="9"/>
  <c r="E1178" i="9"/>
  <c r="E1179" i="9"/>
  <c r="E1180" i="9"/>
  <c r="E1181" i="9"/>
  <c r="E1182" i="9"/>
  <c r="E1183" i="9"/>
  <c r="E1184" i="9"/>
  <c r="E1185" i="9"/>
  <c r="E1186" i="9"/>
  <c r="E1187" i="9"/>
  <c r="E1188" i="9"/>
  <c r="E1189" i="9"/>
  <c r="E1190" i="9"/>
  <c r="E1191" i="9"/>
  <c r="E1192" i="9"/>
  <c r="E1193" i="9"/>
  <c r="E1194" i="9"/>
  <c r="E1195" i="9"/>
  <c r="E1196" i="9"/>
  <c r="E1197" i="9"/>
  <c r="E1198" i="9"/>
  <c r="E1199" i="9"/>
  <c r="E1200" i="9"/>
  <c r="E1201" i="9"/>
  <c r="E1202" i="9"/>
  <c r="E1203" i="9"/>
  <c r="E1204" i="9"/>
  <c r="E1205" i="9"/>
  <c r="E1206" i="9"/>
  <c r="E1207" i="9"/>
  <c r="E1208" i="9"/>
  <c r="E1209" i="9"/>
  <c r="E1210" i="9"/>
  <c r="E1211" i="9"/>
  <c r="E1212" i="9"/>
  <c r="E1213" i="9"/>
  <c r="E1214" i="9"/>
  <c r="E1215" i="9"/>
  <c r="E1216" i="9"/>
  <c r="E1217" i="9"/>
  <c r="E1218" i="9"/>
  <c r="E1219" i="9"/>
  <c r="E1220" i="9"/>
  <c r="E1221" i="9"/>
  <c r="E1222" i="9"/>
  <c r="E1223" i="9"/>
  <c r="E1224" i="9"/>
  <c r="E1225" i="9"/>
  <c r="E1226" i="9"/>
  <c r="E1227" i="9"/>
  <c r="E1228" i="9"/>
  <c r="E1229" i="9"/>
  <c r="E1230" i="9"/>
  <c r="E1231" i="9"/>
  <c r="E1232" i="9"/>
  <c r="E1233" i="9"/>
  <c r="E1234" i="9"/>
  <c r="E1235" i="9"/>
  <c r="E1236" i="9"/>
  <c r="E1237" i="9"/>
  <c r="E1238" i="9"/>
  <c r="E1239" i="9"/>
  <c r="E1240" i="9"/>
  <c r="E1241" i="9"/>
  <c r="E1242" i="9"/>
  <c r="E1243" i="9"/>
  <c r="E1244" i="9"/>
  <c r="E1245" i="9"/>
  <c r="E1246" i="9"/>
  <c r="E1247" i="9"/>
  <c r="E1248" i="9"/>
  <c r="E1249" i="9"/>
  <c r="E1250" i="9"/>
  <c r="E1251" i="9"/>
  <c r="E1252" i="9"/>
  <c r="E1253" i="9"/>
  <c r="E1254" i="9"/>
  <c r="E1255" i="9"/>
  <c r="E1256" i="9"/>
  <c r="E1257" i="9"/>
  <c r="E1258" i="9"/>
  <c r="E1259" i="9"/>
  <c r="E1260" i="9"/>
  <c r="E1261" i="9"/>
  <c r="E1262" i="9"/>
  <c r="E1263" i="9"/>
  <c r="E1264" i="9"/>
  <c r="E1265" i="9"/>
  <c r="E1266" i="9"/>
  <c r="E1267" i="9"/>
  <c r="E1268" i="9"/>
  <c r="E1269" i="9"/>
  <c r="E1270" i="9"/>
  <c r="E1271" i="9"/>
  <c r="E1272" i="9"/>
  <c r="E1273" i="9"/>
  <c r="E1274" i="9"/>
  <c r="E1275" i="9"/>
  <c r="E1276" i="9"/>
  <c r="E1277" i="9"/>
  <c r="E1278" i="9"/>
  <c r="E1279" i="9"/>
  <c r="E1280" i="9"/>
  <c r="E1281" i="9"/>
  <c r="E1282" i="9"/>
  <c r="E1283" i="9"/>
  <c r="E1284" i="9"/>
  <c r="E1285" i="9"/>
  <c r="E1286" i="9"/>
  <c r="E1287" i="9"/>
  <c r="E1288" i="9"/>
  <c r="E1289" i="9"/>
  <c r="E1290" i="9"/>
  <c r="E1291" i="9"/>
  <c r="E1292" i="9"/>
  <c r="E1293" i="9"/>
  <c r="E1294" i="9"/>
  <c r="E1295" i="9"/>
  <c r="E1296" i="9"/>
  <c r="E1297" i="9"/>
  <c r="E1298" i="9"/>
  <c r="E1299" i="9"/>
  <c r="E1300" i="9"/>
  <c r="E1301" i="9"/>
  <c r="E1302" i="9"/>
  <c r="E1303" i="9"/>
  <c r="E1304" i="9"/>
  <c r="E1305" i="9"/>
  <c r="E1306" i="9"/>
  <c r="E1307" i="9"/>
  <c r="E1308" i="9"/>
  <c r="E1309" i="9"/>
  <c r="E1310" i="9"/>
  <c r="E1311" i="9"/>
  <c r="E1312" i="9"/>
  <c r="E1313" i="9"/>
  <c r="E1314" i="9"/>
  <c r="E1315" i="9"/>
  <c r="E1316" i="9"/>
  <c r="E1317" i="9"/>
  <c r="E1318" i="9"/>
  <c r="E1319" i="9"/>
  <c r="E1320" i="9"/>
  <c r="E1321" i="9"/>
  <c r="E1322" i="9"/>
  <c r="E1323" i="9"/>
  <c r="E1324" i="9"/>
  <c r="E1325" i="9"/>
  <c r="E1326" i="9"/>
  <c r="E1327" i="9"/>
  <c r="E1328" i="9"/>
  <c r="E1329" i="9"/>
  <c r="E1330" i="9"/>
  <c r="E1331" i="9"/>
  <c r="E1332" i="9"/>
  <c r="E1333" i="9"/>
  <c r="E1334" i="9"/>
  <c r="E1335" i="9"/>
  <c r="E1336" i="9"/>
  <c r="E1337" i="9"/>
  <c r="E1338" i="9"/>
  <c r="E1339" i="9"/>
  <c r="E1340" i="9"/>
  <c r="E1341" i="9"/>
  <c r="E1342" i="9"/>
  <c r="E1343" i="9"/>
  <c r="E1344" i="9"/>
  <c r="E1345" i="9"/>
  <c r="E1346" i="9"/>
  <c r="E1347" i="9"/>
  <c r="E1348" i="9"/>
  <c r="E1349" i="9"/>
  <c r="E1350" i="9"/>
  <c r="E1351" i="9"/>
  <c r="E1352" i="9"/>
  <c r="E1353" i="9"/>
  <c r="E1354" i="9"/>
  <c r="E1355" i="9"/>
  <c r="E1356" i="9"/>
  <c r="E1357" i="9"/>
  <c r="E1358" i="9"/>
  <c r="E1359" i="9"/>
  <c r="E1360" i="9"/>
  <c r="E1361" i="9"/>
  <c r="E1362" i="9"/>
  <c r="E1363" i="9"/>
  <c r="E1364" i="9"/>
  <c r="E1365" i="9"/>
  <c r="E1366" i="9"/>
  <c r="E1367" i="9"/>
  <c r="E1368" i="9"/>
  <c r="E1369" i="9"/>
  <c r="E1370" i="9"/>
  <c r="E1371" i="9"/>
  <c r="E1372" i="9"/>
  <c r="E1373" i="9"/>
  <c r="E1374" i="9"/>
  <c r="E1375" i="9"/>
  <c r="E1376" i="9"/>
  <c r="E1377" i="9"/>
  <c r="E1378" i="9"/>
  <c r="E1379" i="9"/>
  <c r="E1380" i="9"/>
  <c r="E1381" i="9"/>
  <c r="E1382" i="9"/>
  <c r="E1383" i="9"/>
  <c r="E1384" i="9"/>
  <c r="E1385" i="9"/>
  <c r="E1386" i="9"/>
  <c r="E1387" i="9"/>
  <c r="E1388" i="9"/>
  <c r="E1389" i="9"/>
  <c r="E1390" i="9"/>
  <c r="E1391" i="9"/>
  <c r="E1392" i="9"/>
  <c r="E1393" i="9"/>
  <c r="E1394" i="9"/>
  <c r="E1395" i="9"/>
  <c r="E1396" i="9"/>
  <c r="E1397" i="9"/>
  <c r="E1398" i="9"/>
  <c r="E1399" i="9"/>
  <c r="E1400" i="9"/>
  <c r="E1401" i="9"/>
  <c r="E1402" i="9"/>
  <c r="E1403" i="9"/>
  <c r="E1404" i="9"/>
  <c r="E1405" i="9"/>
  <c r="E1406" i="9"/>
  <c r="E1407" i="9"/>
  <c r="E1408" i="9"/>
  <c r="E1409" i="9"/>
  <c r="E1410" i="9"/>
  <c r="E1411" i="9"/>
  <c r="E1412" i="9"/>
  <c r="E1413" i="9"/>
  <c r="E1414" i="9"/>
  <c r="E1415" i="9"/>
  <c r="E1416" i="9"/>
  <c r="E1417" i="9"/>
  <c r="E1418" i="9"/>
  <c r="E1419" i="9"/>
  <c r="E1420" i="9"/>
  <c r="E1421" i="9"/>
  <c r="E1422" i="9"/>
  <c r="E1423" i="9"/>
  <c r="E1424" i="9"/>
  <c r="E1425" i="9"/>
  <c r="E1426" i="9"/>
  <c r="E1427" i="9"/>
  <c r="E1428" i="9"/>
  <c r="E1429" i="9"/>
  <c r="E1430" i="9"/>
  <c r="E1431" i="9"/>
  <c r="E1432" i="9"/>
  <c r="E1433" i="9"/>
  <c r="E1434" i="9"/>
  <c r="E1435" i="9"/>
  <c r="E1436" i="9"/>
  <c r="E1437" i="9"/>
  <c r="E1438" i="9"/>
  <c r="E1439" i="9"/>
  <c r="E1440" i="9"/>
  <c r="E1441" i="9"/>
  <c r="E1442" i="9"/>
  <c r="E1443" i="9"/>
  <c r="E1444" i="9"/>
  <c r="E1445" i="9"/>
  <c r="E1446" i="9"/>
  <c r="E1447" i="9"/>
  <c r="E1448" i="9"/>
  <c r="E1449" i="9"/>
  <c r="E1450" i="9"/>
  <c r="E1451" i="9"/>
  <c r="E1452" i="9"/>
  <c r="E1453" i="9"/>
  <c r="E1454" i="9"/>
  <c r="E1455" i="9"/>
  <c r="E1456" i="9"/>
  <c r="E1457" i="9"/>
  <c r="E1458" i="9"/>
  <c r="E1459" i="9"/>
  <c r="E1460" i="9"/>
  <c r="E1461" i="9"/>
  <c r="E1462" i="9"/>
  <c r="E1463" i="9"/>
  <c r="E1464" i="9"/>
  <c r="E1465" i="9"/>
  <c r="E1466" i="9"/>
  <c r="E1467" i="9"/>
  <c r="E1468" i="9"/>
  <c r="E1469" i="9"/>
  <c r="E1470" i="9"/>
  <c r="E1471" i="9"/>
  <c r="E1472" i="9"/>
  <c r="E1473" i="9"/>
  <c r="E1474" i="9"/>
  <c r="E1475" i="9"/>
  <c r="E1476" i="9"/>
  <c r="E1477" i="9"/>
  <c r="E1478" i="9"/>
  <c r="E1479" i="9"/>
  <c r="E1480" i="9"/>
  <c r="E1481" i="9"/>
  <c r="E1482" i="9"/>
  <c r="E1483" i="9"/>
  <c r="E1484" i="9"/>
  <c r="E1485" i="9"/>
  <c r="E1486" i="9"/>
  <c r="E1487" i="9"/>
  <c r="E1488" i="9"/>
  <c r="E1489" i="9"/>
  <c r="E1490" i="9"/>
  <c r="E1491" i="9"/>
  <c r="E1492" i="9"/>
  <c r="E1493" i="9"/>
  <c r="E1494" i="9"/>
  <c r="E1495" i="9"/>
  <c r="E1496" i="9"/>
  <c r="E1497" i="9"/>
  <c r="E1498" i="9"/>
  <c r="E1499" i="9"/>
  <c r="E1500" i="9"/>
  <c r="E1501" i="9"/>
  <c r="E1502" i="9"/>
  <c r="E1503" i="9"/>
  <c r="E1504" i="9"/>
  <c r="E1505" i="9"/>
  <c r="E1506" i="9"/>
  <c r="E1507" i="9"/>
  <c r="E1508" i="9"/>
  <c r="E1509" i="9"/>
  <c r="E1510" i="9"/>
  <c r="E1511" i="9"/>
  <c r="E1512" i="9"/>
  <c r="E1513" i="9"/>
  <c r="E1514" i="9"/>
  <c r="E1515" i="9"/>
  <c r="E1516" i="9"/>
  <c r="E1517" i="9"/>
  <c r="E1518" i="9"/>
  <c r="E1519" i="9"/>
  <c r="E1520" i="9"/>
  <c r="E1521" i="9"/>
  <c r="E1522" i="9"/>
  <c r="E1523" i="9"/>
  <c r="E1524" i="9"/>
  <c r="E1525" i="9"/>
  <c r="E1526" i="9"/>
  <c r="E1527" i="9"/>
  <c r="E1528" i="9"/>
  <c r="E1529" i="9"/>
  <c r="E1530" i="9"/>
  <c r="E1531" i="9"/>
  <c r="E1532" i="9"/>
  <c r="E1533" i="9"/>
  <c r="E1534" i="9"/>
  <c r="E1535" i="9"/>
  <c r="E1536" i="9"/>
  <c r="E1537" i="9"/>
  <c r="E1538" i="9"/>
  <c r="E1539" i="9"/>
  <c r="E1540" i="9"/>
  <c r="E1541" i="9"/>
  <c r="E1542" i="9"/>
  <c r="E1543" i="9"/>
  <c r="E1544" i="9"/>
  <c r="E1545" i="9"/>
  <c r="E1546" i="9"/>
  <c r="E1547" i="9"/>
  <c r="E1548" i="9"/>
  <c r="E1549" i="9"/>
  <c r="E1550" i="9"/>
  <c r="E1551" i="9"/>
  <c r="E1552" i="9"/>
  <c r="E1553" i="9"/>
  <c r="E1554" i="9"/>
  <c r="E1555" i="9"/>
  <c r="E1556" i="9"/>
  <c r="E1557" i="9"/>
  <c r="E1558" i="9"/>
  <c r="E1559" i="9"/>
  <c r="E1560" i="9"/>
  <c r="E1561" i="9"/>
  <c r="E1562" i="9"/>
  <c r="E1563" i="9"/>
  <c r="E1564" i="9"/>
  <c r="E1565" i="9"/>
  <c r="E1566" i="9"/>
  <c r="E1567" i="9"/>
  <c r="E1568" i="9"/>
  <c r="E1569" i="9"/>
  <c r="E1570" i="9"/>
  <c r="E1571" i="9"/>
  <c r="E1572" i="9"/>
  <c r="E1573" i="9"/>
  <c r="E1574" i="9"/>
  <c r="E1575" i="9"/>
  <c r="E1576" i="9"/>
  <c r="E1577" i="9"/>
  <c r="E1578" i="9"/>
  <c r="E1579" i="9"/>
  <c r="E1580" i="9"/>
  <c r="E1581" i="9"/>
  <c r="E1582" i="9"/>
  <c r="E1583" i="9"/>
  <c r="E1584" i="9"/>
  <c r="E1585" i="9"/>
  <c r="E2" i="9"/>
  <c r="H3" i="1"/>
  <c r="H4" i="1"/>
  <c r="H5" i="1"/>
  <c r="H6" i="1"/>
  <c r="H7" i="1"/>
  <c r="H8" i="1"/>
  <c r="H9" i="1"/>
  <c r="H10" i="1"/>
  <c r="H11" i="1"/>
  <c r="H12" i="1"/>
  <c r="H13" i="1"/>
  <c r="H14" i="1"/>
  <c r="H15" i="1"/>
  <c r="H16" i="1"/>
  <c r="H17" i="1"/>
  <c r="H18" i="1"/>
  <c r="H19" i="1"/>
  <c r="H20" i="1"/>
  <c r="H21" i="1"/>
  <c r="H22" i="1"/>
  <c r="H23" i="1"/>
  <c r="H24" i="1"/>
  <c r="H25" i="1"/>
  <c r="H26" i="1"/>
  <c r="H27" i="1"/>
  <c r="H28" i="1"/>
  <c r="H29" i="1"/>
  <c r="H30" i="1"/>
  <c r="H31" i="1"/>
  <c r="H32" i="1"/>
  <c r="H33" i="1"/>
  <c r="H34" i="1"/>
  <c r="H35" i="1"/>
  <c r="H36" i="1"/>
  <c r="H37" i="1"/>
  <c r="H38" i="1"/>
  <c r="H39" i="1"/>
  <c r="H40" i="1"/>
  <c r="H41" i="1"/>
  <c r="H42" i="1"/>
  <c r="H43" i="1"/>
  <c r="H44" i="1"/>
  <c r="H45" i="1"/>
  <c r="H46" i="1"/>
  <c r="H47" i="1"/>
  <c r="H48" i="1"/>
  <c r="H49" i="1"/>
  <c r="H50" i="1"/>
  <c r="H51" i="1"/>
  <c r="H52" i="1"/>
  <c r="H53" i="1"/>
  <c r="H54" i="1"/>
  <c r="H55" i="1"/>
  <c r="H56" i="1"/>
  <c r="H57" i="1"/>
  <c r="H58" i="1"/>
  <c r="H59" i="1"/>
  <c r="H60" i="1"/>
  <c r="H61" i="1"/>
  <c r="H62" i="1"/>
  <c r="H63" i="1"/>
  <c r="H64" i="1"/>
  <c r="H65" i="1"/>
  <c r="H66" i="1"/>
  <c r="H67" i="1"/>
  <c r="H68" i="1"/>
  <c r="H69" i="1"/>
  <c r="H70" i="1"/>
  <c r="H71" i="1"/>
  <c r="H72" i="1"/>
  <c r="H73" i="1"/>
  <c r="H74" i="1"/>
  <c r="H75" i="1"/>
  <c r="H76" i="1"/>
  <c r="H77" i="1"/>
  <c r="H78" i="1"/>
  <c r="H79" i="1"/>
  <c r="H80" i="1"/>
  <c r="H81" i="1"/>
  <c r="H82" i="1"/>
  <c r="H83" i="1"/>
  <c r="H84" i="1"/>
  <c r="H85" i="1"/>
  <c r="H86" i="1"/>
  <c r="H87" i="1"/>
  <c r="H88" i="1"/>
  <c r="H89" i="1"/>
  <c r="H90" i="1"/>
  <c r="H91" i="1"/>
  <c r="H92" i="1"/>
  <c r="H93" i="1"/>
  <c r="H94" i="1"/>
  <c r="H95" i="1"/>
  <c r="H96" i="1"/>
  <c r="H97" i="1"/>
  <c r="H98" i="1"/>
  <c r="H99" i="1"/>
  <c r="H100" i="1"/>
  <c r="H101" i="1"/>
  <c r="H102" i="1"/>
  <c r="H103" i="1"/>
  <c r="H104" i="1"/>
  <c r="H105" i="1"/>
  <c r="H106" i="1"/>
  <c r="H107" i="1"/>
  <c r="H108" i="1"/>
  <c r="H109" i="1"/>
  <c r="H110" i="1"/>
  <c r="H111" i="1"/>
  <c r="H112" i="1"/>
  <c r="H113" i="1"/>
  <c r="H114" i="1"/>
  <c r="H115" i="1"/>
  <c r="H116" i="1"/>
  <c r="H117" i="1"/>
  <c r="H118" i="1"/>
  <c r="H119" i="1"/>
  <c r="H120" i="1"/>
  <c r="H121" i="1"/>
  <c r="H122" i="1"/>
  <c r="H123" i="1"/>
  <c r="H124" i="1"/>
  <c r="H125" i="1"/>
  <c r="H126" i="1"/>
  <c r="H127" i="1"/>
  <c r="H128" i="1"/>
  <c r="H129" i="1"/>
  <c r="H130" i="1"/>
  <c r="H131" i="1"/>
  <c r="H132" i="1"/>
  <c r="H133" i="1"/>
  <c r="H134" i="1"/>
  <c r="H135" i="1"/>
  <c r="H136" i="1"/>
  <c r="H137" i="1"/>
  <c r="H138" i="1"/>
  <c r="H139" i="1"/>
  <c r="H140" i="1"/>
  <c r="H141" i="1"/>
  <c r="H142" i="1"/>
  <c r="H143" i="1"/>
  <c r="H144" i="1"/>
  <c r="H145" i="1"/>
  <c r="H146" i="1"/>
  <c r="H147" i="1"/>
  <c r="H148" i="1"/>
  <c r="H149" i="1"/>
  <c r="H150" i="1"/>
  <c r="H151" i="1"/>
  <c r="H152" i="1"/>
  <c r="H153" i="1"/>
  <c r="H154" i="1"/>
  <c r="H155" i="1"/>
  <c r="H156" i="1"/>
  <c r="H157" i="1"/>
  <c r="H158" i="1"/>
  <c r="H159" i="1"/>
  <c r="H160" i="1"/>
  <c r="H161" i="1"/>
  <c r="H162" i="1"/>
  <c r="H163" i="1"/>
  <c r="H164" i="1"/>
  <c r="H165" i="1"/>
  <c r="H166" i="1"/>
  <c r="H167" i="1"/>
  <c r="H168" i="1"/>
  <c r="H169" i="1"/>
  <c r="H170" i="1"/>
  <c r="H171" i="1"/>
  <c r="H172" i="1"/>
  <c r="H173" i="1"/>
  <c r="H174" i="1"/>
  <c r="H175" i="1"/>
  <c r="H176" i="1"/>
  <c r="H177" i="1"/>
  <c r="H178" i="1"/>
  <c r="H179" i="1"/>
  <c r="H180" i="1"/>
  <c r="H181" i="1"/>
  <c r="H182" i="1"/>
  <c r="H183" i="1"/>
  <c r="H184" i="1"/>
  <c r="H185" i="1"/>
  <c r="H186" i="1"/>
  <c r="H187" i="1"/>
  <c r="H188" i="1"/>
  <c r="H189" i="1"/>
  <c r="H190" i="1"/>
  <c r="H191" i="1"/>
  <c r="H192" i="1"/>
  <c r="H193" i="1"/>
  <c r="H194" i="1"/>
  <c r="H195" i="1"/>
  <c r="H196" i="1"/>
  <c r="H197" i="1"/>
  <c r="H198" i="1"/>
  <c r="H199" i="1"/>
  <c r="H200" i="1"/>
  <c r="H201" i="1"/>
  <c r="H202" i="1"/>
  <c r="H203" i="1"/>
  <c r="H204" i="1"/>
  <c r="H205" i="1"/>
  <c r="H206" i="1"/>
  <c r="H207" i="1"/>
  <c r="H208" i="1"/>
  <c r="H209" i="1"/>
  <c r="H210" i="1"/>
  <c r="H211" i="1"/>
  <c r="H212" i="1"/>
  <c r="H213" i="1"/>
  <c r="H214" i="1"/>
  <c r="H215" i="1"/>
  <c r="H216" i="1"/>
  <c r="H217" i="1"/>
  <c r="H218" i="1"/>
  <c r="H219" i="1"/>
  <c r="H220" i="1"/>
  <c r="H221" i="1"/>
  <c r="H222" i="1"/>
  <c r="H223" i="1"/>
  <c r="H224" i="1"/>
  <c r="H225" i="1"/>
  <c r="H226" i="1"/>
  <c r="H227" i="1"/>
  <c r="H228" i="1"/>
  <c r="H229" i="1"/>
  <c r="H230" i="1"/>
  <c r="H231" i="1"/>
  <c r="H232" i="1"/>
  <c r="H233" i="1"/>
  <c r="H234" i="1"/>
  <c r="H235" i="1"/>
  <c r="H236" i="1"/>
  <c r="H237" i="1"/>
  <c r="H238" i="1"/>
  <c r="H239" i="1"/>
  <c r="H240" i="1"/>
  <c r="H241" i="1"/>
  <c r="H242" i="1"/>
  <c r="H243" i="1"/>
  <c r="H244" i="1"/>
  <c r="H245" i="1"/>
  <c r="H246" i="1"/>
  <c r="H247" i="1"/>
  <c r="H248" i="1"/>
  <c r="H249" i="1"/>
  <c r="H250" i="1"/>
  <c r="H251" i="1"/>
  <c r="H252" i="1"/>
  <c r="H253" i="1"/>
  <c r="H254" i="1"/>
  <c r="H255" i="1"/>
  <c r="H256" i="1"/>
  <c r="H257" i="1"/>
  <c r="H258" i="1"/>
  <c r="H259" i="1"/>
  <c r="H260" i="1"/>
  <c r="H261" i="1"/>
  <c r="H262" i="1"/>
  <c r="H263" i="1"/>
  <c r="H264" i="1"/>
  <c r="H265" i="1"/>
  <c r="H266" i="1"/>
  <c r="H267" i="1"/>
  <c r="H268" i="1"/>
  <c r="H269" i="1"/>
  <c r="H270" i="1"/>
  <c r="H271" i="1"/>
  <c r="H272" i="1"/>
  <c r="H273" i="1"/>
  <c r="H274" i="1"/>
  <c r="H275" i="1"/>
  <c r="H276" i="1"/>
  <c r="H277" i="1"/>
  <c r="H278" i="1"/>
  <c r="H279" i="1"/>
  <c r="H280" i="1"/>
  <c r="H281" i="1"/>
  <c r="H282" i="1"/>
  <c r="H283" i="1"/>
  <c r="H284" i="1"/>
  <c r="H285" i="1"/>
  <c r="H286" i="1"/>
  <c r="H287" i="1"/>
  <c r="H288" i="1"/>
  <c r="H289" i="1"/>
  <c r="H290" i="1"/>
  <c r="H291" i="1"/>
  <c r="H292" i="1"/>
  <c r="H293" i="1"/>
  <c r="H294" i="1"/>
  <c r="H295" i="1"/>
  <c r="H296" i="1"/>
  <c r="H297" i="1"/>
  <c r="H298" i="1"/>
  <c r="H299" i="1"/>
  <c r="H300" i="1"/>
  <c r="H301" i="1"/>
  <c r="H302" i="1"/>
  <c r="H303" i="1"/>
  <c r="H304" i="1"/>
  <c r="H305" i="1"/>
  <c r="H306" i="1"/>
  <c r="H307" i="1"/>
  <c r="H308" i="1"/>
  <c r="H309" i="1"/>
  <c r="H310" i="1"/>
  <c r="H311" i="1"/>
  <c r="H312" i="1"/>
  <c r="H313" i="1"/>
  <c r="H314" i="1"/>
  <c r="H315" i="1"/>
  <c r="H316" i="1"/>
  <c r="H317" i="1"/>
  <c r="H318" i="1"/>
  <c r="H319" i="1"/>
  <c r="H320" i="1"/>
  <c r="H321" i="1"/>
  <c r="H322" i="1"/>
  <c r="H323" i="1"/>
  <c r="H324" i="1"/>
  <c r="H325" i="1"/>
  <c r="H326" i="1"/>
  <c r="H327" i="1"/>
  <c r="H328" i="1"/>
  <c r="H329" i="1"/>
  <c r="H330" i="1"/>
  <c r="H331" i="1"/>
  <c r="H332" i="1"/>
  <c r="H333" i="1"/>
  <c r="H334" i="1"/>
  <c r="H335" i="1"/>
  <c r="H336" i="1"/>
  <c r="H337" i="1"/>
  <c r="H338" i="1"/>
  <c r="H339" i="1"/>
  <c r="H340" i="1"/>
  <c r="H341" i="1"/>
  <c r="H342" i="1"/>
  <c r="H343" i="1"/>
  <c r="H344" i="1"/>
  <c r="H345" i="1"/>
  <c r="H346" i="1"/>
  <c r="H347" i="1"/>
  <c r="H348" i="1"/>
  <c r="H349" i="1"/>
  <c r="H350" i="1"/>
  <c r="H351" i="1"/>
  <c r="H352" i="1"/>
  <c r="H353" i="1"/>
  <c r="H354" i="1"/>
  <c r="H355" i="1"/>
  <c r="H356" i="1"/>
  <c r="H357" i="1"/>
  <c r="H358" i="1"/>
  <c r="H359" i="1"/>
  <c r="H360" i="1"/>
  <c r="H361" i="1"/>
  <c r="H362" i="1"/>
  <c r="H363" i="1"/>
  <c r="H364" i="1"/>
  <c r="H365" i="1"/>
  <c r="H366" i="1"/>
  <c r="H367" i="1"/>
  <c r="H368" i="1"/>
  <c r="H369" i="1"/>
  <c r="H370" i="1"/>
  <c r="H371" i="1"/>
  <c r="H372" i="1"/>
  <c r="H373" i="1"/>
  <c r="H374" i="1"/>
  <c r="H375" i="1"/>
  <c r="H376" i="1"/>
  <c r="H377" i="1"/>
  <c r="H378" i="1"/>
  <c r="H379" i="1"/>
  <c r="H380" i="1"/>
  <c r="H381" i="1"/>
  <c r="H382" i="1"/>
  <c r="H383" i="1"/>
  <c r="H384" i="1"/>
  <c r="H385" i="1"/>
  <c r="H386" i="1"/>
  <c r="H387" i="1"/>
  <c r="H388" i="1"/>
  <c r="H389" i="1"/>
  <c r="H390" i="1"/>
  <c r="H391" i="1"/>
  <c r="H392" i="1"/>
  <c r="H393" i="1"/>
  <c r="H394" i="1"/>
  <c r="H395" i="1"/>
  <c r="H396" i="1"/>
  <c r="H397" i="1"/>
  <c r="H398" i="1"/>
  <c r="H399" i="1"/>
  <c r="H400" i="1"/>
  <c r="H401" i="1"/>
  <c r="H402" i="1"/>
  <c r="H403" i="1"/>
  <c r="H404" i="1"/>
  <c r="H405" i="1"/>
  <c r="H406" i="1"/>
  <c r="H407" i="1"/>
  <c r="H408" i="1"/>
  <c r="H409" i="1"/>
  <c r="H410" i="1"/>
  <c r="H411" i="1"/>
  <c r="H412" i="1"/>
  <c r="H413" i="1"/>
  <c r="H414" i="1"/>
  <c r="H415" i="1"/>
  <c r="H416" i="1"/>
  <c r="H417" i="1"/>
  <c r="H418" i="1"/>
  <c r="H419" i="1"/>
  <c r="H420" i="1"/>
  <c r="H421" i="1"/>
  <c r="H422" i="1"/>
  <c r="H423" i="1"/>
  <c r="H424" i="1"/>
  <c r="H425" i="1"/>
  <c r="H426" i="1"/>
  <c r="H427" i="1"/>
  <c r="H428" i="1"/>
  <c r="H429" i="1"/>
  <c r="H430" i="1"/>
  <c r="H431" i="1"/>
  <c r="H432" i="1"/>
  <c r="H433" i="1"/>
  <c r="H434" i="1"/>
  <c r="H435" i="1"/>
  <c r="H436" i="1"/>
  <c r="H437" i="1"/>
  <c r="H438" i="1"/>
  <c r="H439" i="1"/>
  <c r="H440" i="1"/>
  <c r="H441" i="1"/>
  <c r="H442" i="1"/>
  <c r="H443" i="1"/>
  <c r="H444" i="1"/>
  <c r="H445" i="1"/>
  <c r="H446" i="1"/>
  <c r="H447" i="1"/>
  <c r="H448" i="1"/>
  <c r="H449" i="1"/>
  <c r="H450" i="1"/>
  <c r="H451" i="1"/>
  <c r="H452" i="1"/>
  <c r="H453" i="1"/>
  <c r="H454" i="1"/>
  <c r="H455" i="1"/>
  <c r="H456" i="1"/>
  <c r="H457" i="1"/>
  <c r="H458" i="1"/>
  <c r="H459" i="1"/>
  <c r="H460" i="1"/>
  <c r="H461" i="1"/>
  <c r="H462" i="1"/>
  <c r="H463" i="1"/>
  <c r="H464" i="1"/>
  <c r="H465" i="1"/>
  <c r="H466" i="1"/>
  <c r="H467" i="1"/>
  <c r="H468" i="1"/>
  <c r="H469" i="1"/>
  <c r="H470" i="1"/>
  <c r="H471" i="1"/>
  <c r="H472" i="1"/>
  <c r="H473" i="1"/>
  <c r="H474" i="1"/>
  <c r="H475" i="1"/>
  <c r="H476" i="1"/>
  <c r="H477" i="1"/>
  <c r="H478" i="1"/>
  <c r="H479" i="1"/>
  <c r="H480" i="1"/>
  <c r="H481" i="1"/>
  <c r="H482" i="1"/>
  <c r="H483" i="1"/>
  <c r="H484" i="1"/>
  <c r="H485" i="1"/>
  <c r="H486" i="1"/>
  <c r="H487" i="1"/>
  <c r="H488" i="1"/>
  <c r="H489" i="1"/>
  <c r="H490" i="1"/>
  <c r="H491" i="1"/>
  <c r="H492" i="1"/>
  <c r="H493" i="1"/>
  <c r="H494" i="1"/>
  <c r="H495" i="1"/>
  <c r="H496" i="1"/>
  <c r="H497" i="1"/>
  <c r="H498" i="1"/>
  <c r="H499" i="1"/>
  <c r="H500" i="1"/>
  <c r="H501" i="1"/>
  <c r="H502" i="1"/>
  <c r="H503" i="1"/>
  <c r="H504" i="1"/>
  <c r="H505" i="1"/>
  <c r="H506" i="1"/>
  <c r="H507" i="1"/>
  <c r="H508" i="1"/>
  <c r="H509" i="1"/>
  <c r="H510" i="1"/>
  <c r="H511" i="1"/>
  <c r="H512" i="1"/>
  <c r="H513" i="1"/>
  <c r="H514" i="1"/>
  <c r="H515" i="1"/>
  <c r="H516" i="1"/>
  <c r="H517" i="1"/>
  <c r="H518" i="1"/>
  <c r="H519" i="1"/>
  <c r="H520" i="1"/>
  <c r="H521" i="1"/>
  <c r="H522" i="1"/>
  <c r="H523" i="1"/>
  <c r="H524" i="1"/>
  <c r="H525" i="1"/>
  <c r="H526" i="1"/>
  <c r="H527" i="1"/>
  <c r="H528" i="1"/>
  <c r="H529" i="1"/>
  <c r="H530" i="1"/>
  <c r="H531" i="1"/>
  <c r="H532" i="1"/>
  <c r="H533" i="1"/>
  <c r="H534" i="1"/>
  <c r="H535" i="1"/>
  <c r="H536" i="1"/>
  <c r="H537" i="1"/>
  <c r="H538" i="1"/>
  <c r="H539" i="1"/>
  <c r="H540" i="1"/>
  <c r="H541" i="1"/>
  <c r="H542" i="1"/>
  <c r="H543" i="1"/>
  <c r="H544" i="1"/>
  <c r="H545" i="1"/>
  <c r="H546" i="1"/>
  <c r="H547" i="1"/>
  <c r="H548" i="1"/>
  <c r="H549" i="1"/>
  <c r="H550" i="1"/>
  <c r="H551" i="1"/>
  <c r="H552" i="1"/>
  <c r="H553" i="1"/>
  <c r="H554" i="1"/>
  <c r="H555" i="1"/>
  <c r="H556" i="1"/>
  <c r="H557" i="1"/>
  <c r="H558" i="1"/>
  <c r="H559" i="1"/>
  <c r="H560" i="1"/>
  <c r="H561" i="1"/>
  <c r="H562" i="1"/>
  <c r="H563" i="1"/>
  <c r="H564" i="1"/>
  <c r="H565" i="1"/>
  <c r="H566" i="1"/>
  <c r="H567" i="1"/>
  <c r="H568" i="1"/>
  <c r="H569" i="1"/>
  <c r="H570" i="1"/>
  <c r="H571" i="1"/>
  <c r="H572" i="1"/>
  <c r="H573" i="1"/>
  <c r="H574" i="1"/>
  <c r="H575" i="1"/>
  <c r="H576" i="1"/>
  <c r="H577" i="1"/>
  <c r="H578" i="1"/>
  <c r="H579" i="1"/>
  <c r="H580" i="1"/>
  <c r="H581" i="1"/>
  <c r="H582" i="1"/>
  <c r="H583" i="1"/>
  <c r="H584" i="1"/>
  <c r="H585" i="1"/>
  <c r="H586" i="1"/>
  <c r="H587" i="1"/>
  <c r="H588" i="1"/>
  <c r="H589" i="1"/>
  <c r="H590" i="1"/>
  <c r="H591" i="1"/>
  <c r="H592" i="1"/>
  <c r="H593" i="1"/>
  <c r="H594" i="1"/>
  <c r="H595" i="1"/>
  <c r="H596" i="1"/>
  <c r="H597" i="1"/>
  <c r="H598" i="1"/>
  <c r="H599" i="1"/>
  <c r="H600" i="1"/>
  <c r="H601" i="1"/>
  <c r="H602" i="1"/>
  <c r="H603" i="1"/>
  <c r="H604" i="1"/>
  <c r="H605" i="1"/>
  <c r="H606" i="1"/>
  <c r="H607" i="1"/>
  <c r="H608" i="1"/>
  <c r="H609" i="1"/>
  <c r="H610" i="1"/>
  <c r="H611" i="1"/>
  <c r="H612" i="1"/>
  <c r="H613" i="1"/>
  <c r="H614" i="1"/>
  <c r="H615" i="1"/>
  <c r="H616" i="1"/>
  <c r="H617" i="1"/>
  <c r="H618" i="1"/>
  <c r="H619" i="1"/>
  <c r="H620" i="1"/>
  <c r="H621" i="1"/>
  <c r="H622" i="1"/>
  <c r="H623" i="1"/>
  <c r="H624" i="1"/>
  <c r="H625" i="1"/>
  <c r="H626" i="1"/>
  <c r="H627" i="1"/>
  <c r="H628" i="1"/>
  <c r="H629" i="1"/>
  <c r="H630" i="1"/>
  <c r="H631" i="1"/>
  <c r="H632" i="1"/>
  <c r="H633" i="1"/>
  <c r="H634" i="1"/>
  <c r="H635" i="1"/>
  <c r="H636" i="1"/>
  <c r="H637" i="1"/>
  <c r="H638" i="1"/>
  <c r="H639" i="1"/>
  <c r="H640" i="1"/>
  <c r="H641" i="1"/>
  <c r="H642" i="1"/>
  <c r="H643" i="1"/>
  <c r="H644" i="1"/>
  <c r="H645" i="1"/>
  <c r="H646" i="1"/>
  <c r="H647" i="1"/>
  <c r="H648" i="1"/>
  <c r="H649" i="1"/>
  <c r="H650" i="1"/>
  <c r="H651" i="1"/>
  <c r="H652" i="1"/>
  <c r="H653" i="1"/>
  <c r="H654" i="1"/>
  <c r="H655" i="1"/>
  <c r="H656" i="1"/>
  <c r="H657" i="1"/>
  <c r="H658" i="1"/>
  <c r="H659" i="1"/>
  <c r="H660" i="1"/>
  <c r="H661" i="1"/>
  <c r="H662" i="1"/>
  <c r="H663" i="1"/>
  <c r="H664" i="1"/>
  <c r="H665" i="1"/>
  <c r="H666" i="1"/>
  <c r="H667" i="1"/>
  <c r="H668" i="1"/>
  <c r="H669" i="1"/>
  <c r="H670" i="1"/>
  <c r="H671" i="1"/>
  <c r="H672" i="1"/>
  <c r="H673" i="1"/>
  <c r="H674" i="1"/>
  <c r="H675" i="1"/>
  <c r="H676" i="1"/>
  <c r="H677" i="1"/>
  <c r="H678" i="1"/>
  <c r="H679" i="1"/>
  <c r="H680" i="1"/>
  <c r="H681" i="1"/>
  <c r="H682" i="1"/>
  <c r="H683" i="1"/>
  <c r="H684" i="1"/>
  <c r="H685" i="1"/>
  <c r="H686" i="1"/>
  <c r="H687" i="1"/>
  <c r="H688" i="1"/>
  <c r="H689" i="1"/>
  <c r="H690" i="1"/>
  <c r="H691" i="1"/>
  <c r="H692" i="1"/>
  <c r="H693" i="1"/>
  <c r="H694" i="1"/>
  <c r="H695" i="1"/>
  <c r="H696" i="1"/>
  <c r="H697" i="1"/>
  <c r="H698" i="1"/>
  <c r="H699" i="1"/>
  <c r="H700" i="1"/>
  <c r="H701" i="1"/>
  <c r="H702" i="1"/>
  <c r="H703" i="1"/>
  <c r="H704" i="1"/>
  <c r="H705" i="1"/>
  <c r="H706" i="1"/>
  <c r="H707" i="1"/>
  <c r="H708" i="1"/>
  <c r="H709" i="1"/>
  <c r="H710" i="1"/>
  <c r="H711" i="1"/>
  <c r="H712" i="1"/>
  <c r="H713" i="1"/>
  <c r="H714" i="1"/>
  <c r="H715" i="1"/>
  <c r="H716" i="1"/>
  <c r="H717" i="1"/>
  <c r="H718" i="1"/>
  <c r="H719" i="1"/>
  <c r="H720" i="1"/>
  <c r="H721" i="1"/>
  <c r="H722" i="1"/>
  <c r="H723" i="1"/>
  <c r="H724" i="1"/>
  <c r="H725" i="1"/>
  <c r="H726" i="1"/>
  <c r="H727" i="1"/>
  <c r="H728" i="1"/>
  <c r="H729" i="1"/>
  <c r="H730" i="1"/>
  <c r="H731" i="1"/>
  <c r="H732" i="1"/>
  <c r="H733" i="1"/>
  <c r="H734" i="1"/>
  <c r="H735" i="1"/>
  <c r="H736" i="1"/>
  <c r="H737" i="1"/>
  <c r="H738" i="1"/>
  <c r="H739" i="1"/>
  <c r="H740" i="1"/>
  <c r="H741" i="1"/>
  <c r="H742" i="1"/>
  <c r="H743" i="1"/>
  <c r="H744" i="1"/>
  <c r="H745" i="1"/>
  <c r="H746" i="1"/>
  <c r="H747" i="1"/>
  <c r="H748" i="1"/>
  <c r="H749" i="1"/>
  <c r="H750" i="1"/>
  <c r="H751" i="1"/>
  <c r="H752" i="1"/>
  <c r="H753" i="1"/>
  <c r="H754" i="1"/>
  <c r="H755" i="1"/>
  <c r="H756" i="1"/>
  <c r="H757" i="1"/>
  <c r="H758" i="1"/>
  <c r="H759" i="1"/>
  <c r="H760" i="1"/>
  <c r="H761" i="1"/>
  <c r="H762" i="1"/>
  <c r="H763" i="1"/>
  <c r="H764" i="1"/>
  <c r="H765" i="1"/>
  <c r="H766" i="1"/>
  <c r="H767" i="1"/>
  <c r="H768" i="1"/>
  <c r="H769" i="1"/>
  <c r="H770" i="1"/>
  <c r="H771" i="1"/>
  <c r="H772" i="1"/>
  <c r="H773" i="1"/>
  <c r="H774" i="1"/>
  <c r="H775" i="1"/>
  <c r="H776" i="1"/>
  <c r="H777" i="1"/>
  <c r="H778" i="1"/>
  <c r="H779" i="1"/>
  <c r="H780" i="1"/>
  <c r="H781" i="1"/>
  <c r="H782" i="1"/>
  <c r="H783" i="1"/>
  <c r="H784" i="1"/>
  <c r="H785" i="1"/>
  <c r="H786" i="1"/>
  <c r="H787" i="1"/>
  <c r="H788" i="1"/>
  <c r="H789" i="1"/>
  <c r="H790" i="1"/>
  <c r="H791" i="1"/>
  <c r="H792" i="1"/>
  <c r="H793" i="1"/>
  <c r="H794" i="1"/>
  <c r="H795" i="1"/>
  <c r="H796" i="1"/>
  <c r="H797" i="1"/>
  <c r="H798" i="1"/>
  <c r="H799" i="1"/>
  <c r="H800" i="1"/>
  <c r="H801" i="1"/>
  <c r="H802" i="1"/>
  <c r="H803" i="1"/>
  <c r="H804" i="1"/>
  <c r="H805" i="1"/>
  <c r="H806" i="1"/>
  <c r="H807" i="1"/>
  <c r="H808" i="1"/>
  <c r="H809" i="1"/>
  <c r="H810" i="1"/>
  <c r="H811" i="1"/>
  <c r="H812" i="1"/>
  <c r="H813" i="1"/>
  <c r="H814" i="1"/>
  <c r="H815" i="1"/>
  <c r="H816" i="1"/>
  <c r="H817" i="1"/>
  <c r="H818" i="1"/>
  <c r="H819" i="1"/>
  <c r="H820" i="1"/>
  <c r="H821" i="1"/>
  <c r="H822" i="1"/>
  <c r="H823" i="1"/>
  <c r="H824" i="1"/>
  <c r="H825" i="1"/>
  <c r="H826" i="1"/>
  <c r="H827" i="1"/>
  <c r="H828" i="1"/>
  <c r="H829" i="1"/>
  <c r="H830" i="1"/>
  <c r="H831" i="1"/>
  <c r="H832" i="1"/>
  <c r="H833" i="1"/>
  <c r="H834" i="1"/>
  <c r="H835" i="1"/>
  <c r="H836" i="1"/>
  <c r="H837" i="1"/>
  <c r="H838" i="1"/>
  <c r="H839" i="1"/>
  <c r="H840" i="1"/>
  <c r="H841" i="1"/>
  <c r="H842" i="1"/>
  <c r="H843" i="1"/>
  <c r="H844" i="1"/>
  <c r="H845" i="1"/>
  <c r="H846" i="1"/>
  <c r="H847" i="1"/>
  <c r="H848" i="1"/>
  <c r="H849" i="1"/>
  <c r="H850" i="1"/>
  <c r="H851" i="1"/>
  <c r="H852" i="1"/>
  <c r="H853" i="1"/>
  <c r="H854" i="1"/>
  <c r="H855" i="1"/>
  <c r="H856" i="1"/>
  <c r="H857" i="1"/>
  <c r="H858" i="1"/>
  <c r="H859" i="1"/>
  <c r="H860" i="1"/>
  <c r="H861" i="1"/>
  <c r="H862" i="1"/>
  <c r="H863" i="1"/>
  <c r="H864" i="1"/>
  <c r="H865" i="1"/>
  <c r="H866" i="1"/>
  <c r="H867" i="1"/>
  <c r="H868" i="1"/>
  <c r="H869" i="1"/>
  <c r="H870" i="1"/>
  <c r="H871" i="1"/>
  <c r="H872" i="1"/>
  <c r="H873" i="1"/>
  <c r="H874" i="1"/>
  <c r="H875" i="1"/>
  <c r="H876" i="1"/>
  <c r="H877" i="1"/>
  <c r="H878" i="1"/>
  <c r="H879" i="1"/>
  <c r="H880" i="1"/>
  <c r="H881" i="1"/>
  <c r="H882" i="1"/>
  <c r="H883" i="1"/>
  <c r="H884" i="1"/>
  <c r="H885" i="1"/>
  <c r="H886" i="1"/>
  <c r="H887" i="1"/>
  <c r="H888" i="1"/>
  <c r="H889" i="1"/>
  <c r="H890" i="1"/>
  <c r="H891" i="1"/>
  <c r="H892" i="1"/>
  <c r="H893" i="1"/>
  <c r="H894" i="1"/>
  <c r="H895" i="1"/>
  <c r="H896" i="1"/>
  <c r="H897" i="1"/>
  <c r="H898" i="1"/>
  <c r="H899" i="1"/>
  <c r="H900" i="1"/>
  <c r="H901" i="1"/>
  <c r="H902" i="1"/>
  <c r="H903" i="1"/>
  <c r="H904" i="1"/>
  <c r="H905" i="1"/>
  <c r="H906" i="1"/>
  <c r="H907" i="1"/>
  <c r="H908" i="1"/>
  <c r="H909" i="1"/>
  <c r="H910" i="1"/>
  <c r="H911" i="1"/>
  <c r="H912" i="1"/>
  <c r="H913" i="1"/>
  <c r="H914" i="1"/>
  <c r="H915" i="1"/>
  <c r="H916" i="1"/>
  <c r="H917" i="1"/>
  <c r="H918" i="1"/>
  <c r="H919" i="1"/>
  <c r="H920" i="1"/>
  <c r="H921" i="1"/>
  <c r="H922" i="1"/>
  <c r="H923" i="1"/>
  <c r="H924" i="1"/>
  <c r="H925" i="1"/>
  <c r="H926" i="1"/>
  <c r="H927" i="1"/>
  <c r="H928" i="1"/>
  <c r="H929" i="1"/>
  <c r="H930" i="1"/>
  <c r="H931" i="1"/>
  <c r="H932" i="1"/>
  <c r="H933" i="1"/>
  <c r="H934" i="1"/>
  <c r="H935" i="1"/>
  <c r="H936" i="1"/>
  <c r="H937" i="1"/>
  <c r="H938" i="1"/>
  <c r="H939" i="1"/>
  <c r="H940" i="1"/>
  <c r="H941" i="1"/>
  <c r="H942" i="1"/>
  <c r="H943" i="1"/>
  <c r="H944" i="1"/>
  <c r="H945" i="1"/>
  <c r="H946" i="1"/>
  <c r="H947" i="1"/>
  <c r="H948" i="1"/>
  <c r="H949" i="1"/>
  <c r="H950" i="1"/>
  <c r="H951" i="1"/>
  <c r="H952" i="1"/>
  <c r="H953" i="1"/>
  <c r="H954" i="1"/>
  <c r="H955" i="1"/>
  <c r="H956" i="1"/>
  <c r="H957" i="1"/>
  <c r="H958" i="1"/>
  <c r="H959" i="1"/>
  <c r="H960" i="1"/>
  <c r="H961" i="1"/>
  <c r="H962" i="1"/>
  <c r="H963" i="1"/>
  <c r="H964" i="1"/>
  <c r="H965" i="1"/>
  <c r="H966" i="1"/>
  <c r="H967" i="1"/>
  <c r="H968" i="1"/>
  <c r="H969" i="1"/>
  <c r="H970" i="1"/>
  <c r="H971" i="1"/>
  <c r="H972" i="1"/>
  <c r="H973" i="1"/>
  <c r="H974" i="1"/>
  <c r="H975" i="1"/>
  <c r="H976" i="1"/>
  <c r="H977" i="1"/>
  <c r="H978" i="1"/>
  <c r="H979" i="1"/>
  <c r="H980" i="1"/>
  <c r="H981" i="1"/>
  <c r="H982" i="1"/>
  <c r="H983" i="1"/>
  <c r="H984" i="1"/>
  <c r="H985" i="1"/>
  <c r="H986" i="1"/>
  <c r="H987" i="1"/>
  <c r="H988" i="1"/>
  <c r="H989" i="1"/>
  <c r="H990" i="1"/>
  <c r="H991" i="1"/>
  <c r="H992" i="1"/>
  <c r="H993" i="1"/>
  <c r="H994" i="1"/>
  <c r="H995" i="1"/>
  <c r="H996" i="1"/>
  <c r="H997" i="1"/>
  <c r="H998" i="1"/>
  <c r="H999" i="1"/>
  <c r="H1000" i="1"/>
  <c r="H1001" i="1"/>
  <c r="H1002" i="1"/>
  <c r="H1003" i="1"/>
  <c r="H1004" i="1"/>
  <c r="H1005" i="1"/>
  <c r="H1006" i="1"/>
  <c r="H1007" i="1"/>
  <c r="H1008" i="1"/>
  <c r="H1009" i="1"/>
  <c r="H1010" i="1"/>
  <c r="H1011" i="1"/>
  <c r="H1012" i="1"/>
  <c r="H1013" i="1"/>
  <c r="H1014" i="1"/>
  <c r="H1015" i="1"/>
  <c r="H1016" i="1"/>
  <c r="H1017" i="1"/>
  <c r="H1018" i="1"/>
  <c r="H1019" i="1"/>
  <c r="H1020" i="1"/>
  <c r="H1021" i="1"/>
  <c r="H1022" i="1"/>
  <c r="H1023" i="1"/>
  <c r="H1024" i="1"/>
  <c r="H1025" i="1"/>
  <c r="H1026" i="1"/>
  <c r="H1027" i="1"/>
  <c r="H1028" i="1"/>
  <c r="H1029" i="1"/>
  <c r="H1030" i="1"/>
  <c r="H1031" i="1"/>
  <c r="H1032" i="1"/>
  <c r="H1033" i="1"/>
  <c r="H1034" i="1"/>
  <c r="H1035" i="1"/>
  <c r="H1036" i="1"/>
  <c r="H1037" i="1"/>
  <c r="H1038" i="1"/>
  <c r="H1039" i="1"/>
  <c r="H1040" i="1"/>
  <c r="H1041" i="1"/>
  <c r="H1042" i="1"/>
  <c r="H1043" i="1"/>
  <c r="H1044" i="1"/>
  <c r="H1045" i="1"/>
  <c r="H1046" i="1"/>
  <c r="H1047" i="1"/>
  <c r="H1048" i="1"/>
  <c r="H1049" i="1"/>
  <c r="H1050" i="1"/>
  <c r="H1051" i="1"/>
  <c r="H1052" i="1"/>
  <c r="H1053" i="1"/>
  <c r="H1054" i="1"/>
  <c r="H1055" i="1"/>
  <c r="H1056" i="1"/>
  <c r="H1057" i="1"/>
  <c r="H1058" i="1"/>
  <c r="H1059" i="1"/>
  <c r="H1060" i="1"/>
  <c r="H1061" i="1"/>
  <c r="H1062" i="1"/>
  <c r="H1063" i="1"/>
  <c r="H1064" i="1"/>
  <c r="H1065" i="1"/>
  <c r="H1066" i="1"/>
  <c r="H1067" i="1"/>
  <c r="H1068" i="1"/>
  <c r="H1069" i="1"/>
  <c r="H1070" i="1"/>
  <c r="H1071" i="1"/>
  <c r="H1072" i="1"/>
  <c r="H1073" i="1"/>
  <c r="H1074" i="1"/>
  <c r="H1075" i="1"/>
  <c r="H1076" i="1"/>
  <c r="H1077" i="1"/>
  <c r="H1078" i="1"/>
  <c r="H1079" i="1"/>
  <c r="H1080" i="1"/>
  <c r="H1081" i="1"/>
  <c r="H1082" i="1"/>
  <c r="H1083" i="1"/>
  <c r="H1084" i="1"/>
  <c r="H1085" i="1"/>
  <c r="H1086" i="1"/>
  <c r="H1087" i="1"/>
  <c r="H1088" i="1"/>
  <c r="H1089" i="1"/>
  <c r="H1090" i="1"/>
  <c r="H1091" i="1"/>
  <c r="H1092" i="1"/>
  <c r="H1093" i="1"/>
  <c r="H1094" i="1"/>
  <c r="H1095" i="1"/>
  <c r="H1096" i="1"/>
  <c r="H1097" i="1"/>
  <c r="H1098" i="1"/>
  <c r="H1099" i="1"/>
  <c r="H1100" i="1"/>
  <c r="H1101" i="1"/>
  <c r="H1102" i="1"/>
  <c r="H1103" i="1"/>
  <c r="H1104" i="1"/>
  <c r="H1105" i="1"/>
  <c r="H1106" i="1"/>
  <c r="H1107" i="1"/>
  <c r="H1108" i="1"/>
  <c r="H1109" i="1"/>
  <c r="H1110" i="1"/>
  <c r="H1111" i="1"/>
  <c r="H1112" i="1"/>
  <c r="H1113" i="1"/>
  <c r="H1114" i="1"/>
  <c r="H1115" i="1"/>
  <c r="H1116" i="1"/>
  <c r="H1117" i="1"/>
  <c r="H1118" i="1"/>
  <c r="H1119" i="1"/>
  <c r="H1120" i="1"/>
  <c r="H1121" i="1"/>
  <c r="H1122" i="1"/>
  <c r="H1123" i="1"/>
  <c r="H1124" i="1"/>
  <c r="H1125" i="1"/>
  <c r="H1126" i="1"/>
  <c r="H1127" i="1"/>
  <c r="H1128" i="1"/>
  <c r="H1129" i="1"/>
  <c r="H1130" i="1"/>
  <c r="H1131" i="1"/>
  <c r="H1132" i="1"/>
  <c r="H1133" i="1"/>
  <c r="H1134" i="1"/>
  <c r="H1135" i="1"/>
  <c r="H1136" i="1"/>
  <c r="H1137" i="1"/>
  <c r="H1138" i="1"/>
  <c r="H1139" i="1"/>
  <c r="H1140" i="1"/>
  <c r="H1141" i="1"/>
  <c r="H1142" i="1"/>
  <c r="H1143" i="1"/>
  <c r="H1144" i="1"/>
  <c r="H1145" i="1"/>
  <c r="H1146" i="1"/>
  <c r="H1147" i="1"/>
  <c r="H1148" i="1"/>
  <c r="H1149" i="1"/>
  <c r="H1150" i="1"/>
  <c r="H1151" i="1"/>
  <c r="H1152" i="1"/>
  <c r="H1153" i="1"/>
  <c r="H1154" i="1"/>
  <c r="H1155" i="1"/>
  <c r="H1156" i="1"/>
  <c r="H1157" i="1"/>
  <c r="H1158" i="1"/>
  <c r="H1159" i="1"/>
  <c r="H1160" i="1"/>
  <c r="H1161" i="1"/>
  <c r="H1162" i="1"/>
  <c r="H1163" i="1"/>
  <c r="H1164" i="1"/>
  <c r="H1165" i="1"/>
  <c r="H1166" i="1"/>
  <c r="H1167" i="1"/>
  <c r="H1168" i="1"/>
  <c r="H1169" i="1"/>
  <c r="H1170" i="1"/>
  <c r="H1171" i="1"/>
  <c r="H1172" i="1"/>
  <c r="H1173" i="1"/>
  <c r="H1174" i="1"/>
  <c r="H1175" i="1"/>
  <c r="H1176" i="1"/>
  <c r="H1177" i="1"/>
  <c r="H1178" i="1"/>
  <c r="H1179" i="1"/>
  <c r="H1180" i="1"/>
  <c r="H1181" i="1"/>
  <c r="H1182" i="1"/>
  <c r="H1183" i="1"/>
  <c r="H1184" i="1"/>
  <c r="H1185" i="1"/>
  <c r="H1186" i="1"/>
  <c r="H1187" i="1"/>
  <c r="H1188" i="1"/>
  <c r="H1189" i="1"/>
  <c r="H1190" i="1"/>
  <c r="H1191" i="1"/>
  <c r="H1192" i="1"/>
  <c r="H1193" i="1"/>
  <c r="H1194" i="1"/>
  <c r="H1195" i="1"/>
  <c r="H1196" i="1"/>
  <c r="H1197" i="1"/>
  <c r="H1198" i="1"/>
  <c r="H1199" i="1"/>
  <c r="H1200" i="1"/>
  <c r="H1201" i="1"/>
  <c r="H1202" i="1"/>
  <c r="H1203" i="1"/>
  <c r="H1204" i="1"/>
  <c r="H1205" i="1"/>
  <c r="H1206" i="1"/>
  <c r="H1207" i="1"/>
  <c r="H1208" i="1"/>
  <c r="H1209" i="1"/>
  <c r="H1210" i="1"/>
  <c r="H1211" i="1"/>
  <c r="H1212" i="1"/>
  <c r="H1213" i="1"/>
  <c r="H1214" i="1"/>
  <c r="H1215" i="1"/>
  <c r="H1216" i="1"/>
  <c r="H1217" i="1"/>
  <c r="H1218" i="1"/>
  <c r="H1219" i="1"/>
  <c r="H1220" i="1"/>
  <c r="H1221" i="1"/>
  <c r="H1222" i="1"/>
  <c r="H1223" i="1"/>
  <c r="H1224" i="1"/>
  <c r="H1225" i="1"/>
  <c r="H1226" i="1"/>
  <c r="H1227" i="1"/>
  <c r="H1228" i="1"/>
  <c r="H1229" i="1"/>
  <c r="H1230" i="1"/>
  <c r="H1231" i="1"/>
  <c r="H1232" i="1"/>
  <c r="H1233" i="1"/>
  <c r="H1234" i="1"/>
  <c r="H1235" i="1"/>
  <c r="H1236" i="1"/>
  <c r="H1237" i="1"/>
  <c r="H1238" i="1"/>
  <c r="H1239" i="1"/>
  <c r="H1240" i="1"/>
  <c r="H1241" i="1"/>
  <c r="H1242" i="1"/>
  <c r="H1243" i="1"/>
  <c r="H1244" i="1"/>
  <c r="H1245" i="1"/>
  <c r="H1246" i="1"/>
  <c r="H1247" i="1"/>
  <c r="H1248" i="1"/>
  <c r="H1249" i="1"/>
  <c r="H1250" i="1"/>
  <c r="H1251" i="1"/>
  <c r="H1252" i="1"/>
  <c r="H1253" i="1"/>
  <c r="H1254" i="1"/>
  <c r="H1255" i="1"/>
  <c r="H1256" i="1"/>
  <c r="H1257" i="1"/>
  <c r="H1258" i="1"/>
  <c r="H1259" i="1"/>
  <c r="H1260" i="1"/>
  <c r="H1261" i="1"/>
  <c r="H1262" i="1"/>
  <c r="H1263" i="1"/>
  <c r="H1264" i="1"/>
  <c r="H1265" i="1"/>
  <c r="H1266" i="1"/>
  <c r="H1267" i="1"/>
  <c r="H1268" i="1"/>
  <c r="H1269" i="1"/>
  <c r="H1270" i="1"/>
  <c r="H1271" i="1"/>
  <c r="H1272" i="1"/>
  <c r="H1273" i="1"/>
  <c r="H1274" i="1"/>
  <c r="H1275" i="1"/>
  <c r="H1276" i="1"/>
  <c r="H1277" i="1"/>
  <c r="H1278" i="1"/>
  <c r="H1279" i="1"/>
  <c r="H1280" i="1"/>
  <c r="H1281" i="1"/>
  <c r="H1282" i="1"/>
  <c r="H1283" i="1"/>
  <c r="H1284" i="1"/>
  <c r="H1285" i="1"/>
  <c r="H1286" i="1"/>
  <c r="H1287" i="1"/>
  <c r="H1288" i="1"/>
  <c r="H1289" i="1"/>
  <c r="H1290" i="1"/>
  <c r="H1291" i="1"/>
  <c r="H1292" i="1"/>
  <c r="H1293" i="1"/>
  <c r="H1294" i="1"/>
  <c r="H1295" i="1"/>
  <c r="H1296" i="1"/>
  <c r="H1297" i="1"/>
  <c r="H1298" i="1"/>
  <c r="H1299" i="1"/>
  <c r="H1300" i="1"/>
  <c r="H1301" i="1"/>
  <c r="H1302" i="1"/>
  <c r="H1303" i="1"/>
  <c r="H1304" i="1"/>
  <c r="H1305" i="1"/>
  <c r="H1306" i="1"/>
  <c r="H1307" i="1"/>
  <c r="H1308" i="1"/>
  <c r="H1309" i="1"/>
  <c r="H1310" i="1"/>
  <c r="H1311" i="1"/>
  <c r="H1312" i="1"/>
  <c r="H1313" i="1"/>
  <c r="H1314" i="1"/>
  <c r="H1315" i="1"/>
  <c r="H1316" i="1"/>
  <c r="H1317" i="1"/>
  <c r="H1318" i="1"/>
  <c r="H1319" i="1"/>
  <c r="H1320" i="1"/>
  <c r="H1321" i="1"/>
  <c r="H1322" i="1"/>
  <c r="H1323" i="1"/>
  <c r="H1324" i="1"/>
  <c r="H1325" i="1"/>
  <c r="H1326" i="1"/>
  <c r="H1327" i="1"/>
  <c r="H1328" i="1"/>
  <c r="H1329" i="1"/>
  <c r="H1330" i="1"/>
  <c r="H1331" i="1"/>
  <c r="H1332" i="1"/>
  <c r="H1333" i="1"/>
  <c r="H1334" i="1"/>
  <c r="H1335" i="1"/>
  <c r="H1336" i="1"/>
  <c r="H1337" i="1"/>
  <c r="H1338" i="1"/>
  <c r="H1339" i="1"/>
  <c r="H1340" i="1"/>
  <c r="H1341" i="1"/>
  <c r="H1342" i="1"/>
  <c r="H1343" i="1"/>
  <c r="H1344" i="1"/>
  <c r="H1345" i="1"/>
  <c r="H1346" i="1"/>
  <c r="H1347" i="1"/>
  <c r="H1348" i="1"/>
  <c r="H1349" i="1"/>
  <c r="H1350" i="1"/>
  <c r="H1351" i="1"/>
  <c r="H1352" i="1"/>
  <c r="H1353" i="1"/>
  <c r="H1354" i="1"/>
  <c r="H1355" i="1"/>
  <c r="H1356" i="1"/>
  <c r="H1357" i="1"/>
  <c r="H1358" i="1"/>
  <c r="H1359" i="1"/>
  <c r="H1360" i="1"/>
  <c r="H1361" i="1"/>
  <c r="H1362" i="1"/>
  <c r="H1363" i="1"/>
  <c r="H1364" i="1"/>
  <c r="H1365" i="1"/>
  <c r="H1366" i="1"/>
  <c r="H1367" i="1"/>
  <c r="H1368" i="1"/>
  <c r="H1369" i="1"/>
  <c r="H1370" i="1"/>
  <c r="H1371" i="1"/>
  <c r="H1372" i="1"/>
  <c r="H1373" i="1"/>
  <c r="H1374" i="1"/>
  <c r="H1375" i="1"/>
  <c r="H1376" i="1"/>
  <c r="H1377" i="1"/>
  <c r="H1378" i="1"/>
  <c r="H1379" i="1"/>
  <c r="H1380" i="1"/>
  <c r="H1381" i="1"/>
  <c r="H1382" i="1"/>
  <c r="H1383" i="1"/>
  <c r="H1384" i="1"/>
  <c r="H1385" i="1"/>
  <c r="H1386" i="1"/>
  <c r="H1387" i="1"/>
  <c r="H1388" i="1"/>
  <c r="H1389" i="1"/>
  <c r="H1390" i="1"/>
  <c r="H1391" i="1"/>
  <c r="H1392" i="1"/>
  <c r="H1393" i="1"/>
  <c r="H1394" i="1"/>
  <c r="H1395" i="1"/>
  <c r="H1396" i="1"/>
  <c r="H1397" i="1"/>
  <c r="H1398" i="1"/>
  <c r="H1399" i="1"/>
  <c r="H1400" i="1"/>
  <c r="H1401" i="1"/>
  <c r="H1402" i="1"/>
  <c r="H1403" i="1"/>
  <c r="H1404" i="1"/>
  <c r="H1405" i="1"/>
  <c r="H1406" i="1"/>
  <c r="H1407" i="1"/>
  <c r="H1408" i="1"/>
  <c r="H1409" i="1"/>
  <c r="H1410" i="1"/>
  <c r="H1411" i="1"/>
  <c r="H1412" i="1"/>
  <c r="H1413" i="1"/>
  <c r="H1414" i="1"/>
  <c r="H1415" i="1"/>
  <c r="H1416" i="1"/>
  <c r="H1417" i="1"/>
  <c r="H1418" i="1"/>
  <c r="H1419" i="1"/>
  <c r="H1420" i="1"/>
  <c r="H1421" i="1"/>
  <c r="H1422" i="1"/>
  <c r="H1423" i="1"/>
  <c r="H1424" i="1"/>
  <c r="H1425" i="1"/>
  <c r="H1426" i="1"/>
  <c r="H1427" i="1"/>
  <c r="H1428" i="1"/>
  <c r="H1429" i="1"/>
  <c r="H1430" i="1"/>
  <c r="H1431" i="1"/>
  <c r="H1432" i="1"/>
  <c r="H1433" i="1"/>
  <c r="H1434" i="1"/>
  <c r="H1435" i="1"/>
  <c r="H1436" i="1"/>
  <c r="H1437" i="1"/>
  <c r="H1438" i="1"/>
  <c r="H1439" i="1"/>
  <c r="H1440" i="1"/>
  <c r="H1441" i="1"/>
  <c r="H1442" i="1"/>
  <c r="H1443" i="1"/>
  <c r="H1444" i="1"/>
  <c r="H1445" i="1"/>
  <c r="H1446" i="1"/>
  <c r="H1447" i="1"/>
  <c r="H1448" i="1"/>
  <c r="H1449" i="1"/>
  <c r="H1450" i="1"/>
  <c r="H1451" i="1"/>
  <c r="H1452" i="1"/>
  <c r="H1453" i="1"/>
  <c r="H1454" i="1"/>
  <c r="H1455" i="1"/>
  <c r="H1456" i="1"/>
  <c r="H1457" i="1"/>
  <c r="H1458" i="1"/>
  <c r="H1459" i="1"/>
  <c r="H1460" i="1"/>
  <c r="H1461" i="1"/>
  <c r="H1462" i="1"/>
  <c r="H1463" i="1"/>
  <c r="H1464" i="1"/>
  <c r="H1465" i="1"/>
  <c r="H1466" i="1"/>
  <c r="H1467" i="1"/>
  <c r="H1468" i="1"/>
  <c r="H1469" i="1"/>
  <c r="H1470" i="1"/>
  <c r="H1471" i="1"/>
  <c r="H1472" i="1"/>
  <c r="H1473" i="1"/>
  <c r="H1474" i="1"/>
  <c r="H1475" i="1"/>
  <c r="H1476" i="1"/>
  <c r="H1477" i="1"/>
  <c r="H1478" i="1"/>
  <c r="H1479" i="1"/>
  <c r="H1480" i="1"/>
  <c r="H1481" i="1"/>
  <c r="H1482" i="1"/>
  <c r="H1483" i="1"/>
  <c r="H1484" i="1"/>
  <c r="H1485" i="1"/>
  <c r="H1486" i="1"/>
  <c r="H1487" i="1"/>
  <c r="H1488" i="1"/>
  <c r="H1489" i="1"/>
  <c r="H1490" i="1"/>
  <c r="H1491" i="1"/>
  <c r="H1492" i="1"/>
  <c r="H1493" i="1"/>
  <c r="H1494" i="1"/>
  <c r="H1495" i="1"/>
  <c r="H1496" i="1"/>
  <c r="H1497" i="1"/>
  <c r="H1498" i="1"/>
  <c r="H1499" i="1"/>
  <c r="H1500" i="1"/>
  <c r="H1501" i="1"/>
  <c r="H1502" i="1"/>
  <c r="H1503" i="1"/>
  <c r="H1504" i="1"/>
  <c r="H1505" i="1"/>
  <c r="H1506" i="1"/>
  <c r="H1507" i="1"/>
  <c r="H1508" i="1"/>
  <c r="H1509" i="1"/>
  <c r="H1510" i="1"/>
  <c r="H1511" i="1"/>
  <c r="H1512" i="1"/>
  <c r="H1513" i="1"/>
  <c r="H1514" i="1"/>
  <c r="H1515" i="1"/>
  <c r="H1516" i="1"/>
  <c r="H1517" i="1"/>
  <c r="H1518" i="1"/>
  <c r="H1519" i="1"/>
  <c r="H1520" i="1"/>
  <c r="H1521" i="1"/>
  <c r="H1522" i="1"/>
  <c r="H1523" i="1"/>
  <c r="H1524" i="1"/>
  <c r="H1525" i="1"/>
  <c r="H1526" i="1"/>
  <c r="H1527" i="1"/>
  <c r="H1528" i="1"/>
  <c r="H1529" i="1"/>
  <c r="H1530" i="1"/>
  <c r="H1531" i="1"/>
  <c r="H1532" i="1"/>
  <c r="H1533" i="1"/>
  <c r="H1534" i="1"/>
  <c r="H1535" i="1"/>
  <c r="H1536" i="1"/>
  <c r="H1537" i="1"/>
  <c r="H1538" i="1"/>
  <c r="H1539" i="1"/>
  <c r="H1540" i="1"/>
  <c r="H1541" i="1"/>
  <c r="H1542" i="1"/>
  <c r="H1543" i="1"/>
  <c r="H1544" i="1"/>
  <c r="H1545" i="1"/>
  <c r="H1546" i="1"/>
  <c r="H1547" i="1"/>
  <c r="H1548" i="1"/>
  <c r="H1549" i="1"/>
  <c r="H1550" i="1"/>
  <c r="H1551" i="1"/>
  <c r="H1552" i="1"/>
  <c r="H1553" i="1"/>
  <c r="H1554" i="1"/>
  <c r="H1555" i="1"/>
  <c r="H1556" i="1"/>
  <c r="H1557" i="1"/>
  <c r="H1558" i="1"/>
  <c r="H1559" i="1"/>
  <c r="H1560" i="1"/>
  <c r="H1561" i="1"/>
  <c r="H1562" i="1"/>
  <c r="H1563" i="1"/>
  <c r="H1564" i="1"/>
  <c r="H1565" i="1"/>
  <c r="H1566" i="1"/>
  <c r="H1567" i="1"/>
  <c r="H1568" i="1"/>
  <c r="H1569" i="1"/>
  <c r="H1570" i="1"/>
  <c r="H1571" i="1"/>
  <c r="H1572" i="1"/>
  <c r="H1573" i="1"/>
  <c r="H1574" i="1"/>
  <c r="H1575" i="1"/>
  <c r="H1576" i="1"/>
  <c r="H1577" i="1"/>
  <c r="H1578" i="1"/>
  <c r="H1579" i="1"/>
  <c r="H1580" i="1"/>
  <c r="H1581" i="1"/>
  <c r="H1582" i="1"/>
  <c r="H1583" i="1"/>
  <c r="H1584" i="1"/>
  <c r="H1585" i="1"/>
  <c r="H1586" i="1"/>
  <c r="H1587" i="1"/>
  <c r="H1588" i="1"/>
  <c r="H1589" i="1"/>
  <c r="H1590" i="1"/>
  <c r="H1591" i="1"/>
  <c r="H1592" i="1"/>
  <c r="H1593" i="1"/>
  <c r="H1594" i="1"/>
  <c r="H1595" i="1"/>
  <c r="H1596" i="1"/>
  <c r="H1597" i="1"/>
  <c r="H1598" i="1"/>
  <c r="H1599" i="1"/>
  <c r="H1600" i="1"/>
  <c r="H1601" i="1"/>
  <c r="H1602" i="1"/>
  <c r="H1603" i="1"/>
  <c r="H1604" i="1"/>
  <c r="H1605" i="1"/>
  <c r="H1606" i="1"/>
  <c r="H1607" i="1"/>
  <c r="H1608" i="1"/>
  <c r="H1609" i="1"/>
  <c r="H1610" i="1"/>
  <c r="H1611" i="1"/>
  <c r="H1612" i="1"/>
  <c r="H1613" i="1"/>
  <c r="H1614" i="1"/>
  <c r="H1615" i="1"/>
  <c r="H1616" i="1"/>
  <c r="H1617" i="1"/>
  <c r="H1618" i="1"/>
  <c r="H1619" i="1"/>
  <c r="H1620" i="1"/>
  <c r="H1621" i="1"/>
  <c r="H1622" i="1"/>
  <c r="H1623" i="1"/>
  <c r="H1624" i="1"/>
  <c r="H1625" i="1"/>
  <c r="H1626" i="1"/>
  <c r="H1627" i="1"/>
  <c r="H1628" i="1"/>
  <c r="H1629" i="1"/>
  <c r="H1630" i="1"/>
  <c r="H1631" i="1"/>
  <c r="H1632" i="1"/>
  <c r="H1633" i="1"/>
  <c r="H1634" i="1"/>
  <c r="H1635" i="1"/>
  <c r="H1636" i="1"/>
  <c r="H1637" i="1"/>
  <c r="H1638" i="1"/>
  <c r="H1639" i="1"/>
  <c r="H1640" i="1"/>
  <c r="H1641" i="1"/>
  <c r="H1642" i="1"/>
  <c r="H1643" i="1"/>
  <c r="H1644" i="1"/>
  <c r="H1645" i="1"/>
  <c r="H1646" i="1"/>
  <c r="H1647" i="1"/>
  <c r="H1648" i="1"/>
  <c r="H1649" i="1"/>
  <c r="H1650" i="1"/>
  <c r="H1651" i="1"/>
  <c r="H1652" i="1"/>
  <c r="H1653" i="1"/>
  <c r="H1654" i="1"/>
  <c r="H1655" i="1"/>
  <c r="H1656" i="1"/>
  <c r="H1657" i="1"/>
  <c r="H1658" i="1"/>
  <c r="H1659" i="1"/>
  <c r="H1660" i="1"/>
  <c r="H1661" i="1"/>
  <c r="H1662" i="1"/>
  <c r="H1663" i="1"/>
  <c r="H1664" i="1"/>
  <c r="H1665" i="1"/>
  <c r="H1666" i="1"/>
  <c r="H1667" i="1"/>
  <c r="H1668" i="1"/>
  <c r="H1669" i="1"/>
  <c r="H1670" i="1"/>
  <c r="H1671" i="1"/>
  <c r="H1672" i="1"/>
  <c r="H1673" i="1"/>
  <c r="H1674" i="1"/>
  <c r="H1675" i="1"/>
  <c r="H1676" i="1"/>
  <c r="H1677" i="1"/>
  <c r="H1678" i="1"/>
  <c r="H1679" i="1"/>
  <c r="H1680" i="1"/>
  <c r="H1681" i="1"/>
  <c r="H1682" i="1"/>
  <c r="H1683" i="1"/>
  <c r="H1684" i="1"/>
  <c r="H1685" i="1"/>
  <c r="H1686" i="1"/>
  <c r="H1687" i="1"/>
  <c r="H1688" i="1"/>
  <c r="H1689" i="1"/>
  <c r="H1690" i="1"/>
  <c r="H1691" i="1"/>
  <c r="H1692" i="1"/>
  <c r="H1693" i="1"/>
  <c r="H1694" i="1"/>
  <c r="H1695" i="1"/>
  <c r="H1696" i="1"/>
  <c r="H1697" i="1"/>
  <c r="H1698" i="1"/>
  <c r="H1699" i="1"/>
  <c r="H1700" i="1"/>
  <c r="H1701" i="1"/>
  <c r="H1702" i="1"/>
  <c r="H1703" i="1"/>
  <c r="H1704" i="1"/>
  <c r="H1705" i="1"/>
  <c r="H1706" i="1"/>
  <c r="H1707" i="1"/>
  <c r="H1708" i="1"/>
  <c r="H1709" i="1"/>
  <c r="H1710" i="1"/>
  <c r="H1711" i="1"/>
  <c r="H1712" i="1"/>
  <c r="H1713" i="1"/>
  <c r="H1714" i="1"/>
  <c r="H1715" i="1"/>
  <c r="H1716" i="1"/>
  <c r="H1717" i="1"/>
  <c r="H1718" i="1"/>
  <c r="H1719" i="1"/>
  <c r="H1720" i="1"/>
  <c r="H1721" i="1"/>
  <c r="H1722" i="1"/>
  <c r="H1723" i="1"/>
  <c r="H1724" i="1"/>
  <c r="H1725" i="1"/>
  <c r="H1726" i="1"/>
  <c r="H1727" i="1"/>
  <c r="H1728" i="1"/>
  <c r="H1729" i="1"/>
  <c r="H1730" i="1"/>
  <c r="H1731" i="1"/>
  <c r="H1732" i="1"/>
  <c r="H1733" i="1"/>
  <c r="H1734" i="1"/>
  <c r="H1735" i="1"/>
  <c r="H1736" i="1"/>
  <c r="H1737" i="1"/>
  <c r="H1738" i="1"/>
  <c r="H1739" i="1"/>
  <c r="H1740" i="1"/>
  <c r="H1741" i="1"/>
  <c r="H1742" i="1"/>
  <c r="H1743" i="1"/>
  <c r="H1744" i="1"/>
  <c r="H1745" i="1"/>
  <c r="H1746" i="1"/>
  <c r="H1747" i="1"/>
  <c r="H1748" i="1"/>
  <c r="H1749" i="1"/>
  <c r="H1750" i="1"/>
  <c r="H1751" i="1"/>
  <c r="H1752" i="1"/>
  <c r="H1753" i="1"/>
  <c r="H1754" i="1"/>
  <c r="H1755" i="1"/>
  <c r="H1756" i="1"/>
  <c r="H1757" i="1"/>
  <c r="H1758" i="1"/>
  <c r="H1759" i="1"/>
  <c r="H1760" i="1"/>
  <c r="H1761" i="1"/>
  <c r="H1762" i="1"/>
  <c r="H1763" i="1"/>
  <c r="H1764" i="1"/>
  <c r="H1765" i="1"/>
  <c r="H1766" i="1"/>
  <c r="H1767" i="1"/>
  <c r="H1768" i="1"/>
  <c r="H1769" i="1"/>
  <c r="H1770" i="1"/>
  <c r="H1771" i="1"/>
  <c r="H1772" i="1"/>
  <c r="H1773" i="1"/>
  <c r="H1774" i="1"/>
  <c r="H1775" i="1"/>
  <c r="H1776" i="1"/>
  <c r="H1777" i="1"/>
  <c r="H1778" i="1"/>
  <c r="H1779" i="1"/>
  <c r="H1780" i="1"/>
  <c r="H1781" i="1"/>
  <c r="H1782" i="1"/>
  <c r="H1783" i="1"/>
  <c r="H1784" i="1"/>
  <c r="H1785" i="1"/>
  <c r="H1786" i="1"/>
  <c r="H1787" i="1"/>
  <c r="H1788" i="1"/>
  <c r="H1789" i="1"/>
  <c r="H1790" i="1"/>
  <c r="H1791" i="1"/>
  <c r="H1792" i="1"/>
  <c r="H1793" i="1"/>
  <c r="H1794" i="1"/>
  <c r="H1795" i="1"/>
  <c r="H1796" i="1"/>
  <c r="H1797" i="1"/>
  <c r="H1798" i="1"/>
  <c r="H1799" i="1"/>
  <c r="H1800" i="1"/>
  <c r="H1801" i="1"/>
  <c r="H1802" i="1"/>
  <c r="H1803" i="1"/>
  <c r="H1804" i="1"/>
  <c r="H1805" i="1"/>
  <c r="H1806" i="1"/>
  <c r="H1807" i="1"/>
  <c r="H1808" i="1"/>
  <c r="H1809" i="1"/>
  <c r="H1810" i="1"/>
  <c r="H1811" i="1"/>
  <c r="H1812" i="1"/>
  <c r="H1813" i="1"/>
  <c r="H1814" i="1"/>
  <c r="H1815" i="1"/>
  <c r="H1816" i="1"/>
  <c r="H1817" i="1"/>
  <c r="H1818" i="1"/>
  <c r="H1819" i="1"/>
  <c r="H1820" i="1"/>
  <c r="H1821" i="1"/>
  <c r="H1822" i="1"/>
  <c r="H1823" i="1"/>
  <c r="H1824" i="1"/>
  <c r="H1825" i="1"/>
  <c r="H1826" i="1"/>
  <c r="H1827" i="1"/>
  <c r="H1828" i="1"/>
  <c r="H1829" i="1"/>
  <c r="H1830" i="1"/>
  <c r="H1831" i="1"/>
  <c r="H1832" i="1"/>
  <c r="H1833" i="1"/>
  <c r="H1834" i="1"/>
  <c r="H1835" i="1"/>
  <c r="H1836" i="1"/>
  <c r="H1837" i="1"/>
  <c r="H1838" i="1"/>
  <c r="H1839" i="1"/>
  <c r="H1840" i="1"/>
  <c r="H1841" i="1"/>
  <c r="H1842" i="1"/>
  <c r="H1843" i="1"/>
  <c r="H1844" i="1"/>
  <c r="H1845" i="1"/>
  <c r="H1846" i="1"/>
  <c r="H1847" i="1"/>
  <c r="H1848" i="1"/>
  <c r="H1849" i="1"/>
  <c r="H1850" i="1"/>
  <c r="H1851" i="1"/>
  <c r="H1852" i="1"/>
  <c r="H1853" i="1"/>
  <c r="H1854" i="1"/>
  <c r="H1855" i="1"/>
  <c r="H1856" i="1"/>
  <c r="H1857" i="1"/>
  <c r="H1858" i="1"/>
  <c r="H1859" i="1"/>
  <c r="H1860" i="1"/>
  <c r="H1861" i="1"/>
  <c r="H1862" i="1"/>
  <c r="H1863" i="1"/>
  <c r="H1864" i="1"/>
  <c r="H1865" i="1"/>
  <c r="H1866" i="1"/>
  <c r="H1867" i="1"/>
  <c r="H1868" i="1"/>
  <c r="H1869" i="1"/>
  <c r="H1870" i="1"/>
  <c r="H1871" i="1"/>
  <c r="H1872" i="1"/>
  <c r="H1873" i="1"/>
  <c r="H1874" i="1"/>
  <c r="H1875" i="1"/>
  <c r="H1876" i="1"/>
  <c r="H1877" i="1"/>
  <c r="H1878" i="1"/>
  <c r="H1879" i="1"/>
  <c r="H1880" i="1"/>
  <c r="H1881" i="1"/>
  <c r="H1882" i="1"/>
  <c r="H1883" i="1"/>
  <c r="H1884" i="1"/>
  <c r="H1885" i="1"/>
  <c r="H1886" i="1"/>
  <c r="H1887" i="1"/>
  <c r="H1888" i="1"/>
  <c r="H1889" i="1"/>
  <c r="H1890" i="1"/>
  <c r="H1891" i="1"/>
  <c r="H1892" i="1"/>
  <c r="H1893" i="1"/>
  <c r="H1894" i="1"/>
  <c r="H1895" i="1"/>
  <c r="H1896" i="1"/>
  <c r="H1897" i="1"/>
  <c r="H1898" i="1"/>
  <c r="H1899" i="1"/>
  <c r="H1900" i="1"/>
  <c r="H1901" i="1"/>
  <c r="H1902" i="1"/>
  <c r="H1903" i="1"/>
  <c r="H1904" i="1"/>
  <c r="H1905" i="1"/>
  <c r="H1906" i="1"/>
  <c r="H1907" i="1"/>
  <c r="H1908" i="1"/>
  <c r="H1909" i="1"/>
  <c r="H1910" i="1"/>
  <c r="H1911" i="1"/>
  <c r="H1912" i="1"/>
  <c r="H1913" i="1"/>
  <c r="H1914" i="1"/>
  <c r="H1915" i="1"/>
  <c r="H1916" i="1"/>
  <c r="H1917" i="1"/>
  <c r="H1918" i="1"/>
  <c r="H1919" i="1"/>
  <c r="H1920" i="1"/>
  <c r="H1921" i="1"/>
  <c r="H1922" i="1"/>
  <c r="H1923" i="1"/>
  <c r="H1924" i="1"/>
  <c r="H1925" i="1"/>
  <c r="H1926" i="1"/>
  <c r="H1927" i="1"/>
  <c r="H1928" i="1"/>
  <c r="H1929" i="1"/>
  <c r="H1930" i="1"/>
  <c r="H1931" i="1"/>
  <c r="H1932" i="1"/>
  <c r="H1933" i="1"/>
  <c r="H1934" i="1"/>
  <c r="H1935" i="1"/>
  <c r="H1936" i="1"/>
  <c r="H1937" i="1"/>
  <c r="H1938" i="1"/>
  <c r="H1939" i="1"/>
  <c r="H1940" i="1"/>
  <c r="H1941" i="1"/>
  <c r="H1942" i="1"/>
  <c r="H1943" i="1"/>
  <c r="H1944" i="1"/>
  <c r="H1945" i="1"/>
  <c r="H1946" i="1"/>
  <c r="H1947" i="1"/>
  <c r="H1948" i="1"/>
  <c r="H1949" i="1"/>
  <c r="H1950" i="1"/>
  <c r="H1951" i="1"/>
  <c r="H1952" i="1"/>
  <c r="H1953" i="1"/>
  <c r="H1954" i="1"/>
  <c r="H1955" i="1"/>
  <c r="H1956" i="1"/>
  <c r="H1957" i="1"/>
  <c r="H1958" i="1"/>
  <c r="H1959" i="1"/>
  <c r="H1960" i="1"/>
  <c r="H1961" i="1"/>
  <c r="H1962" i="1"/>
  <c r="H1963" i="1"/>
  <c r="H1964" i="1"/>
  <c r="H1965" i="1"/>
  <c r="H1966" i="1"/>
  <c r="H1967" i="1"/>
  <c r="H1968" i="1"/>
  <c r="H1969" i="1"/>
  <c r="H1970" i="1"/>
  <c r="H1971" i="1"/>
  <c r="H1972" i="1"/>
  <c r="H1973" i="1"/>
  <c r="H1974" i="1"/>
  <c r="H1975" i="1"/>
  <c r="H1976" i="1"/>
  <c r="H1977" i="1"/>
  <c r="H1978" i="1"/>
  <c r="H1979" i="1"/>
  <c r="H1980" i="1"/>
  <c r="H1981" i="1"/>
  <c r="H1982" i="1"/>
  <c r="H1983" i="1"/>
  <c r="H1984" i="1"/>
  <c r="H1985" i="1"/>
  <c r="H1986" i="1"/>
  <c r="H1987" i="1"/>
  <c r="H1988" i="1"/>
  <c r="H1989" i="1"/>
  <c r="H1990" i="1"/>
  <c r="H1991" i="1"/>
  <c r="H1992" i="1"/>
  <c r="H1993" i="1"/>
  <c r="H1994" i="1"/>
  <c r="H1995" i="1"/>
  <c r="H1996" i="1"/>
  <c r="H1997" i="1"/>
  <c r="H1998" i="1"/>
  <c r="H1999" i="1"/>
  <c r="H2000" i="1"/>
  <c r="H2001" i="1"/>
  <c r="H2002" i="1"/>
  <c r="H2003" i="1"/>
  <c r="H2004" i="1"/>
  <c r="H2005" i="1"/>
  <c r="H2006" i="1"/>
  <c r="H2007" i="1"/>
  <c r="H2008" i="1"/>
  <c r="H2009" i="1"/>
  <c r="H2010" i="1"/>
  <c r="H2011" i="1"/>
  <c r="H2012" i="1"/>
  <c r="H2013" i="1"/>
  <c r="H2014" i="1"/>
  <c r="H2015" i="1"/>
  <c r="H2016" i="1"/>
  <c r="H2017" i="1"/>
  <c r="H2018" i="1"/>
  <c r="H2019" i="1"/>
  <c r="H2020" i="1"/>
  <c r="H2021" i="1"/>
  <c r="H2022" i="1"/>
  <c r="H2023" i="1"/>
  <c r="H2024" i="1"/>
  <c r="H2025" i="1"/>
  <c r="H2026" i="1"/>
  <c r="H2027" i="1"/>
  <c r="H2028" i="1"/>
  <c r="H2029" i="1"/>
  <c r="H2030" i="1"/>
  <c r="H2031" i="1"/>
  <c r="H2032" i="1"/>
  <c r="H2033" i="1"/>
  <c r="H2034" i="1"/>
  <c r="H2035" i="1"/>
  <c r="H2036" i="1"/>
  <c r="H2037" i="1"/>
  <c r="H2038" i="1"/>
  <c r="H2039" i="1"/>
  <c r="H2040" i="1"/>
  <c r="H2041" i="1"/>
  <c r="H2042" i="1"/>
  <c r="H2043" i="1"/>
  <c r="H2044" i="1"/>
  <c r="H2045" i="1"/>
  <c r="H2046" i="1"/>
  <c r="H2047" i="1"/>
  <c r="H2048" i="1"/>
  <c r="H2049" i="1"/>
  <c r="H2050" i="1"/>
  <c r="H2051" i="1"/>
  <c r="H2052" i="1"/>
  <c r="H2053" i="1"/>
  <c r="H2054" i="1"/>
  <c r="H2055" i="1"/>
  <c r="H2056" i="1"/>
  <c r="H2057" i="1"/>
  <c r="H2058" i="1"/>
  <c r="H2059" i="1"/>
  <c r="H2060" i="1"/>
  <c r="H2061" i="1"/>
  <c r="H2062" i="1"/>
  <c r="H2063" i="1"/>
  <c r="H2064" i="1"/>
  <c r="H2065" i="1"/>
  <c r="H2066" i="1"/>
  <c r="H2067" i="1"/>
  <c r="H2068" i="1"/>
  <c r="H2069" i="1"/>
  <c r="H2070" i="1"/>
  <c r="H2071" i="1"/>
  <c r="H2072" i="1"/>
  <c r="H2073" i="1"/>
  <c r="H2074" i="1"/>
  <c r="H2075" i="1"/>
  <c r="H2076" i="1"/>
  <c r="H2077" i="1"/>
  <c r="H2078" i="1"/>
  <c r="H2079" i="1"/>
  <c r="H2080" i="1"/>
  <c r="H2081" i="1"/>
  <c r="H2082" i="1"/>
  <c r="H2083" i="1"/>
  <c r="H2084" i="1"/>
  <c r="H2085" i="1"/>
  <c r="H2086" i="1"/>
  <c r="H2087" i="1"/>
  <c r="H2088" i="1"/>
  <c r="H2089" i="1"/>
  <c r="H2090" i="1"/>
  <c r="H2091" i="1"/>
  <c r="H2092" i="1"/>
  <c r="H2093" i="1"/>
  <c r="H2094" i="1"/>
  <c r="H2095" i="1"/>
  <c r="H2096" i="1"/>
  <c r="H2097" i="1"/>
  <c r="H2098" i="1"/>
  <c r="H2099" i="1"/>
  <c r="H2100" i="1"/>
  <c r="H2101" i="1"/>
  <c r="H2102" i="1"/>
  <c r="H2103" i="1"/>
  <c r="H2104" i="1"/>
  <c r="H2105" i="1"/>
  <c r="H2106" i="1"/>
  <c r="H2107" i="1"/>
  <c r="H2108" i="1"/>
  <c r="H2109" i="1"/>
  <c r="H2110" i="1"/>
  <c r="H2111" i="1"/>
  <c r="H2112" i="1"/>
  <c r="H2113" i="1"/>
  <c r="H2114" i="1"/>
  <c r="H2115" i="1"/>
  <c r="H2116" i="1"/>
  <c r="H2117" i="1"/>
  <c r="H2118" i="1"/>
  <c r="H2119" i="1"/>
  <c r="H2120" i="1"/>
  <c r="H2121" i="1"/>
  <c r="H2122" i="1"/>
  <c r="H2123" i="1"/>
  <c r="H2124" i="1"/>
  <c r="H2125" i="1"/>
  <c r="H2126" i="1"/>
  <c r="H2127" i="1"/>
  <c r="H2128" i="1"/>
  <c r="H2129" i="1"/>
  <c r="H2130" i="1"/>
  <c r="H2131" i="1"/>
  <c r="H2132" i="1"/>
  <c r="H2133" i="1"/>
  <c r="H2134" i="1"/>
  <c r="H2135" i="1"/>
  <c r="H2136" i="1"/>
  <c r="H2137" i="1"/>
  <c r="H2138" i="1"/>
  <c r="H2139" i="1"/>
  <c r="H2140" i="1"/>
  <c r="H2141" i="1"/>
  <c r="H2142" i="1"/>
  <c r="H2143" i="1"/>
  <c r="H2144" i="1"/>
  <c r="H2145" i="1"/>
  <c r="H2146" i="1"/>
  <c r="H2147" i="1"/>
  <c r="H2148" i="1"/>
  <c r="H2149" i="1"/>
  <c r="H2150" i="1"/>
  <c r="H2151" i="1"/>
  <c r="H2152" i="1"/>
  <c r="H2153" i="1"/>
  <c r="H2154" i="1"/>
  <c r="H2155" i="1"/>
  <c r="H2156" i="1"/>
  <c r="H2157" i="1"/>
  <c r="H2158" i="1"/>
  <c r="H2159" i="1"/>
  <c r="H2160" i="1"/>
  <c r="H2161" i="1"/>
  <c r="H2162" i="1"/>
  <c r="H2163" i="1"/>
  <c r="H2164" i="1"/>
  <c r="H2165" i="1"/>
  <c r="H2166" i="1"/>
  <c r="H2167" i="1"/>
  <c r="H2168" i="1"/>
  <c r="H2169" i="1"/>
  <c r="H2170" i="1"/>
  <c r="H2171" i="1"/>
  <c r="H2172" i="1"/>
  <c r="H2173" i="1"/>
  <c r="H2174" i="1"/>
  <c r="H2175" i="1"/>
  <c r="H2176" i="1"/>
  <c r="H2177" i="1"/>
  <c r="H2178" i="1"/>
  <c r="H2179" i="1"/>
  <c r="H2180" i="1"/>
  <c r="H2181" i="1"/>
  <c r="H2182" i="1"/>
  <c r="H2183" i="1"/>
  <c r="H2184" i="1"/>
  <c r="H2185" i="1"/>
  <c r="H2186" i="1"/>
  <c r="H2187" i="1"/>
  <c r="H2188" i="1"/>
  <c r="H2189" i="1"/>
  <c r="H2190" i="1"/>
  <c r="H2191" i="1"/>
  <c r="H2192" i="1"/>
  <c r="H2193" i="1"/>
  <c r="H2194" i="1"/>
  <c r="H2195" i="1"/>
  <c r="H2196" i="1"/>
  <c r="H2197" i="1"/>
  <c r="H2198" i="1"/>
  <c r="H2199" i="1"/>
  <c r="H2200" i="1"/>
  <c r="H2201" i="1"/>
  <c r="H2202" i="1"/>
  <c r="H2203" i="1"/>
  <c r="H2204" i="1"/>
  <c r="H2205" i="1"/>
  <c r="H2206" i="1"/>
  <c r="H2207" i="1"/>
  <c r="H2208" i="1"/>
  <c r="H2209" i="1"/>
  <c r="H2210" i="1"/>
  <c r="H2211" i="1"/>
  <c r="H2212" i="1"/>
  <c r="H2213" i="1"/>
  <c r="H2214" i="1"/>
  <c r="H2215" i="1"/>
  <c r="H2216" i="1"/>
  <c r="H2217" i="1"/>
  <c r="H2218" i="1"/>
  <c r="H2219" i="1"/>
  <c r="H2220" i="1"/>
  <c r="H2221" i="1"/>
  <c r="H2222" i="1"/>
  <c r="H2223" i="1"/>
  <c r="H2224" i="1"/>
  <c r="H2225" i="1"/>
  <c r="H2226" i="1"/>
  <c r="H2227" i="1"/>
  <c r="H2228" i="1"/>
  <c r="H2229" i="1"/>
  <c r="H2230" i="1"/>
  <c r="H2231" i="1"/>
  <c r="H2232" i="1"/>
  <c r="H2233" i="1"/>
  <c r="H2234" i="1"/>
  <c r="H2235" i="1"/>
  <c r="H2236" i="1"/>
  <c r="H2237" i="1"/>
  <c r="H2238" i="1"/>
  <c r="H2239" i="1"/>
  <c r="H2240" i="1"/>
  <c r="H2241" i="1"/>
  <c r="H2242" i="1"/>
  <c r="H2243" i="1"/>
  <c r="H2244" i="1"/>
  <c r="H2245" i="1"/>
  <c r="H2246" i="1"/>
  <c r="H2247" i="1"/>
  <c r="H2248" i="1"/>
  <c r="H2249" i="1"/>
  <c r="H2250" i="1"/>
  <c r="H2251" i="1"/>
  <c r="H2252" i="1"/>
  <c r="H2253" i="1"/>
  <c r="H2254" i="1"/>
  <c r="H2255" i="1"/>
  <c r="H2256" i="1"/>
  <c r="H2257" i="1"/>
  <c r="H2258" i="1"/>
  <c r="H2259" i="1"/>
  <c r="H2260" i="1"/>
  <c r="H2261" i="1"/>
  <c r="H2262" i="1"/>
  <c r="H2263" i="1"/>
  <c r="H2264" i="1"/>
  <c r="H2265" i="1"/>
  <c r="H2266" i="1"/>
  <c r="H2267" i="1"/>
  <c r="H2268" i="1"/>
  <c r="H2269" i="1"/>
  <c r="H2270" i="1"/>
  <c r="H2271" i="1"/>
  <c r="H2272" i="1"/>
  <c r="H2273" i="1"/>
  <c r="H2274" i="1"/>
  <c r="H2275" i="1"/>
  <c r="H2276" i="1"/>
  <c r="H2277" i="1"/>
  <c r="H2278" i="1"/>
  <c r="H2279" i="1"/>
  <c r="H2280" i="1"/>
  <c r="H2281" i="1"/>
  <c r="H2282" i="1"/>
  <c r="H2283" i="1"/>
  <c r="H2284" i="1"/>
  <c r="H2285" i="1"/>
  <c r="H2286" i="1"/>
  <c r="H2287" i="1"/>
  <c r="H2288" i="1"/>
  <c r="H2289" i="1"/>
  <c r="H2290" i="1"/>
  <c r="H2291" i="1"/>
  <c r="H2292" i="1"/>
  <c r="H2293" i="1"/>
  <c r="H2294" i="1"/>
  <c r="H2295" i="1"/>
  <c r="H2296" i="1"/>
  <c r="H2297" i="1"/>
  <c r="H2298" i="1"/>
  <c r="H2299" i="1"/>
  <c r="H2300" i="1"/>
  <c r="H2301" i="1"/>
  <c r="H2302" i="1"/>
  <c r="H2303" i="1"/>
  <c r="H2304" i="1"/>
  <c r="H2305" i="1"/>
  <c r="H2306" i="1"/>
  <c r="H2307" i="1"/>
  <c r="H2308" i="1"/>
  <c r="H2309" i="1"/>
  <c r="H2310" i="1"/>
  <c r="H2311" i="1"/>
  <c r="H2312" i="1"/>
  <c r="H2313" i="1"/>
  <c r="H2314" i="1"/>
  <c r="H2315" i="1"/>
  <c r="H2316" i="1"/>
  <c r="H2317" i="1"/>
  <c r="H2318" i="1"/>
  <c r="H2319" i="1"/>
  <c r="H2320" i="1"/>
  <c r="H2321" i="1"/>
  <c r="H2322" i="1"/>
  <c r="H2323" i="1"/>
  <c r="H2324" i="1"/>
  <c r="H2325" i="1"/>
  <c r="H2326" i="1"/>
  <c r="H2327" i="1"/>
  <c r="H2328" i="1"/>
  <c r="H2329" i="1"/>
  <c r="H2330" i="1"/>
  <c r="H2331" i="1"/>
  <c r="H2332" i="1"/>
  <c r="H2333" i="1"/>
  <c r="H2334" i="1"/>
  <c r="H2335" i="1"/>
  <c r="H2336" i="1"/>
  <c r="H2337" i="1"/>
  <c r="H2338" i="1"/>
  <c r="H2339" i="1"/>
  <c r="H2340" i="1"/>
  <c r="H2341" i="1"/>
  <c r="H2342" i="1"/>
  <c r="H2343" i="1"/>
  <c r="H2344" i="1"/>
  <c r="H2345" i="1"/>
  <c r="H2346" i="1"/>
  <c r="H2347" i="1"/>
  <c r="H2348" i="1"/>
  <c r="H2349" i="1"/>
  <c r="H2350" i="1"/>
  <c r="H2351" i="1"/>
  <c r="H2352" i="1"/>
  <c r="H2353" i="1"/>
  <c r="H2354" i="1"/>
  <c r="H2355" i="1"/>
  <c r="H2356" i="1"/>
  <c r="H2357" i="1"/>
  <c r="H2358" i="1"/>
  <c r="H2359" i="1"/>
  <c r="H2360" i="1"/>
  <c r="H2361" i="1"/>
  <c r="H2362" i="1"/>
  <c r="H2363" i="1"/>
  <c r="H2364" i="1"/>
  <c r="H2365" i="1"/>
  <c r="H2366" i="1"/>
  <c r="H2367" i="1"/>
  <c r="H2368" i="1"/>
  <c r="H2369" i="1"/>
  <c r="H2370" i="1"/>
  <c r="H2371" i="1"/>
  <c r="H2372" i="1"/>
  <c r="H2373" i="1"/>
  <c r="H2374" i="1"/>
  <c r="H2375" i="1"/>
  <c r="H2376" i="1"/>
  <c r="H2377" i="1"/>
  <c r="H2378" i="1"/>
  <c r="H2379" i="1"/>
  <c r="H2380" i="1"/>
  <c r="H2381" i="1"/>
  <c r="H2382" i="1"/>
  <c r="H2383" i="1"/>
  <c r="H2384" i="1"/>
  <c r="H2385" i="1"/>
  <c r="H2386" i="1"/>
  <c r="H2387" i="1"/>
  <c r="H2388" i="1"/>
  <c r="H2389" i="1"/>
  <c r="H2390" i="1"/>
  <c r="H2391" i="1"/>
  <c r="H2392" i="1"/>
  <c r="H2393" i="1"/>
  <c r="H2394" i="1"/>
  <c r="H2395" i="1"/>
  <c r="H2396" i="1"/>
  <c r="H2397" i="1"/>
  <c r="H2398" i="1"/>
  <c r="H2399" i="1"/>
  <c r="H2400" i="1"/>
  <c r="H2401" i="1"/>
  <c r="H2402" i="1"/>
  <c r="H2403" i="1"/>
  <c r="H2404" i="1"/>
  <c r="H2405" i="1"/>
  <c r="H2406" i="1"/>
  <c r="H2407" i="1"/>
  <c r="H2408" i="1"/>
  <c r="H2409" i="1"/>
  <c r="H2410" i="1"/>
  <c r="H2411" i="1"/>
  <c r="H2412" i="1"/>
  <c r="H2413" i="1"/>
  <c r="H2414" i="1"/>
  <c r="H2415" i="1"/>
  <c r="H2416" i="1"/>
  <c r="H2417" i="1"/>
  <c r="H2418" i="1"/>
  <c r="H2419" i="1"/>
  <c r="H2420" i="1"/>
  <c r="H2421" i="1"/>
  <c r="H2422" i="1"/>
  <c r="H2423" i="1"/>
  <c r="H2424" i="1"/>
  <c r="H2425" i="1"/>
  <c r="H2426" i="1"/>
  <c r="H2427" i="1"/>
  <c r="H2428" i="1"/>
  <c r="H2429" i="1"/>
  <c r="H2430" i="1"/>
  <c r="H2431" i="1"/>
  <c r="H2432" i="1"/>
  <c r="H2433" i="1"/>
  <c r="H2434" i="1"/>
  <c r="H2435" i="1"/>
  <c r="H2436" i="1"/>
  <c r="H2437" i="1"/>
  <c r="H2438" i="1"/>
  <c r="H2439" i="1"/>
  <c r="H2440" i="1"/>
  <c r="H2441" i="1"/>
  <c r="H2442" i="1"/>
  <c r="H2443" i="1"/>
  <c r="H2444" i="1"/>
  <c r="H2445" i="1"/>
  <c r="H2446" i="1"/>
  <c r="H2447" i="1"/>
  <c r="H2448" i="1"/>
  <c r="H2449" i="1"/>
  <c r="H2450" i="1"/>
  <c r="H2451" i="1"/>
  <c r="H2452" i="1"/>
  <c r="H2453" i="1"/>
  <c r="H2454" i="1"/>
  <c r="H2455" i="1"/>
  <c r="H2456" i="1"/>
  <c r="H2457" i="1"/>
  <c r="H2458" i="1"/>
  <c r="H2459" i="1"/>
  <c r="H2460" i="1"/>
  <c r="H2461" i="1"/>
  <c r="H2462" i="1"/>
  <c r="H2463" i="1"/>
  <c r="H2464" i="1"/>
  <c r="H2465" i="1"/>
  <c r="H2466" i="1"/>
  <c r="H2467" i="1"/>
  <c r="H2468" i="1"/>
  <c r="H2469" i="1"/>
  <c r="H2470" i="1"/>
  <c r="H2471" i="1"/>
  <c r="H2472" i="1"/>
  <c r="H2473" i="1"/>
  <c r="H2474" i="1"/>
  <c r="H2475" i="1"/>
  <c r="H2476" i="1"/>
  <c r="H2477" i="1"/>
  <c r="H2478" i="1"/>
  <c r="H2479" i="1"/>
  <c r="H2480" i="1"/>
  <c r="H2481" i="1"/>
  <c r="H2482" i="1"/>
  <c r="H2483" i="1"/>
  <c r="H2484" i="1"/>
  <c r="H2485" i="1"/>
  <c r="H2486" i="1"/>
  <c r="H2487" i="1"/>
  <c r="H2488" i="1"/>
  <c r="H2489" i="1"/>
  <c r="H2490" i="1"/>
  <c r="H2491" i="1"/>
  <c r="H2492" i="1"/>
  <c r="H2493" i="1"/>
  <c r="H2494" i="1"/>
  <c r="H2495" i="1"/>
  <c r="H2496" i="1"/>
  <c r="H2497" i="1"/>
  <c r="H2498" i="1"/>
  <c r="H2499" i="1"/>
  <c r="H2500" i="1"/>
  <c r="H2501" i="1"/>
  <c r="H2502" i="1"/>
  <c r="H2503" i="1"/>
  <c r="H2504" i="1"/>
  <c r="H2505" i="1"/>
  <c r="H2506" i="1"/>
  <c r="H2507" i="1"/>
  <c r="H2508" i="1"/>
  <c r="H2509" i="1"/>
  <c r="H2510" i="1"/>
  <c r="H2511" i="1"/>
  <c r="H2512" i="1"/>
  <c r="H2513" i="1"/>
  <c r="H2514" i="1"/>
  <c r="H2515" i="1"/>
  <c r="H2516" i="1"/>
  <c r="H2517" i="1"/>
  <c r="H2518" i="1"/>
  <c r="H2519" i="1"/>
  <c r="H2520" i="1"/>
  <c r="H2521" i="1"/>
  <c r="H2522" i="1"/>
  <c r="H2523" i="1"/>
  <c r="H2524" i="1"/>
  <c r="H2525" i="1"/>
  <c r="H2526" i="1"/>
  <c r="H2527" i="1"/>
  <c r="H2528" i="1"/>
  <c r="H2529" i="1"/>
  <c r="H2530" i="1"/>
  <c r="H2531" i="1"/>
  <c r="H2532" i="1"/>
  <c r="H2533" i="1"/>
  <c r="H2534" i="1"/>
  <c r="H2535" i="1"/>
  <c r="H2536" i="1"/>
  <c r="H2537" i="1"/>
  <c r="H2538" i="1"/>
  <c r="H2539" i="1"/>
  <c r="H2540" i="1"/>
  <c r="H2541" i="1"/>
  <c r="H2542" i="1"/>
  <c r="H2543" i="1"/>
  <c r="H2544" i="1"/>
  <c r="H2545" i="1"/>
  <c r="H2546" i="1"/>
  <c r="H2547" i="1"/>
  <c r="H2548" i="1"/>
  <c r="H2549" i="1"/>
  <c r="H2550" i="1"/>
  <c r="H2551" i="1"/>
  <c r="H2552" i="1"/>
  <c r="H2553" i="1"/>
  <c r="H2554" i="1"/>
  <c r="H2555" i="1"/>
  <c r="H2556" i="1"/>
  <c r="H2557" i="1"/>
  <c r="H2558" i="1"/>
  <c r="H2559" i="1"/>
  <c r="H2560" i="1"/>
  <c r="H2561" i="1"/>
  <c r="H2562" i="1"/>
  <c r="H2563" i="1"/>
  <c r="H2564" i="1"/>
  <c r="H2565" i="1"/>
  <c r="H2566" i="1"/>
  <c r="H2567" i="1"/>
  <c r="H2568" i="1"/>
  <c r="H2569" i="1"/>
  <c r="H2570" i="1"/>
  <c r="H2571" i="1"/>
  <c r="H2572" i="1"/>
  <c r="H2573" i="1"/>
  <c r="H2574" i="1"/>
  <c r="H2575" i="1"/>
  <c r="H2576" i="1"/>
  <c r="H2577" i="1"/>
  <c r="H2578" i="1"/>
  <c r="H2579" i="1"/>
  <c r="H2580" i="1"/>
  <c r="H2581" i="1"/>
  <c r="H2582" i="1"/>
  <c r="H2583" i="1"/>
  <c r="H2584" i="1"/>
  <c r="H2585" i="1"/>
  <c r="H2586" i="1"/>
  <c r="H2587" i="1"/>
  <c r="H2588" i="1"/>
  <c r="H2589" i="1"/>
  <c r="H2590" i="1"/>
  <c r="H2591" i="1"/>
  <c r="H2592" i="1"/>
  <c r="H2593" i="1"/>
  <c r="H2594" i="1"/>
  <c r="H2595" i="1"/>
  <c r="H2596" i="1"/>
  <c r="H2597" i="1"/>
  <c r="H2598" i="1"/>
  <c r="H2599" i="1"/>
  <c r="H2600" i="1"/>
  <c r="H2601" i="1"/>
  <c r="H2602" i="1"/>
  <c r="H2603" i="1"/>
  <c r="H2604" i="1"/>
  <c r="H2605" i="1"/>
  <c r="H2606" i="1"/>
  <c r="H2607" i="1"/>
  <c r="H2608" i="1"/>
  <c r="H2609" i="1"/>
  <c r="H2610" i="1"/>
  <c r="H2611" i="1"/>
  <c r="H2612" i="1"/>
  <c r="H2613" i="1"/>
  <c r="H2614" i="1"/>
  <c r="H2615" i="1"/>
  <c r="H2616" i="1"/>
  <c r="H2617" i="1"/>
  <c r="H2618" i="1"/>
  <c r="H2619" i="1"/>
  <c r="H2620" i="1"/>
  <c r="H2621" i="1"/>
  <c r="H2622" i="1"/>
  <c r="H2623" i="1"/>
  <c r="H2624" i="1"/>
  <c r="H2625" i="1"/>
  <c r="H2626" i="1"/>
  <c r="H2627" i="1"/>
  <c r="H2628" i="1"/>
  <c r="H2629" i="1"/>
  <c r="H2630" i="1"/>
  <c r="H2631" i="1"/>
  <c r="H2632" i="1"/>
  <c r="H2633" i="1"/>
  <c r="H2634" i="1"/>
  <c r="H2635" i="1"/>
  <c r="H2636" i="1"/>
  <c r="H2637" i="1"/>
  <c r="H2638" i="1"/>
  <c r="H2639" i="1"/>
  <c r="H2640" i="1"/>
  <c r="H2641" i="1"/>
  <c r="H2642" i="1"/>
  <c r="H2643" i="1"/>
  <c r="H2644" i="1"/>
  <c r="H2645" i="1"/>
  <c r="H2646" i="1"/>
  <c r="H2647" i="1"/>
  <c r="H2648" i="1"/>
  <c r="H2649" i="1"/>
  <c r="H2650" i="1"/>
  <c r="H2651" i="1"/>
  <c r="H2652" i="1"/>
  <c r="H2653" i="1"/>
  <c r="H2654" i="1"/>
  <c r="H2655" i="1"/>
  <c r="H2656" i="1"/>
  <c r="H2657" i="1"/>
  <c r="H2658" i="1"/>
  <c r="H2659" i="1"/>
  <c r="H2660" i="1"/>
  <c r="H2661" i="1"/>
  <c r="H2662" i="1"/>
  <c r="H2663" i="1"/>
  <c r="H2664" i="1"/>
  <c r="H2665" i="1"/>
  <c r="H2666" i="1"/>
  <c r="H2667" i="1"/>
  <c r="H2668" i="1"/>
  <c r="H2669" i="1"/>
  <c r="H2670" i="1"/>
  <c r="H2671" i="1"/>
  <c r="H2672" i="1"/>
  <c r="H2673" i="1"/>
  <c r="H2674" i="1"/>
  <c r="H2675" i="1"/>
  <c r="H2676" i="1"/>
  <c r="H2677" i="1"/>
  <c r="H2678" i="1"/>
  <c r="H2679" i="1"/>
  <c r="H2680" i="1"/>
  <c r="H2681" i="1"/>
  <c r="H2682" i="1"/>
  <c r="H2683" i="1"/>
  <c r="H2684" i="1"/>
  <c r="H2685" i="1"/>
  <c r="H2686" i="1"/>
  <c r="H2687" i="1"/>
  <c r="H2688" i="1"/>
  <c r="H2689" i="1"/>
  <c r="H2690" i="1"/>
  <c r="H2691" i="1"/>
  <c r="H2692" i="1"/>
  <c r="H2693" i="1"/>
  <c r="H2694" i="1"/>
  <c r="H2695" i="1"/>
  <c r="H2696" i="1"/>
  <c r="H2697" i="1"/>
  <c r="H2698" i="1"/>
  <c r="H2699" i="1"/>
  <c r="H2700" i="1"/>
  <c r="H2701" i="1"/>
  <c r="H2702" i="1"/>
  <c r="H2703" i="1"/>
  <c r="H2704" i="1"/>
  <c r="H2705" i="1"/>
  <c r="H2706" i="1"/>
  <c r="H2707" i="1"/>
  <c r="H2708" i="1"/>
  <c r="H2709" i="1"/>
  <c r="H2710" i="1"/>
  <c r="H2711" i="1"/>
  <c r="H2712" i="1"/>
  <c r="H2713" i="1"/>
  <c r="H2714" i="1"/>
  <c r="H2715" i="1"/>
  <c r="H2716" i="1"/>
  <c r="H2717" i="1"/>
  <c r="H2718" i="1"/>
  <c r="H2719" i="1"/>
  <c r="H2720" i="1"/>
  <c r="H2721" i="1"/>
  <c r="H2722" i="1"/>
  <c r="H2723" i="1"/>
  <c r="H2724" i="1"/>
  <c r="H2725" i="1"/>
  <c r="H2726" i="1"/>
  <c r="H2727" i="1"/>
  <c r="H2728" i="1"/>
  <c r="H2729" i="1"/>
  <c r="H2730" i="1"/>
  <c r="H2731" i="1"/>
  <c r="H2732" i="1"/>
  <c r="H2733" i="1"/>
  <c r="H2734" i="1"/>
  <c r="H2735" i="1"/>
  <c r="H2736" i="1"/>
  <c r="H2737" i="1"/>
  <c r="H2738" i="1"/>
  <c r="H2739" i="1"/>
  <c r="H2740" i="1"/>
  <c r="H2741" i="1"/>
  <c r="H2742" i="1"/>
  <c r="H2743" i="1"/>
  <c r="H2744" i="1"/>
  <c r="H2745" i="1"/>
  <c r="H2746" i="1"/>
  <c r="H2747" i="1"/>
  <c r="H2748" i="1"/>
  <c r="H2749" i="1"/>
  <c r="H2750" i="1"/>
  <c r="H2751" i="1"/>
  <c r="H2752" i="1"/>
  <c r="H2753" i="1"/>
  <c r="H2754" i="1"/>
  <c r="H2755" i="1"/>
  <c r="H2756" i="1"/>
  <c r="H2757" i="1"/>
  <c r="H2758" i="1"/>
  <c r="H2759" i="1"/>
  <c r="H2760" i="1"/>
  <c r="H2761" i="1"/>
  <c r="H2762" i="1"/>
  <c r="H2763" i="1"/>
  <c r="H2764" i="1"/>
  <c r="H2765" i="1"/>
  <c r="H2766" i="1"/>
  <c r="H2767" i="1"/>
  <c r="H2768" i="1"/>
  <c r="H2769" i="1"/>
  <c r="H2770" i="1"/>
  <c r="H2771" i="1"/>
  <c r="H2772" i="1"/>
  <c r="H2773" i="1"/>
  <c r="H2774" i="1"/>
  <c r="H2775" i="1"/>
  <c r="H2776" i="1"/>
  <c r="H2777" i="1"/>
  <c r="H2778" i="1"/>
  <c r="H2779" i="1"/>
  <c r="H2780" i="1"/>
  <c r="H2781" i="1"/>
  <c r="H2782" i="1"/>
  <c r="H2783" i="1"/>
  <c r="H2784" i="1"/>
  <c r="H2785" i="1"/>
  <c r="H2786" i="1"/>
  <c r="H2787" i="1"/>
  <c r="H2788" i="1"/>
  <c r="H2789" i="1"/>
  <c r="H2790" i="1"/>
  <c r="H2791" i="1"/>
  <c r="H2792" i="1"/>
  <c r="H2793" i="1"/>
  <c r="H2794" i="1"/>
  <c r="H2795" i="1"/>
  <c r="H2796" i="1"/>
  <c r="H2797" i="1"/>
  <c r="H2798" i="1"/>
  <c r="H2799" i="1"/>
  <c r="H2800" i="1"/>
  <c r="H2801" i="1"/>
  <c r="H2802" i="1"/>
  <c r="H2803" i="1"/>
  <c r="H2804" i="1"/>
  <c r="H2805" i="1"/>
  <c r="H2806" i="1"/>
  <c r="H2807" i="1"/>
  <c r="H2808" i="1"/>
  <c r="H2809" i="1"/>
  <c r="H2810" i="1"/>
  <c r="H2811" i="1"/>
  <c r="H2812" i="1"/>
  <c r="H2813" i="1"/>
  <c r="H2814" i="1"/>
  <c r="H2815" i="1"/>
  <c r="H2816" i="1"/>
  <c r="H2817" i="1"/>
  <c r="H2818" i="1"/>
  <c r="H2819" i="1"/>
  <c r="H2820" i="1"/>
  <c r="H2821" i="1"/>
  <c r="H2822" i="1"/>
  <c r="H2823" i="1"/>
  <c r="H2824" i="1"/>
  <c r="H2825" i="1"/>
  <c r="H2826" i="1"/>
  <c r="H2827" i="1"/>
  <c r="H2828" i="1"/>
  <c r="H2829" i="1"/>
  <c r="H2830" i="1"/>
  <c r="H2831" i="1"/>
  <c r="H2832" i="1"/>
  <c r="H2833" i="1"/>
  <c r="H2834" i="1"/>
  <c r="H2835" i="1"/>
  <c r="H2836" i="1"/>
  <c r="H2837" i="1"/>
  <c r="H2838" i="1"/>
  <c r="H2839" i="1"/>
  <c r="H2840" i="1"/>
  <c r="H2841" i="1"/>
  <c r="H2842" i="1"/>
  <c r="H2843" i="1"/>
  <c r="H2844" i="1"/>
  <c r="H2845" i="1"/>
  <c r="H2846" i="1"/>
  <c r="H2847" i="1"/>
  <c r="H2848" i="1"/>
  <c r="H2849" i="1"/>
  <c r="H2850" i="1"/>
  <c r="H2851" i="1"/>
  <c r="H2852" i="1"/>
  <c r="H2853" i="1"/>
  <c r="H2854" i="1"/>
  <c r="H2855" i="1"/>
  <c r="H2856" i="1"/>
  <c r="H2857" i="1"/>
  <c r="H2858" i="1"/>
  <c r="H2859" i="1"/>
  <c r="H2860" i="1"/>
  <c r="H2861" i="1"/>
  <c r="H2862" i="1"/>
  <c r="H2863" i="1"/>
  <c r="H2864" i="1"/>
  <c r="H2865" i="1"/>
  <c r="H2866" i="1"/>
  <c r="H2867" i="1"/>
  <c r="H2868" i="1"/>
  <c r="H2869" i="1"/>
  <c r="H2870" i="1"/>
  <c r="H2871" i="1"/>
  <c r="H2872" i="1"/>
  <c r="H2873" i="1"/>
  <c r="H2874" i="1"/>
  <c r="H2875" i="1"/>
  <c r="H2876" i="1"/>
  <c r="H2877" i="1"/>
  <c r="H2878" i="1"/>
  <c r="H2879" i="1"/>
  <c r="H2880" i="1"/>
  <c r="H2881" i="1"/>
  <c r="H2882" i="1"/>
  <c r="H2883" i="1"/>
  <c r="H2884" i="1"/>
  <c r="H2885" i="1"/>
  <c r="H2886" i="1"/>
  <c r="H2887" i="1"/>
  <c r="H2888" i="1"/>
  <c r="H2889" i="1"/>
  <c r="H2890" i="1"/>
  <c r="H2891" i="1"/>
  <c r="H2892" i="1"/>
  <c r="H2893" i="1"/>
  <c r="H2894" i="1"/>
  <c r="H2895" i="1"/>
  <c r="H2896" i="1"/>
  <c r="H2897" i="1"/>
  <c r="H2898" i="1"/>
  <c r="H2899" i="1"/>
  <c r="H2900" i="1"/>
  <c r="H2901" i="1"/>
  <c r="H2902" i="1"/>
  <c r="H2903" i="1"/>
  <c r="H2904" i="1"/>
  <c r="H2905" i="1"/>
  <c r="H2906" i="1"/>
  <c r="H2907" i="1"/>
  <c r="H2908" i="1"/>
  <c r="H2909" i="1"/>
  <c r="H2910" i="1"/>
  <c r="H2911" i="1"/>
  <c r="H2912" i="1"/>
  <c r="H2913" i="1"/>
  <c r="H2914" i="1"/>
  <c r="H2915" i="1"/>
  <c r="H2916" i="1"/>
  <c r="H2917" i="1"/>
  <c r="H2918" i="1"/>
  <c r="H2919" i="1"/>
  <c r="H2920" i="1"/>
  <c r="H2921" i="1"/>
  <c r="H2922" i="1"/>
  <c r="H2923" i="1"/>
  <c r="H2924" i="1"/>
  <c r="H2925" i="1"/>
  <c r="H2926" i="1"/>
  <c r="H2927" i="1"/>
  <c r="H2928" i="1"/>
  <c r="H2929" i="1"/>
  <c r="H2930" i="1"/>
  <c r="H2931" i="1"/>
  <c r="H2932" i="1"/>
  <c r="H2933" i="1"/>
  <c r="H2934" i="1"/>
  <c r="H2935" i="1"/>
  <c r="H2936" i="1"/>
  <c r="H2937" i="1"/>
  <c r="H2938" i="1"/>
  <c r="H2939" i="1"/>
  <c r="H2940" i="1"/>
  <c r="H2941" i="1"/>
  <c r="H2942" i="1"/>
  <c r="H2943" i="1"/>
  <c r="H2944" i="1"/>
  <c r="H2945" i="1"/>
  <c r="H2946" i="1"/>
  <c r="H2947" i="1"/>
  <c r="H2948" i="1"/>
  <c r="H2949" i="1"/>
  <c r="H2950" i="1"/>
  <c r="H2951" i="1"/>
  <c r="H2952" i="1"/>
  <c r="H2953" i="1"/>
  <c r="H2954" i="1"/>
  <c r="H2955" i="1"/>
  <c r="H2956" i="1"/>
  <c r="H2957" i="1"/>
  <c r="H2958" i="1"/>
  <c r="H2959" i="1"/>
  <c r="H2960" i="1"/>
  <c r="H2961" i="1"/>
  <c r="H2962" i="1"/>
  <c r="H2963" i="1"/>
  <c r="H2964" i="1"/>
  <c r="H2965" i="1"/>
  <c r="H2966" i="1"/>
  <c r="H2967" i="1"/>
  <c r="H2968" i="1"/>
  <c r="H2969" i="1"/>
  <c r="H2970" i="1"/>
  <c r="H2971" i="1"/>
  <c r="H2972" i="1"/>
  <c r="H2973" i="1"/>
  <c r="H2974" i="1"/>
  <c r="H2975" i="1"/>
  <c r="H2976" i="1"/>
  <c r="H2977" i="1"/>
  <c r="H2978" i="1"/>
  <c r="H2979" i="1"/>
  <c r="H2980" i="1"/>
  <c r="H2981" i="1"/>
  <c r="H2982" i="1"/>
  <c r="H2983" i="1"/>
  <c r="H2984" i="1"/>
  <c r="H2985" i="1"/>
  <c r="H2986" i="1"/>
  <c r="H2987" i="1"/>
  <c r="H2988" i="1"/>
  <c r="H2989" i="1"/>
  <c r="H2990" i="1"/>
  <c r="H2991" i="1"/>
  <c r="H2992" i="1"/>
  <c r="H2993" i="1"/>
  <c r="H2994" i="1"/>
  <c r="H2995" i="1"/>
  <c r="H2996" i="1"/>
  <c r="H2997" i="1"/>
  <c r="H2998" i="1"/>
  <c r="H2999" i="1"/>
  <c r="H3000" i="1"/>
  <c r="H3001" i="1"/>
  <c r="H3002" i="1"/>
  <c r="H3003" i="1"/>
  <c r="H3004" i="1"/>
  <c r="H3005" i="1"/>
  <c r="H3006" i="1"/>
  <c r="H3007" i="1"/>
  <c r="H3008" i="1"/>
  <c r="H3009" i="1"/>
  <c r="H3010" i="1"/>
  <c r="H3011" i="1"/>
  <c r="H3012" i="1"/>
  <c r="H3013" i="1"/>
  <c r="H3014" i="1"/>
  <c r="H3015" i="1"/>
  <c r="H3016" i="1"/>
  <c r="H3017" i="1"/>
  <c r="H3018" i="1"/>
  <c r="H3019" i="1"/>
  <c r="H3020" i="1"/>
  <c r="H3021" i="1"/>
  <c r="H3022" i="1"/>
  <c r="H3023" i="1"/>
  <c r="H3024" i="1"/>
  <c r="H3025" i="1"/>
  <c r="H3026" i="1"/>
  <c r="H3027" i="1"/>
  <c r="H3028" i="1"/>
  <c r="H3029" i="1"/>
  <c r="H3030" i="1"/>
  <c r="H3031" i="1"/>
  <c r="H3032" i="1"/>
  <c r="H3033" i="1"/>
  <c r="H3034" i="1"/>
  <c r="H3035" i="1"/>
  <c r="H3036" i="1"/>
  <c r="H3037" i="1"/>
  <c r="H3038" i="1"/>
  <c r="H3039" i="1"/>
  <c r="H3040" i="1"/>
  <c r="H3041" i="1"/>
  <c r="H3042" i="1"/>
  <c r="H3043" i="1"/>
  <c r="H3044" i="1"/>
  <c r="H3045" i="1"/>
  <c r="H3046" i="1"/>
  <c r="H3047" i="1"/>
  <c r="H3048" i="1"/>
  <c r="H3049" i="1"/>
  <c r="H3050" i="1"/>
  <c r="H3051" i="1"/>
  <c r="H3052" i="1"/>
  <c r="H3053" i="1"/>
  <c r="H3054" i="1"/>
  <c r="H3055" i="1"/>
  <c r="H3056" i="1"/>
  <c r="H3057" i="1"/>
  <c r="H3058" i="1"/>
  <c r="H3059" i="1"/>
  <c r="H3060" i="1"/>
  <c r="H3061" i="1"/>
  <c r="H3062" i="1"/>
  <c r="H3063" i="1"/>
  <c r="H3064" i="1"/>
  <c r="H3065" i="1"/>
  <c r="H3066" i="1"/>
  <c r="H3067" i="1"/>
  <c r="H3068" i="1"/>
  <c r="H3069" i="1"/>
  <c r="H3070" i="1"/>
  <c r="H3071" i="1"/>
  <c r="H3072" i="1"/>
  <c r="H3073" i="1"/>
  <c r="H3074" i="1"/>
  <c r="H3075" i="1"/>
  <c r="H3076" i="1"/>
  <c r="H3077" i="1"/>
  <c r="H3078" i="1"/>
  <c r="H3079" i="1"/>
  <c r="H3080" i="1"/>
  <c r="H3081" i="1"/>
  <c r="H3082" i="1"/>
  <c r="H3083" i="1"/>
  <c r="H3084" i="1"/>
  <c r="H3085" i="1"/>
  <c r="H3086" i="1"/>
  <c r="H3087" i="1"/>
  <c r="H3088" i="1"/>
  <c r="H3089" i="1"/>
  <c r="H3090" i="1"/>
  <c r="H3091" i="1"/>
  <c r="H3092" i="1"/>
  <c r="H3093" i="1"/>
  <c r="H3094" i="1"/>
  <c r="H3095" i="1"/>
  <c r="H3096" i="1"/>
  <c r="H3097" i="1"/>
  <c r="H3098" i="1"/>
  <c r="H3099" i="1"/>
  <c r="H3100" i="1"/>
  <c r="H3101" i="1"/>
  <c r="H3102" i="1"/>
  <c r="H3103" i="1"/>
  <c r="H3104" i="1"/>
  <c r="H3105" i="1"/>
  <c r="H3106" i="1"/>
  <c r="H3107" i="1"/>
  <c r="H3108" i="1"/>
  <c r="H3109" i="1"/>
  <c r="H3110" i="1"/>
  <c r="H3111" i="1"/>
  <c r="H3112" i="1"/>
  <c r="H3113" i="1"/>
  <c r="H3114" i="1"/>
  <c r="H3115" i="1"/>
  <c r="H3116" i="1"/>
  <c r="H3117" i="1"/>
  <c r="H3118" i="1"/>
  <c r="H3119" i="1"/>
  <c r="H3120" i="1"/>
  <c r="H3121" i="1"/>
  <c r="H3122" i="1"/>
  <c r="H3123" i="1"/>
  <c r="H3124" i="1"/>
  <c r="H3125" i="1"/>
  <c r="H3126" i="1"/>
  <c r="H3127" i="1"/>
  <c r="H3128" i="1"/>
  <c r="H3129" i="1"/>
  <c r="H3130" i="1"/>
  <c r="H3131" i="1"/>
  <c r="H3132" i="1"/>
  <c r="H3133" i="1"/>
  <c r="H3134" i="1"/>
  <c r="H3135" i="1"/>
  <c r="H3136" i="1"/>
  <c r="H3137" i="1"/>
  <c r="H3138" i="1"/>
  <c r="H3139" i="1"/>
  <c r="H3140" i="1"/>
  <c r="H3141" i="1"/>
  <c r="H3142" i="1"/>
  <c r="H3143" i="1"/>
  <c r="H3144" i="1"/>
  <c r="H3145" i="1"/>
  <c r="H3146" i="1"/>
  <c r="H3147" i="1"/>
  <c r="H3148" i="1"/>
  <c r="H3149" i="1"/>
  <c r="H3150" i="1"/>
  <c r="H3151" i="1"/>
  <c r="H3152" i="1"/>
  <c r="H3153" i="1"/>
  <c r="H3154" i="1"/>
  <c r="H3155" i="1"/>
  <c r="H3156" i="1"/>
  <c r="H3157" i="1"/>
  <c r="H3158" i="1"/>
  <c r="H3159" i="1"/>
  <c r="H3160" i="1"/>
  <c r="H3161" i="1"/>
  <c r="H3162" i="1"/>
  <c r="H3163" i="1"/>
  <c r="H3164" i="1"/>
  <c r="H3165" i="1"/>
  <c r="H3166" i="1"/>
  <c r="H3167" i="1"/>
  <c r="H3168" i="1"/>
  <c r="H3169" i="1"/>
  <c r="H3170" i="1"/>
  <c r="H3171" i="1"/>
  <c r="H3172" i="1"/>
  <c r="H3173" i="1"/>
  <c r="H3174" i="1"/>
  <c r="H3175" i="1"/>
  <c r="H3176" i="1"/>
  <c r="H3177" i="1"/>
  <c r="H3178" i="1"/>
  <c r="H3179" i="1"/>
  <c r="H3180" i="1"/>
  <c r="H3181" i="1"/>
  <c r="H3182" i="1"/>
  <c r="H3183" i="1"/>
  <c r="H3184" i="1"/>
  <c r="H3185" i="1"/>
  <c r="H3186" i="1"/>
  <c r="H3187" i="1"/>
  <c r="H3188" i="1"/>
  <c r="H3189" i="1"/>
  <c r="H3190" i="1"/>
  <c r="H3191" i="1"/>
  <c r="H3192" i="1"/>
  <c r="H3193" i="1"/>
  <c r="H3194" i="1"/>
  <c r="H3195" i="1"/>
  <c r="H3196" i="1"/>
  <c r="H3197" i="1"/>
  <c r="H3198" i="1"/>
  <c r="H3199" i="1"/>
  <c r="H3200" i="1"/>
  <c r="H3201" i="1"/>
  <c r="H3202" i="1"/>
  <c r="H3203" i="1"/>
  <c r="H3204" i="1"/>
  <c r="H3205" i="1"/>
  <c r="H3206" i="1"/>
  <c r="H3207" i="1"/>
  <c r="H3208" i="1"/>
  <c r="H3209" i="1"/>
  <c r="H3210" i="1"/>
  <c r="H3211" i="1"/>
  <c r="H3212" i="1"/>
  <c r="H3213" i="1"/>
  <c r="H3214" i="1"/>
  <c r="H3215" i="1"/>
  <c r="H3216" i="1"/>
  <c r="H3217" i="1"/>
  <c r="H3218" i="1"/>
  <c r="H3219" i="1"/>
  <c r="H3220" i="1"/>
  <c r="H3221" i="1"/>
  <c r="H3222" i="1"/>
  <c r="H3223" i="1"/>
  <c r="H3224" i="1"/>
  <c r="H3225" i="1"/>
  <c r="H3226" i="1"/>
  <c r="H3227" i="1"/>
  <c r="H3228" i="1"/>
  <c r="H3229" i="1"/>
  <c r="H3230" i="1"/>
  <c r="H3231" i="1"/>
  <c r="H3232" i="1"/>
  <c r="H3233" i="1"/>
  <c r="H3234" i="1"/>
  <c r="H3235" i="1"/>
  <c r="H3236" i="1"/>
  <c r="H3237" i="1"/>
  <c r="H3238" i="1"/>
  <c r="H3239" i="1"/>
  <c r="H3240" i="1"/>
  <c r="H3241" i="1"/>
  <c r="H3242" i="1"/>
  <c r="H3243" i="1"/>
  <c r="H3244" i="1"/>
  <c r="H3245" i="1"/>
  <c r="H3246" i="1"/>
  <c r="H3247" i="1"/>
  <c r="H3248" i="1"/>
  <c r="H3249" i="1"/>
  <c r="H3250" i="1"/>
  <c r="H3251" i="1"/>
  <c r="H3252" i="1"/>
  <c r="H3253" i="1"/>
  <c r="H3254" i="1"/>
  <c r="H3255" i="1"/>
  <c r="H3256" i="1"/>
  <c r="H3257" i="1"/>
  <c r="H3258" i="1"/>
  <c r="H3259" i="1"/>
  <c r="H3260" i="1"/>
  <c r="H3261" i="1"/>
  <c r="H3262" i="1"/>
  <c r="H3263" i="1"/>
  <c r="H3264" i="1"/>
  <c r="H3265" i="1"/>
  <c r="H3266" i="1"/>
  <c r="H3267" i="1"/>
  <c r="H3268" i="1"/>
  <c r="H3269" i="1"/>
  <c r="H3270" i="1"/>
  <c r="H3271" i="1"/>
  <c r="H3272" i="1"/>
  <c r="H3273" i="1"/>
  <c r="H3274" i="1"/>
  <c r="H3275" i="1"/>
  <c r="H3276" i="1"/>
  <c r="H3277" i="1"/>
  <c r="H3278" i="1"/>
  <c r="H3279" i="1"/>
  <c r="H3280" i="1"/>
  <c r="H3281" i="1"/>
  <c r="H3282" i="1"/>
  <c r="H3283" i="1"/>
  <c r="H3284" i="1"/>
  <c r="H3285" i="1"/>
  <c r="H3286" i="1"/>
  <c r="H3287" i="1"/>
  <c r="H3288" i="1"/>
  <c r="H3289" i="1"/>
  <c r="H3290" i="1"/>
  <c r="H3291" i="1"/>
  <c r="H3292" i="1"/>
  <c r="H3293" i="1"/>
  <c r="H3294" i="1"/>
  <c r="H3295" i="1"/>
  <c r="H3296" i="1"/>
  <c r="H3297" i="1"/>
  <c r="H3298" i="1"/>
  <c r="H3299" i="1"/>
  <c r="H3300" i="1"/>
  <c r="H3301" i="1"/>
  <c r="H3302" i="1"/>
  <c r="H3303" i="1"/>
  <c r="H3304" i="1"/>
  <c r="H3305" i="1"/>
  <c r="H3306" i="1"/>
  <c r="H3307" i="1"/>
  <c r="H3308" i="1"/>
  <c r="H3309" i="1"/>
  <c r="H3310" i="1"/>
  <c r="H3311" i="1"/>
  <c r="H3312" i="1"/>
  <c r="H3313" i="1"/>
  <c r="H3314" i="1"/>
  <c r="H3315" i="1"/>
  <c r="H3316" i="1"/>
  <c r="H3317" i="1"/>
  <c r="H3318" i="1"/>
  <c r="H3319" i="1"/>
  <c r="H3320" i="1"/>
  <c r="H3321" i="1"/>
  <c r="H3322" i="1"/>
  <c r="H3323" i="1"/>
  <c r="H3324" i="1"/>
  <c r="H3325" i="1"/>
  <c r="H3326" i="1"/>
  <c r="H3327" i="1"/>
  <c r="H3328" i="1"/>
  <c r="H3329" i="1"/>
  <c r="H3330" i="1"/>
  <c r="H3331" i="1"/>
  <c r="H3332" i="1"/>
  <c r="H3333" i="1"/>
  <c r="H3334" i="1"/>
  <c r="H3335" i="1"/>
  <c r="H3336" i="1"/>
  <c r="H3337" i="1"/>
  <c r="H3338" i="1"/>
  <c r="H3339" i="1"/>
  <c r="H3340" i="1"/>
  <c r="H3341" i="1"/>
  <c r="H3342" i="1"/>
  <c r="H3343" i="1"/>
  <c r="H3344" i="1"/>
  <c r="H3345" i="1"/>
  <c r="H3346" i="1"/>
  <c r="H3347" i="1"/>
  <c r="H3348" i="1"/>
  <c r="H3349" i="1"/>
  <c r="H3350" i="1"/>
  <c r="H3351" i="1"/>
  <c r="H3352" i="1"/>
  <c r="H3353" i="1"/>
  <c r="H3354" i="1"/>
  <c r="H3355" i="1"/>
  <c r="H3356" i="1"/>
  <c r="H3357" i="1"/>
  <c r="H3358" i="1"/>
  <c r="H3359" i="1"/>
  <c r="H3360" i="1"/>
  <c r="H3361" i="1"/>
  <c r="H3362" i="1"/>
  <c r="H3363" i="1"/>
  <c r="H3364" i="1"/>
  <c r="H3365" i="1"/>
  <c r="H3366" i="1"/>
  <c r="H3367" i="1"/>
  <c r="H3368" i="1"/>
  <c r="H3369" i="1"/>
  <c r="H3370" i="1"/>
  <c r="H3371" i="1"/>
  <c r="H3372" i="1"/>
  <c r="H3373" i="1"/>
  <c r="H3374" i="1"/>
  <c r="H3375" i="1"/>
  <c r="H3376" i="1"/>
  <c r="H3377" i="1"/>
  <c r="H3378" i="1"/>
  <c r="H3379" i="1"/>
  <c r="H3380" i="1"/>
  <c r="H3381" i="1"/>
  <c r="H3382" i="1"/>
  <c r="H3383" i="1"/>
  <c r="H3384" i="1"/>
  <c r="H3385" i="1"/>
  <c r="H3386" i="1"/>
  <c r="H3387" i="1"/>
  <c r="H3388" i="1"/>
  <c r="H3389" i="1"/>
  <c r="H3390" i="1"/>
  <c r="H3391" i="1"/>
  <c r="H3392" i="1"/>
  <c r="H3393" i="1"/>
  <c r="H3394" i="1"/>
  <c r="H3395" i="1"/>
  <c r="H3396" i="1"/>
  <c r="H3397" i="1"/>
  <c r="H3398" i="1"/>
  <c r="H3399" i="1"/>
  <c r="H3400" i="1"/>
  <c r="H3401" i="1"/>
  <c r="H3402" i="1"/>
  <c r="H3403" i="1"/>
  <c r="H3404" i="1"/>
  <c r="H3405" i="1"/>
  <c r="H3406" i="1"/>
  <c r="H3407" i="1"/>
  <c r="H3408" i="1"/>
  <c r="H3409" i="1"/>
  <c r="H3410" i="1"/>
  <c r="H3411" i="1"/>
  <c r="H3412" i="1"/>
  <c r="H3413" i="1"/>
  <c r="H3414" i="1"/>
  <c r="H3415" i="1"/>
  <c r="H3416" i="1"/>
  <c r="H3417" i="1"/>
  <c r="H3418" i="1"/>
  <c r="H3419" i="1"/>
  <c r="H3420" i="1"/>
  <c r="H3421" i="1"/>
  <c r="H3422" i="1"/>
  <c r="H3423" i="1"/>
  <c r="H3424" i="1"/>
  <c r="H3425" i="1"/>
  <c r="H3426" i="1"/>
  <c r="H3427" i="1"/>
  <c r="H3428" i="1"/>
  <c r="H3429" i="1"/>
  <c r="H3430" i="1"/>
  <c r="H3431" i="1"/>
  <c r="H3432" i="1"/>
  <c r="H3433" i="1"/>
  <c r="H3434" i="1"/>
  <c r="H3435" i="1"/>
  <c r="H3436" i="1"/>
  <c r="H3437" i="1"/>
  <c r="H3438" i="1"/>
  <c r="H3439" i="1"/>
  <c r="H3440" i="1"/>
  <c r="H3441" i="1"/>
  <c r="H3442" i="1"/>
  <c r="H3443" i="1"/>
  <c r="H3444" i="1"/>
  <c r="H3445" i="1"/>
  <c r="H3446" i="1"/>
  <c r="H3447" i="1"/>
  <c r="H3448" i="1"/>
  <c r="H3449" i="1"/>
  <c r="H3450" i="1"/>
  <c r="H3451" i="1"/>
  <c r="H3452" i="1"/>
  <c r="H3453" i="1"/>
  <c r="H3454" i="1"/>
  <c r="H3455" i="1"/>
  <c r="H3456" i="1"/>
  <c r="H3457" i="1"/>
  <c r="H3458" i="1"/>
  <c r="H3459" i="1"/>
  <c r="H3460" i="1"/>
  <c r="H3461" i="1"/>
  <c r="H3462" i="1"/>
  <c r="H3463" i="1"/>
  <c r="H3464" i="1"/>
  <c r="H3465" i="1"/>
  <c r="H3466" i="1"/>
  <c r="H3467" i="1"/>
  <c r="H3468" i="1"/>
  <c r="H3469" i="1"/>
  <c r="H3470" i="1"/>
  <c r="H3471" i="1"/>
  <c r="H3472" i="1"/>
  <c r="H3473" i="1"/>
  <c r="H3474" i="1"/>
  <c r="H3475" i="1"/>
  <c r="H3476" i="1"/>
  <c r="H3477" i="1"/>
  <c r="H3478" i="1"/>
  <c r="H3479" i="1"/>
  <c r="H3480" i="1"/>
  <c r="H3481" i="1"/>
  <c r="H3482" i="1"/>
  <c r="H3483" i="1"/>
  <c r="H3484" i="1"/>
  <c r="H3485" i="1"/>
  <c r="H3486" i="1"/>
  <c r="H3487" i="1"/>
  <c r="H3488" i="1"/>
  <c r="H3489" i="1"/>
  <c r="H3490" i="1"/>
  <c r="H3491" i="1"/>
  <c r="H3492" i="1"/>
  <c r="H3493" i="1"/>
  <c r="H3494" i="1"/>
  <c r="H3495" i="1"/>
  <c r="H3496" i="1"/>
  <c r="H3497" i="1"/>
  <c r="H3498" i="1"/>
  <c r="H3499" i="1"/>
  <c r="H3500" i="1"/>
  <c r="H3501" i="1"/>
  <c r="H3502" i="1"/>
  <c r="H3503" i="1"/>
  <c r="H3504" i="1"/>
  <c r="H3505" i="1"/>
  <c r="H3506" i="1"/>
  <c r="H3507" i="1"/>
  <c r="H3508" i="1"/>
  <c r="H3509" i="1"/>
  <c r="H3510" i="1"/>
  <c r="H3511" i="1"/>
  <c r="H3512" i="1"/>
  <c r="H3513" i="1"/>
  <c r="H3514" i="1"/>
  <c r="H3515" i="1"/>
  <c r="H3516" i="1"/>
  <c r="H3517" i="1"/>
  <c r="H3518" i="1"/>
  <c r="H3519" i="1"/>
  <c r="H3520" i="1"/>
  <c r="H3521" i="1"/>
  <c r="H3522" i="1"/>
  <c r="H3523" i="1"/>
  <c r="H3524" i="1"/>
  <c r="H3525" i="1"/>
  <c r="H3526" i="1"/>
  <c r="H3527" i="1"/>
  <c r="H3528" i="1"/>
  <c r="H3529" i="1"/>
  <c r="H3530" i="1"/>
  <c r="H3531" i="1"/>
  <c r="H3532" i="1"/>
  <c r="H3533" i="1"/>
  <c r="H3534" i="1"/>
  <c r="H3535" i="1"/>
  <c r="H3536" i="1"/>
  <c r="H3537" i="1"/>
  <c r="H3538" i="1"/>
  <c r="H3539" i="1"/>
  <c r="H3540" i="1"/>
  <c r="H3541" i="1"/>
  <c r="H3542" i="1"/>
  <c r="H3543" i="1"/>
  <c r="H3544" i="1"/>
  <c r="H3545" i="1"/>
  <c r="H3546" i="1"/>
  <c r="H3547" i="1"/>
  <c r="H3548" i="1"/>
  <c r="H3549" i="1"/>
  <c r="H3550" i="1"/>
  <c r="H3551" i="1"/>
  <c r="H3552" i="1"/>
  <c r="H3553" i="1"/>
  <c r="H3554" i="1"/>
  <c r="H3555" i="1"/>
  <c r="H3556" i="1"/>
  <c r="H3557" i="1"/>
  <c r="H3558" i="1"/>
  <c r="H3559" i="1"/>
  <c r="H3560" i="1"/>
  <c r="H3561" i="1"/>
  <c r="H3562" i="1"/>
  <c r="H3563" i="1"/>
  <c r="H3564" i="1"/>
  <c r="H3565" i="1"/>
  <c r="H3566" i="1"/>
  <c r="H3567" i="1"/>
  <c r="H3568" i="1"/>
  <c r="H3569" i="1"/>
  <c r="H3570" i="1"/>
  <c r="H3571" i="1"/>
  <c r="H3572" i="1"/>
  <c r="H3573" i="1"/>
  <c r="H3574" i="1"/>
  <c r="H3575" i="1"/>
  <c r="H3576" i="1"/>
  <c r="H3577" i="1"/>
  <c r="H3578" i="1"/>
  <c r="H3579" i="1"/>
  <c r="H3580" i="1"/>
  <c r="H3581" i="1"/>
  <c r="H3582" i="1"/>
  <c r="H3583" i="1"/>
  <c r="H3584" i="1"/>
  <c r="H3585" i="1"/>
  <c r="H3586" i="1"/>
  <c r="H3587" i="1"/>
  <c r="H3588" i="1"/>
  <c r="H3589" i="1"/>
  <c r="H3590" i="1"/>
  <c r="H3591" i="1"/>
  <c r="H3592" i="1"/>
  <c r="H3593" i="1"/>
  <c r="H3594" i="1"/>
  <c r="H3595" i="1"/>
  <c r="H3596" i="1"/>
  <c r="H3597" i="1"/>
  <c r="H3598" i="1"/>
  <c r="H3599" i="1"/>
  <c r="H3600" i="1"/>
  <c r="H3601" i="1"/>
  <c r="H3602" i="1"/>
  <c r="H3603" i="1"/>
  <c r="H3604" i="1"/>
  <c r="H3605" i="1"/>
  <c r="H3606" i="1"/>
  <c r="H3607" i="1"/>
  <c r="H3608" i="1"/>
  <c r="H3609" i="1"/>
  <c r="H3610" i="1"/>
  <c r="H3611" i="1"/>
  <c r="H3612" i="1"/>
  <c r="H3613" i="1"/>
  <c r="H3614" i="1"/>
  <c r="H3615" i="1"/>
  <c r="H3616" i="1"/>
  <c r="H3617" i="1"/>
  <c r="H3618" i="1"/>
  <c r="H3619" i="1"/>
  <c r="H3620" i="1"/>
  <c r="H3621" i="1"/>
  <c r="H3622" i="1"/>
  <c r="H3623" i="1"/>
  <c r="H3624" i="1"/>
  <c r="H3625" i="1"/>
  <c r="H3626" i="1"/>
  <c r="H3627" i="1"/>
  <c r="H3628" i="1"/>
  <c r="H3629" i="1"/>
  <c r="H3630" i="1"/>
  <c r="H3631" i="1"/>
  <c r="H3632" i="1"/>
  <c r="H3633" i="1"/>
  <c r="H3634" i="1"/>
  <c r="H3635" i="1"/>
  <c r="H3636" i="1"/>
  <c r="H3637" i="1"/>
  <c r="H3638" i="1"/>
  <c r="H3639" i="1"/>
  <c r="H3640" i="1"/>
  <c r="H3641" i="1"/>
  <c r="H3642" i="1"/>
  <c r="H3643" i="1"/>
  <c r="H3644" i="1"/>
  <c r="H3645" i="1"/>
  <c r="H3646" i="1"/>
  <c r="H3647" i="1"/>
  <c r="H3648" i="1"/>
  <c r="H3649" i="1"/>
  <c r="H3650" i="1"/>
  <c r="H3651" i="1"/>
  <c r="H3652" i="1"/>
  <c r="H3653" i="1"/>
  <c r="H3654" i="1"/>
  <c r="H3655" i="1"/>
  <c r="H3656" i="1"/>
  <c r="H3657" i="1"/>
  <c r="H3658" i="1"/>
  <c r="H3659" i="1"/>
  <c r="H3660" i="1"/>
  <c r="H3661" i="1"/>
  <c r="H3662" i="1"/>
  <c r="H3663" i="1"/>
  <c r="H3664" i="1"/>
  <c r="H3665" i="1"/>
  <c r="H3666" i="1"/>
  <c r="H3667" i="1"/>
  <c r="H3668" i="1"/>
  <c r="H3669" i="1"/>
  <c r="H3670" i="1"/>
  <c r="H3671" i="1"/>
  <c r="H3672" i="1"/>
  <c r="H3673" i="1"/>
  <c r="H3674" i="1"/>
  <c r="H3675" i="1"/>
  <c r="H3676" i="1"/>
  <c r="H3677" i="1"/>
  <c r="H3678" i="1"/>
  <c r="H3679" i="1"/>
  <c r="H3680" i="1"/>
  <c r="H3681" i="1"/>
  <c r="H3682" i="1"/>
  <c r="H3683" i="1"/>
  <c r="H3684" i="1"/>
  <c r="H3685" i="1"/>
  <c r="H3686" i="1"/>
  <c r="H3687" i="1"/>
  <c r="H3688" i="1"/>
  <c r="H3689" i="1"/>
  <c r="H3690" i="1"/>
  <c r="H3691" i="1"/>
  <c r="H3692" i="1"/>
  <c r="H3693" i="1"/>
  <c r="H3694" i="1"/>
  <c r="H3695" i="1"/>
  <c r="H3696" i="1"/>
  <c r="H3697" i="1"/>
  <c r="H3698" i="1"/>
  <c r="H3699" i="1"/>
  <c r="H3700" i="1"/>
  <c r="H3701" i="1"/>
  <c r="H3702" i="1"/>
  <c r="H3703" i="1"/>
  <c r="H3704" i="1"/>
  <c r="H3705" i="1"/>
  <c r="H3706" i="1"/>
  <c r="H3707" i="1"/>
  <c r="H3708" i="1"/>
  <c r="H3709" i="1"/>
  <c r="H3710" i="1"/>
  <c r="H3711" i="1"/>
  <c r="H3712" i="1"/>
  <c r="H3713" i="1"/>
  <c r="H3714" i="1"/>
  <c r="H3715" i="1"/>
  <c r="H3716" i="1"/>
  <c r="H3717" i="1"/>
  <c r="H3718" i="1"/>
  <c r="H3719" i="1"/>
  <c r="H3720" i="1"/>
  <c r="H3721" i="1"/>
  <c r="H3722" i="1"/>
  <c r="H3723" i="1"/>
  <c r="H3724" i="1"/>
  <c r="H3725" i="1"/>
  <c r="H3726" i="1"/>
  <c r="H3727" i="1"/>
  <c r="H3728" i="1"/>
  <c r="H3729" i="1"/>
  <c r="H3730" i="1"/>
  <c r="H3731" i="1"/>
  <c r="H3732" i="1"/>
  <c r="H3733" i="1"/>
  <c r="H3734" i="1"/>
  <c r="H3735" i="1"/>
  <c r="H3736" i="1"/>
  <c r="H3737" i="1"/>
  <c r="H3738" i="1"/>
  <c r="H3739" i="1"/>
  <c r="H3740" i="1"/>
  <c r="H3741" i="1"/>
  <c r="H3742" i="1"/>
  <c r="H3743" i="1"/>
  <c r="H3744" i="1"/>
  <c r="H3745" i="1"/>
  <c r="H3746" i="1"/>
  <c r="H3747" i="1"/>
  <c r="H3748" i="1"/>
  <c r="H3749" i="1"/>
  <c r="H3750" i="1"/>
  <c r="H3751" i="1"/>
  <c r="H3752" i="1"/>
  <c r="H3753" i="1"/>
  <c r="H3754" i="1"/>
  <c r="H3755" i="1"/>
  <c r="H3756" i="1"/>
  <c r="H3757" i="1"/>
  <c r="H3758" i="1"/>
  <c r="H3759" i="1"/>
  <c r="H3760" i="1"/>
  <c r="H3761" i="1"/>
  <c r="H3762" i="1"/>
  <c r="H3763" i="1"/>
  <c r="H3764" i="1"/>
  <c r="H3765" i="1"/>
  <c r="H3766" i="1"/>
  <c r="H3767" i="1"/>
  <c r="H3768" i="1"/>
  <c r="H3769" i="1"/>
  <c r="H3770" i="1"/>
  <c r="H3771" i="1"/>
  <c r="H3772" i="1"/>
  <c r="H3773" i="1"/>
  <c r="H3774" i="1"/>
  <c r="H3775" i="1"/>
  <c r="H3776" i="1"/>
  <c r="H3777" i="1"/>
  <c r="H3778" i="1"/>
  <c r="H3779" i="1"/>
  <c r="H3780" i="1"/>
  <c r="H3781" i="1"/>
  <c r="H3782" i="1"/>
  <c r="H3783" i="1"/>
  <c r="H3784" i="1"/>
  <c r="H3785" i="1"/>
  <c r="H3786" i="1"/>
  <c r="H3787" i="1"/>
  <c r="H3788" i="1"/>
  <c r="H3789" i="1"/>
  <c r="H3790" i="1"/>
  <c r="H3791" i="1"/>
  <c r="H3792" i="1"/>
  <c r="H3793" i="1"/>
  <c r="H3794" i="1"/>
  <c r="H3795" i="1"/>
  <c r="H3796" i="1"/>
  <c r="H3797" i="1"/>
  <c r="H3798" i="1"/>
  <c r="H3799" i="1"/>
  <c r="H3800" i="1"/>
  <c r="H3801" i="1"/>
  <c r="H3802" i="1"/>
  <c r="H3803" i="1"/>
  <c r="H3804" i="1"/>
  <c r="H3805" i="1"/>
  <c r="H3806" i="1"/>
  <c r="H3807" i="1"/>
  <c r="H3808" i="1"/>
  <c r="H3809" i="1"/>
  <c r="H3810" i="1"/>
  <c r="H3811" i="1"/>
  <c r="H3812" i="1"/>
  <c r="H3813" i="1"/>
  <c r="H3814" i="1"/>
  <c r="H3815" i="1"/>
  <c r="H3816" i="1"/>
  <c r="H3817" i="1"/>
  <c r="H3818" i="1"/>
  <c r="H3819" i="1"/>
  <c r="H3820" i="1"/>
  <c r="H3821" i="1"/>
  <c r="H3822" i="1"/>
  <c r="H3823" i="1"/>
  <c r="H3824" i="1"/>
  <c r="H3825" i="1"/>
  <c r="H3826" i="1"/>
  <c r="H3827" i="1"/>
  <c r="H3828" i="1"/>
  <c r="H3829" i="1"/>
  <c r="H3830" i="1"/>
  <c r="H3831" i="1"/>
  <c r="H3832" i="1"/>
  <c r="H3833" i="1"/>
  <c r="H3834" i="1"/>
  <c r="H3835" i="1"/>
  <c r="H3836" i="1"/>
  <c r="H3837" i="1"/>
  <c r="H3838" i="1"/>
  <c r="H3839" i="1"/>
  <c r="H3840" i="1"/>
  <c r="H3841" i="1"/>
  <c r="H3842" i="1"/>
  <c r="H3843" i="1"/>
  <c r="H3844" i="1"/>
  <c r="H3845" i="1"/>
  <c r="H3846" i="1"/>
  <c r="H3847" i="1"/>
  <c r="H3848" i="1"/>
  <c r="H3849" i="1"/>
  <c r="H3850" i="1"/>
  <c r="H3851" i="1"/>
  <c r="H3852" i="1"/>
  <c r="H3853" i="1"/>
  <c r="H3854" i="1"/>
  <c r="H3855" i="1"/>
  <c r="H3856" i="1"/>
  <c r="H3857" i="1"/>
  <c r="H3858" i="1"/>
  <c r="H3859" i="1"/>
  <c r="H3860" i="1"/>
  <c r="H3861" i="1"/>
  <c r="H3862" i="1"/>
  <c r="H3863" i="1"/>
  <c r="H3864" i="1"/>
  <c r="H3865" i="1"/>
  <c r="H3866" i="1"/>
  <c r="H3867" i="1"/>
  <c r="H3868" i="1"/>
  <c r="H3869" i="1"/>
  <c r="H3870" i="1"/>
  <c r="H3871" i="1"/>
  <c r="H3872" i="1"/>
  <c r="H3873" i="1"/>
  <c r="H2" i="1"/>
  <c r="G3" i="1"/>
  <c r="G4" i="1"/>
  <c r="G5" i="1"/>
  <c r="G6" i="1"/>
  <c r="G7" i="1"/>
  <c r="G8" i="1"/>
  <c r="G9" i="1"/>
  <c r="G10" i="1"/>
  <c r="G11" i="1"/>
  <c r="G12" i="1"/>
  <c r="G13" i="1"/>
  <c r="G14" i="1"/>
  <c r="G15" i="1"/>
  <c r="G16" i="1"/>
  <c r="G17" i="1"/>
  <c r="G18" i="1"/>
  <c r="G19" i="1"/>
  <c r="G20" i="1"/>
  <c r="G21" i="1"/>
  <c r="G22" i="1"/>
  <c r="G23" i="1"/>
  <c r="G24" i="1"/>
  <c r="G25" i="1"/>
  <c r="G26" i="1"/>
  <c r="G27" i="1"/>
  <c r="G28" i="1"/>
  <c r="G29" i="1"/>
  <c r="G30" i="1"/>
  <c r="G31" i="1"/>
  <c r="G32" i="1"/>
  <c r="G33" i="1"/>
  <c r="G34" i="1"/>
  <c r="G35" i="1"/>
  <c r="G36" i="1"/>
  <c r="G37" i="1"/>
  <c r="G38" i="1"/>
  <c r="G39" i="1"/>
  <c r="G40" i="1"/>
  <c r="G41" i="1"/>
  <c r="G42" i="1"/>
  <c r="G43" i="1"/>
  <c r="G44" i="1"/>
  <c r="G45" i="1"/>
  <c r="G46" i="1"/>
  <c r="G47" i="1"/>
  <c r="G48" i="1"/>
  <c r="G49" i="1"/>
  <c r="G50" i="1"/>
  <c r="G51" i="1"/>
  <c r="G52" i="1"/>
  <c r="G53" i="1"/>
  <c r="G54" i="1"/>
  <c r="G55" i="1"/>
  <c r="G56" i="1"/>
  <c r="G57" i="1"/>
  <c r="G58" i="1"/>
  <c r="G59" i="1"/>
  <c r="G60" i="1"/>
  <c r="G61" i="1"/>
  <c r="G62" i="1"/>
  <c r="G63" i="1"/>
  <c r="G64" i="1"/>
  <c r="G65" i="1"/>
  <c r="G66" i="1"/>
  <c r="G67" i="1"/>
  <c r="G68" i="1"/>
  <c r="G69" i="1"/>
  <c r="G70" i="1"/>
  <c r="G71" i="1"/>
  <c r="G72" i="1"/>
  <c r="G73" i="1"/>
  <c r="G74" i="1"/>
  <c r="G75" i="1"/>
  <c r="G76" i="1"/>
  <c r="G77" i="1"/>
  <c r="G78" i="1"/>
  <c r="G79" i="1"/>
  <c r="G80" i="1"/>
  <c r="G81" i="1"/>
  <c r="G82" i="1"/>
  <c r="G83" i="1"/>
  <c r="G84" i="1"/>
  <c r="G85" i="1"/>
  <c r="G86" i="1"/>
  <c r="G87" i="1"/>
  <c r="G88" i="1"/>
  <c r="G89" i="1"/>
  <c r="G90" i="1"/>
  <c r="G91" i="1"/>
  <c r="G92" i="1"/>
  <c r="G93" i="1"/>
  <c r="G94" i="1"/>
  <c r="G95" i="1"/>
  <c r="G96" i="1"/>
  <c r="G97" i="1"/>
  <c r="G98" i="1"/>
  <c r="G99" i="1"/>
  <c r="G100" i="1"/>
  <c r="G101" i="1"/>
  <c r="G102" i="1"/>
  <c r="G103" i="1"/>
  <c r="G104" i="1"/>
  <c r="G105" i="1"/>
  <c r="G106" i="1"/>
  <c r="G107" i="1"/>
  <c r="G108" i="1"/>
  <c r="G109" i="1"/>
  <c r="G110" i="1"/>
  <c r="G111" i="1"/>
  <c r="G112" i="1"/>
  <c r="G113" i="1"/>
  <c r="G114" i="1"/>
  <c r="G115" i="1"/>
  <c r="G116" i="1"/>
  <c r="G117" i="1"/>
  <c r="G118" i="1"/>
  <c r="G119" i="1"/>
  <c r="G120" i="1"/>
  <c r="G121" i="1"/>
  <c r="G122" i="1"/>
  <c r="G123" i="1"/>
  <c r="G124" i="1"/>
  <c r="G125" i="1"/>
  <c r="G126" i="1"/>
  <c r="G127" i="1"/>
  <c r="G128" i="1"/>
  <c r="G129" i="1"/>
  <c r="G130" i="1"/>
  <c r="G131" i="1"/>
  <c r="G132" i="1"/>
  <c r="G133" i="1"/>
  <c r="G134" i="1"/>
  <c r="G135" i="1"/>
  <c r="G136" i="1"/>
  <c r="G137" i="1"/>
  <c r="G138" i="1"/>
  <c r="G139" i="1"/>
  <c r="G140" i="1"/>
  <c r="G141" i="1"/>
  <c r="G142" i="1"/>
  <c r="G143" i="1"/>
  <c r="G144" i="1"/>
  <c r="G145" i="1"/>
  <c r="G146" i="1"/>
  <c r="G147" i="1"/>
  <c r="G148" i="1"/>
  <c r="G149" i="1"/>
  <c r="G150" i="1"/>
  <c r="G151" i="1"/>
  <c r="G152" i="1"/>
  <c r="G153" i="1"/>
  <c r="G154" i="1"/>
  <c r="G155" i="1"/>
  <c r="G156" i="1"/>
  <c r="G157" i="1"/>
  <c r="G158" i="1"/>
  <c r="G159" i="1"/>
  <c r="G160" i="1"/>
  <c r="G161" i="1"/>
  <c r="G162" i="1"/>
  <c r="G163" i="1"/>
  <c r="G164" i="1"/>
  <c r="G165" i="1"/>
  <c r="G166" i="1"/>
  <c r="G167" i="1"/>
  <c r="G168" i="1"/>
  <c r="G169" i="1"/>
  <c r="G170" i="1"/>
  <c r="G171" i="1"/>
  <c r="G172" i="1"/>
  <c r="G173" i="1"/>
  <c r="G174" i="1"/>
  <c r="G175" i="1"/>
  <c r="G176" i="1"/>
  <c r="G177" i="1"/>
  <c r="G178" i="1"/>
  <c r="G179" i="1"/>
  <c r="G180" i="1"/>
  <c r="G181" i="1"/>
  <c r="G182" i="1"/>
  <c r="G183" i="1"/>
  <c r="G184" i="1"/>
  <c r="G185" i="1"/>
  <c r="G186" i="1"/>
  <c r="G187" i="1"/>
  <c r="G188" i="1"/>
  <c r="G189" i="1"/>
  <c r="G190" i="1"/>
  <c r="G191" i="1"/>
  <c r="G192" i="1"/>
  <c r="G193" i="1"/>
  <c r="G194" i="1"/>
  <c r="G195" i="1"/>
  <c r="G196" i="1"/>
  <c r="G197" i="1"/>
  <c r="G198" i="1"/>
  <c r="G199" i="1"/>
  <c r="G200" i="1"/>
  <c r="G201" i="1"/>
  <c r="G202" i="1"/>
  <c r="G203" i="1"/>
  <c r="G204" i="1"/>
  <c r="G205" i="1"/>
  <c r="G206" i="1"/>
  <c r="G207" i="1"/>
  <c r="G208" i="1"/>
  <c r="G209" i="1"/>
  <c r="G210" i="1"/>
  <c r="G211" i="1"/>
  <c r="G212" i="1"/>
  <c r="G213" i="1"/>
  <c r="G214" i="1"/>
  <c r="G215" i="1"/>
  <c r="G216" i="1"/>
  <c r="G217" i="1"/>
  <c r="G218" i="1"/>
  <c r="G219" i="1"/>
  <c r="G220" i="1"/>
  <c r="G221" i="1"/>
  <c r="G222" i="1"/>
  <c r="G223" i="1"/>
  <c r="G224" i="1"/>
  <c r="G225" i="1"/>
  <c r="G226" i="1"/>
  <c r="G227" i="1"/>
  <c r="G228" i="1"/>
  <c r="G229" i="1"/>
  <c r="G230" i="1"/>
  <c r="G231" i="1"/>
  <c r="G232" i="1"/>
  <c r="G233" i="1"/>
  <c r="G234" i="1"/>
  <c r="G235" i="1"/>
  <c r="G236" i="1"/>
  <c r="G237" i="1"/>
  <c r="G238" i="1"/>
  <c r="G239" i="1"/>
  <c r="G240" i="1"/>
  <c r="G241" i="1"/>
  <c r="G242" i="1"/>
  <c r="G243" i="1"/>
  <c r="G244" i="1"/>
  <c r="G245" i="1"/>
  <c r="G246" i="1"/>
  <c r="G247" i="1"/>
  <c r="G248" i="1"/>
  <c r="G249" i="1"/>
  <c r="G250" i="1"/>
  <c r="G251" i="1"/>
  <c r="G252" i="1"/>
  <c r="G253" i="1"/>
  <c r="G254" i="1"/>
  <c r="G255" i="1"/>
  <c r="G256" i="1"/>
  <c r="G257" i="1"/>
  <c r="G258" i="1"/>
  <c r="G259" i="1"/>
  <c r="G260" i="1"/>
  <c r="G261" i="1"/>
  <c r="G262" i="1"/>
  <c r="G263" i="1"/>
  <c r="G264" i="1"/>
  <c r="G265" i="1"/>
  <c r="G266" i="1"/>
  <c r="G267" i="1"/>
  <c r="G268" i="1"/>
  <c r="G269" i="1"/>
  <c r="G270" i="1"/>
  <c r="G271" i="1"/>
  <c r="G272" i="1"/>
  <c r="G273" i="1"/>
  <c r="G274" i="1"/>
  <c r="G275" i="1"/>
  <c r="G276" i="1"/>
  <c r="G277" i="1"/>
  <c r="G278" i="1"/>
  <c r="G279" i="1"/>
  <c r="G280" i="1"/>
  <c r="G281" i="1"/>
  <c r="G282" i="1"/>
  <c r="G283" i="1"/>
  <c r="G284" i="1"/>
  <c r="G285" i="1"/>
  <c r="G286" i="1"/>
  <c r="G287" i="1"/>
  <c r="G288" i="1"/>
  <c r="G289" i="1"/>
  <c r="G290" i="1"/>
  <c r="G291" i="1"/>
  <c r="G292" i="1"/>
  <c r="G293" i="1"/>
  <c r="G294" i="1"/>
  <c r="G295" i="1"/>
  <c r="G296" i="1"/>
  <c r="G297" i="1"/>
  <c r="G298" i="1"/>
  <c r="G299" i="1"/>
  <c r="G300" i="1"/>
  <c r="G301" i="1"/>
  <c r="G302" i="1"/>
  <c r="G303" i="1"/>
  <c r="G304" i="1"/>
  <c r="G305" i="1"/>
  <c r="G306" i="1"/>
  <c r="G307" i="1"/>
  <c r="G308" i="1"/>
  <c r="G309" i="1"/>
  <c r="G310" i="1"/>
  <c r="G311" i="1"/>
  <c r="G312" i="1"/>
  <c r="G313" i="1"/>
  <c r="G314" i="1"/>
  <c r="G315" i="1"/>
  <c r="G316" i="1"/>
  <c r="G317" i="1"/>
  <c r="G318" i="1"/>
  <c r="G319" i="1"/>
  <c r="G320" i="1"/>
  <c r="G321" i="1"/>
  <c r="G322" i="1"/>
  <c r="G323" i="1"/>
  <c r="G324" i="1"/>
  <c r="G325" i="1"/>
  <c r="G326" i="1"/>
  <c r="G327" i="1"/>
  <c r="G328" i="1"/>
  <c r="G329" i="1"/>
  <c r="G330" i="1"/>
  <c r="G331" i="1"/>
  <c r="G332" i="1"/>
  <c r="G333" i="1"/>
  <c r="G334" i="1"/>
  <c r="G335" i="1"/>
  <c r="G336" i="1"/>
  <c r="G337" i="1"/>
  <c r="G338" i="1"/>
  <c r="G339" i="1"/>
  <c r="G340" i="1"/>
  <c r="G341" i="1"/>
  <c r="G342" i="1"/>
  <c r="G343" i="1"/>
  <c r="G344" i="1"/>
  <c r="G345" i="1"/>
  <c r="G346" i="1"/>
  <c r="G347" i="1"/>
  <c r="G348" i="1"/>
  <c r="G349" i="1"/>
  <c r="G350" i="1"/>
  <c r="G351" i="1"/>
  <c r="G352" i="1"/>
  <c r="G353" i="1"/>
  <c r="G354" i="1"/>
  <c r="G355" i="1"/>
  <c r="G356" i="1"/>
  <c r="G357" i="1"/>
  <c r="G358" i="1"/>
  <c r="G359" i="1"/>
  <c r="G360" i="1"/>
  <c r="G361" i="1"/>
  <c r="G362" i="1"/>
  <c r="G363" i="1"/>
  <c r="G364" i="1"/>
  <c r="G365" i="1"/>
  <c r="G366" i="1"/>
  <c r="G367" i="1"/>
  <c r="G368" i="1"/>
  <c r="G369" i="1"/>
  <c r="G370" i="1"/>
  <c r="G371" i="1"/>
  <c r="G372" i="1"/>
  <c r="G373" i="1"/>
  <c r="G374" i="1"/>
  <c r="G375" i="1"/>
  <c r="G376" i="1"/>
  <c r="G377" i="1"/>
  <c r="G378" i="1"/>
  <c r="G379" i="1"/>
  <c r="G380" i="1"/>
  <c r="G381" i="1"/>
  <c r="G382" i="1"/>
  <c r="G383" i="1"/>
  <c r="G384" i="1"/>
  <c r="G385" i="1"/>
  <c r="G386" i="1"/>
  <c r="G387" i="1"/>
  <c r="G388" i="1"/>
  <c r="G389" i="1"/>
  <c r="G390" i="1"/>
  <c r="G391" i="1"/>
  <c r="G392" i="1"/>
  <c r="G393" i="1"/>
  <c r="G394" i="1"/>
  <c r="G395" i="1"/>
  <c r="G396" i="1"/>
  <c r="G397" i="1"/>
  <c r="G398" i="1"/>
  <c r="G399" i="1"/>
  <c r="G400" i="1"/>
  <c r="G401" i="1"/>
  <c r="G402" i="1"/>
  <c r="G403" i="1"/>
  <c r="G404" i="1"/>
  <c r="G405" i="1"/>
  <c r="G406" i="1"/>
  <c r="G407" i="1"/>
  <c r="G408" i="1"/>
  <c r="G409" i="1"/>
  <c r="G410" i="1"/>
  <c r="G411" i="1"/>
  <c r="G412" i="1"/>
  <c r="G413" i="1"/>
  <c r="G414" i="1"/>
  <c r="G415" i="1"/>
  <c r="G416" i="1"/>
  <c r="G417" i="1"/>
  <c r="G418" i="1"/>
  <c r="G419" i="1"/>
  <c r="G420" i="1"/>
  <c r="G421" i="1"/>
  <c r="G422" i="1"/>
  <c r="G423" i="1"/>
  <c r="G424" i="1"/>
  <c r="G425" i="1"/>
  <c r="G426" i="1"/>
  <c r="G427" i="1"/>
  <c r="G428" i="1"/>
  <c r="G429" i="1"/>
  <c r="G430" i="1"/>
  <c r="G431" i="1"/>
  <c r="G432" i="1"/>
  <c r="G433" i="1"/>
  <c r="G434" i="1"/>
  <c r="G435" i="1"/>
  <c r="G436" i="1"/>
  <c r="G437" i="1"/>
  <c r="G438" i="1"/>
  <c r="G439" i="1"/>
  <c r="G440" i="1"/>
  <c r="G441" i="1"/>
  <c r="G442" i="1"/>
  <c r="G443" i="1"/>
  <c r="G444" i="1"/>
  <c r="G445" i="1"/>
  <c r="G446" i="1"/>
  <c r="G447" i="1"/>
  <c r="G448" i="1"/>
  <c r="G449" i="1"/>
  <c r="G450" i="1"/>
  <c r="G451" i="1"/>
  <c r="G452" i="1"/>
  <c r="G453" i="1"/>
  <c r="G454" i="1"/>
  <c r="G455" i="1"/>
  <c r="G456" i="1"/>
  <c r="G457" i="1"/>
  <c r="G458" i="1"/>
  <c r="G459" i="1"/>
  <c r="G460" i="1"/>
  <c r="G461" i="1"/>
  <c r="G462" i="1"/>
  <c r="G463" i="1"/>
  <c r="G464" i="1"/>
  <c r="G465" i="1"/>
  <c r="G466" i="1"/>
  <c r="G467" i="1"/>
  <c r="G468" i="1"/>
  <c r="G469" i="1"/>
  <c r="G470" i="1"/>
  <c r="G471" i="1"/>
  <c r="G472" i="1"/>
  <c r="G473" i="1"/>
  <c r="G474" i="1"/>
  <c r="G475" i="1"/>
  <c r="G476" i="1"/>
  <c r="G477" i="1"/>
  <c r="G478" i="1"/>
  <c r="G479" i="1"/>
  <c r="G480" i="1"/>
  <c r="G481" i="1"/>
  <c r="G482" i="1"/>
  <c r="G483" i="1"/>
  <c r="G484" i="1"/>
  <c r="G485" i="1"/>
  <c r="G486" i="1"/>
  <c r="G487" i="1"/>
  <c r="G488" i="1"/>
  <c r="G489" i="1"/>
  <c r="G490" i="1"/>
  <c r="G491" i="1"/>
  <c r="G492" i="1"/>
  <c r="G493" i="1"/>
  <c r="G494" i="1"/>
  <c r="G495" i="1"/>
  <c r="G496" i="1"/>
  <c r="G497" i="1"/>
  <c r="G498" i="1"/>
  <c r="G499" i="1"/>
  <c r="G500" i="1"/>
  <c r="G501" i="1"/>
  <c r="G502" i="1"/>
  <c r="G503" i="1"/>
  <c r="G504" i="1"/>
  <c r="G505" i="1"/>
  <c r="G506" i="1"/>
  <c r="G507" i="1"/>
  <c r="G508" i="1"/>
  <c r="G509" i="1"/>
  <c r="G510" i="1"/>
  <c r="G511" i="1"/>
  <c r="G512" i="1"/>
  <c r="G513" i="1"/>
  <c r="G514" i="1"/>
  <c r="G515" i="1"/>
  <c r="G516" i="1"/>
  <c r="G517" i="1"/>
  <c r="G518" i="1"/>
  <c r="G519" i="1"/>
  <c r="G520" i="1"/>
  <c r="G521" i="1"/>
  <c r="G522" i="1"/>
  <c r="G523" i="1"/>
  <c r="G524" i="1"/>
  <c r="G525" i="1"/>
  <c r="G526" i="1"/>
  <c r="G527" i="1"/>
  <c r="G528" i="1"/>
  <c r="G529" i="1"/>
  <c r="G530" i="1"/>
  <c r="G531" i="1"/>
  <c r="G532" i="1"/>
  <c r="G533" i="1"/>
  <c r="G534" i="1"/>
  <c r="G535" i="1"/>
  <c r="G536" i="1"/>
  <c r="G537" i="1"/>
  <c r="G538" i="1"/>
  <c r="G539" i="1"/>
  <c r="G540" i="1"/>
  <c r="G541" i="1"/>
  <c r="G542" i="1"/>
  <c r="G543" i="1"/>
  <c r="G544" i="1"/>
  <c r="G545" i="1"/>
  <c r="G546" i="1"/>
  <c r="G547" i="1"/>
  <c r="G548" i="1"/>
  <c r="G549" i="1"/>
  <c r="G550" i="1"/>
  <c r="G551" i="1"/>
  <c r="G552" i="1"/>
  <c r="G553" i="1"/>
  <c r="G554" i="1"/>
  <c r="G555" i="1"/>
  <c r="G556" i="1"/>
  <c r="G557" i="1"/>
  <c r="G558" i="1"/>
  <c r="G559" i="1"/>
  <c r="G560" i="1"/>
  <c r="G561" i="1"/>
  <c r="G562" i="1"/>
  <c r="G563" i="1"/>
  <c r="G564" i="1"/>
  <c r="G565" i="1"/>
  <c r="G566" i="1"/>
  <c r="G567" i="1"/>
  <c r="G568" i="1"/>
  <c r="G569" i="1"/>
  <c r="G570" i="1"/>
  <c r="G571" i="1"/>
  <c r="G572" i="1"/>
  <c r="G573" i="1"/>
  <c r="G574" i="1"/>
  <c r="G575" i="1"/>
  <c r="G576" i="1"/>
  <c r="G577" i="1"/>
  <c r="G578" i="1"/>
  <c r="G579" i="1"/>
  <c r="G580" i="1"/>
  <c r="G581" i="1"/>
  <c r="G582" i="1"/>
  <c r="G583" i="1"/>
  <c r="G584" i="1"/>
  <c r="G585" i="1"/>
  <c r="G586" i="1"/>
  <c r="G587" i="1"/>
  <c r="G588" i="1"/>
  <c r="G589" i="1"/>
  <c r="G590" i="1"/>
  <c r="G591" i="1"/>
  <c r="G592" i="1"/>
  <c r="G593" i="1"/>
  <c r="G594" i="1"/>
  <c r="G595" i="1"/>
  <c r="G596" i="1"/>
  <c r="G597" i="1"/>
  <c r="G598" i="1"/>
  <c r="G599" i="1"/>
  <c r="G600" i="1"/>
  <c r="G601" i="1"/>
  <c r="G602" i="1"/>
  <c r="G603" i="1"/>
  <c r="G604" i="1"/>
  <c r="G605" i="1"/>
  <c r="G606" i="1"/>
  <c r="G607" i="1"/>
  <c r="G608" i="1"/>
  <c r="G609" i="1"/>
  <c r="G610" i="1"/>
  <c r="G611" i="1"/>
  <c r="G612" i="1"/>
  <c r="G613" i="1"/>
  <c r="G614" i="1"/>
  <c r="G615" i="1"/>
  <c r="G616" i="1"/>
  <c r="G617" i="1"/>
  <c r="G618" i="1"/>
  <c r="G619" i="1"/>
  <c r="G620" i="1"/>
  <c r="G621" i="1"/>
  <c r="G622" i="1"/>
  <c r="G623" i="1"/>
  <c r="G624" i="1"/>
  <c r="G625" i="1"/>
  <c r="G626" i="1"/>
  <c r="G627" i="1"/>
  <c r="G628" i="1"/>
  <c r="G629" i="1"/>
  <c r="G630" i="1"/>
  <c r="G631" i="1"/>
  <c r="G632" i="1"/>
  <c r="G633" i="1"/>
  <c r="G634" i="1"/>
  <c r="G635" i="1"/>
  <c r="G636" i="1"/>
  <c r="G637" i="1"/>
  <c r="G638" i="1"/>
  <c r="G639" i="1"/>
  <c r="G640" i="1"/>
  <c r="G641" i="1"/>
  <c r="G642" i="1"/>
  <c r="G643" i="1"/>
  <c r="G644" i="1"/>
  <c r="G645" i="1"/>
  <c r="G646" i="1"/>
  <c r="G647" i="1"/>
  <c r="G648" i="1"/>
  <c r="G649" i="1"/>
  <c r="G650" i="1"/>
  <c r="G651" i="1"/>
  <c r="G652" i="1"/>
  <c r="G653" i="1"/>
  <c r="G654" i="1"/>
  <c r="G655" i="1"/>
  <c r="G656" i="1"/>
  <c r="G657" i="1"/>
  <c r="G658" i="1"/>
  <c r="G659" i="1"/>
  <c r="G660" i="1"/>
  <c r="G661" i="1"/>
  <c r="G662" i="1"/>
  <c r="G663" i="1"/>
  <c r="G664" i="1"/>
  <c r="G665" i="1"/>
  <c r="G666" i="1"/>
  <c r="G667" i="1"/>
  <c r="G668" i="1"/>
  <c r="G669" i="1"/>
  <c r="G670" i="1"/>
  <c r="G671" i="1"/>
  <c r="G672" i="1"/>
  <c r="G673" i="1"/>
  <c r="G674" i="1"/>
  <c r="G675" i="1"/>
  <c r="G676" i="1"/>
  <c r="G677" i="1"/>
  <c r="G678" i="1"/>
  <c r="G679" i="1"/>
  <c r="G680" i="1"/>
  <c r="G681" i="1"/>
  <c r="G682" i="1"/>
  <c r="G683" i="1"/>
  <c r="G684" i="1"/>
  <c r="G685" i="1"/>
  <c r="G686" i="1"/>
  <c r="G687" i="1"/>
  <c r="G688" i="1"/>
  <c r="G689" i="1"/>
  <c r="G690" i="1"/>
  <c r="G691" i="1"/>
  <c r="G692" i="1"/>
  <c r="G693" i="1"/>
  <c r="G694" i="1"/>
  <c r="G695" i="1"/>
  <c r="G696" i="1"/>
  <c r="G697" i="1"/>
  <c r="G698" i="1"/>
  <c r="G699" i="1"/>
  <c r="G700" i="1"/>
  <c r="G701" i="1"/>
  <c r="G702" i="1"/>
  <c r="G703" i="1"/>
  <c r="G704" i="1"/>
  <c r="G705" i="1"/>
  <c r="G706" i="1"/>
  <c r="G707" i="1"/>
  <c r="G708" i="1"/>
  <c r="G709" i="1"/>
  <c r="G710" i="1"/>
  <c r="G711" i="1"/>
  <c r="G712" i="1"/>
  <c r="G713" i="1"/>
  <c r="G714" i="1"/>
  <c r="G715" i="1"/>
  <c r="G716" i="1"/>
  <c r="G717" i="1"/>
  <c r="G718" i="1"/>
  <c r="G719" i="1"/>
  <c r="G720" i="1"/>
  <c r="G721" i="1"/>
  <c r="G722" i="1"/>
  <c r="G723" i="1"/>
  <c r="G724" i="1"/>
  <c r="G725" i="1"/>
  <c r="G726" i="1"/>
  <c r="G727" i="1"/>
  <c r="G728" i="1"/>
  <c r="G729" i="1"/>
  <c r="G730" i="1"/>
  <c r="G731" i="1"/>
  <c r="G732" i="1"/>
  <c r="G733" i="1"/>
  <c r="G734" i="1"/>
  <c r="G735" i="1"/>
  <c r="G736" i="1"/>
  <c r="G737" i="1"/>
  <c r="G738" i="1"/>
  <c r="G739" i="1"/>
  <c r="G740" i="1"/>
  <c r="G741" i="1"/>
  <c r="G742" i="1"/>
  <c r="G743" i="1"/>
  <c r="G744" i="1"/>
  <c r="G745" i="1"/>
  <c r="G746" i="1"/>
  <c r="G747" i="1"/>
  <c r="G748" i="1"/>
  <c r="G749" i="1"/>
  <c r="G750" i="1"/>
  <c r="G751" i="1"/>
  <c r="G752" i="1"/>
  <c r="G753" i="1"/>
  <c r="G754" i="1"/>
  <c r="G755" i="1"/>
  <c r="G756" i="1"/>
  <c r="G757" i="1"/>
  <c r="G758" i="1"/>
  <c r="G759" i="1"/>
  <c r="G760" i="1"/>
  <c r="G761" i="1"/>
  <c r="G762" i="1"/>
  <c r="G763" i="1"/>
  <c r="G764" i="1"/>
  <c r="G765" i="1"/>
  <c r="G766" i="1"/>
  <c r="G767" i="1"/>
  <c r="G768" i="1"/>
  <c r="G769" i="1"/>
  <c r="G770" i="1"/>
  <c r="G771" i="1"/>
  <c r="G772" i="1"/>
  <c r="G773" i="1"/>
  <c r="G774" i="1"/>
  <c r="G775" i="1"/>
  <c r="G776" i="1"/>
  <c r="G777" i="1"/>
  <c r="G778" i="1"/>
  <c r="G779" i="1"/>
  <c r="G780" i="1"/>
  <c r="G781" i="1"/>
  <c r="G782" i="1"/>
  <c r="G783" i="1"/>
  <c r="G784" i="1"/>
  <c r="G785" i="1"/>
  <c r="G786" i="1"/>
  <c r="G787" i="1"/>
  <c r="G788" i="1"/>
  <c r="G789" i="1"/>
  <c r="G790" i="1"/>
  <c r="G791" i="1"/>
  <c r="G792" i="1"/>
  <c r="G793" i="1"/>
  <c r="G794" i="1"/>
  <c r="G795" i="1"/>
  <c r="G796" i="1"/>
  <c r="G797" i="1"/>
  <c r="G798" i="1"/>
  <c r="G799" i="1"/>
  <c r="G800" i="1"/>
  <c r="G801" i="1"/>
  <c r="G802" i="1"/>
  <c r="G803" i="1"/>
  <c r="G804" i="1"/>
  <c r="G805" i="1"/>
  <c r="G806" i="1"/>
  <c r="G807" i="1"/>
  <c r="G808" i="1"/>
  <c r="G809" i="1"/>
  <c r="G810" i="1"/>
  <c r="G811" i="1"/>
  <c r="G812" i="1"/>
  <c r="G813" i="1"/>
  <c r="G814" i="1"/>
  <c r="G815" i="1"/>
  <c r="G816" i="1"/>
  <c r="G817" i="1"/>
  <c r="G818" i="1"/>
  <c r="G819" i="1"/>
  <c r="G820" i="1"/>
  <c r="G821" i="1"/>
  <c r="G822" i="1"/>
  <c r="G823" i="1"/>
  <c r="G824" i="1"/>
  <c r="G825" i="1"/>
  <c r="G826" i="1"/>
  <c r="G827" i="1"/>
  <c r="G828" i="1"/>
  <c r="G829" i="1"/>
  <c r="G830" i="1"/>
  <c r="G831" i="1"/>
  <c r="G832" i="1"/>
  <c r="G833" i="1"/>
  <c r="G834" i="1"/>
  <c r="G835" i="1"/>
  <c r="G836" i="1"/>
  <c r="G837" i="1"/>
  <c r="G838" i="1"/>
  <c r="G839" i="1"/>
  <c r="G840" i="1"/>
  <c r="G841" i="1"/>
  <c r="G842" i="1"/>
  <c r="G843" i="1"/>
  <c r="G844" i="1"/>
  <c r="G845" i="1"/>
  <c r="G846" i="1"/>
  <c r="G847" i="1"/>
  <c r="G848" i="1"/>
  <c r="G849" i="1"/>
  <c r="G850" i="1"/>
  <c r="G851" i="1"/>
  <c r="G852" i="1"/>
  <c r="G853" i="1"/>
  <c r="G854" i="1"/>
  <c r="G855" i="1"/>
  <c r="G856" i="1"/>
  <c r="G857" i="1"/>
  <c r="G858" i="1"/>
  <c r="G859" i="1"/>
  <c r="G860" i="1"/>
  <c r="G861" i="1"/>
  <c r="G862" i="1"/>
  <c r="G863" i="1"/>
  <c r="G864" i="1"/>
  <c r="G865" i="1"/>
  <c r="G866" i="1"/>
  <c r="G867" i="1"/>
  <c r="G868" i="1"/>
  <c r="G869" i="1"/>
  <c r="G870" i="1"/>
  <c r="G871" i="1"/>
  <c r="G872" i="1"/>
  <c r="G873" i="1"/>
  <c r="G874" i="1"/>
  <c r="G875" i="1"/>
  <c r="G876" i="1"/>
  <c r="G877" i="1"/>
  <c r="G878" i="1"/>
  <c r="G879" i="1"/>
  <c r="G880" i="1"/>
  <c r="G881" i="1"/>
  <c r="G882" i="1"/>
  <c r="G883" i="1"/>
  <c r="G884" i="1"/>
  <c r="G885" i="1"/>
  <c r="G886" i="1"/>
  <c r="G887" i="1"/>
  <c r="G888" i="1"/>
  <c r="G889" i="1"/>
  <c r="G890" i="1"/>
  <c r="G891" i="1"/>
  <c r="G892" i="1"/>
  <c r="G893" i="1"/>
  <c r="G894" i="1"/>
  <c r="G895" i="1"/>
  <c r="G896" i="1"/>
  <c r="G897" i="1"/>
  <c r="G898" i="1"/>
  <c r="G899" i="1"/>
  <c r="G900" i="1"/>
  <c r="G901" i="1"/>
  <c r="G902" i="1"/>
  <c r="G903" i="1"/>
  <c r="G904" i="1"/>
  <c r="G905" i="1"/>
  <c r="G906" i="1"/>
  <c r="G907" i="1"/>
  <c r="G908" i="1"/>
  <c r="G909" i="1"/>
  <c r="G910" i="1"/>
  <c r="G911" i="1"/>
  <c r="G912" i="1"/>
  <c r="G913" i="1"/>
  <c r="G914" i="1"/>
  <c r="G915" i="1"/>
  <c r="G916" i="1"/>
  <c r="G917" i="1"/>
  <c r="G918" i="1"/>
  <c r="G919" i="1"/>
  <c r="G920" i="1"/>
  <c r="G921" i="1"/>
  <c r="G922" i="1"/>
  <c r="G923" i="1"/>
  <c r="G924" i="1"/>
  <c r="G925" i="1"/>
  <c r="G926" i="1"/>
  <c r="G927" i="1"/>
  <c r="G928" i="1"/>
  <c r="G929" i="1"/>
  <c r="G930" i="1"/>
  <c r="G931" i="1"/>
  <c r="G932" i="1"/>
  <c r="G933" i="1"/>
  <c r="G934" i="1"/>
  <c r="G935" i="1"/>
  <c r="G936" i="1"/>
  <c r="G937" i="1"/>
  <c r="G938" i="1"/>
  <c r="G939" i="1"/>
  <c r="G940" i="1"/>
  <c r="G941" i="1"/>
  <c r="G942" i="1"/>
  <c r="G943" i="1"/>
  <c r="G944" i="1"/>
  <c r="G945" i="1"/>
  <c r="G946" i="1"/>
  <c r="G947" i="1"/>
  <c r="G948" i="1"/>
  <c r="G949" i="1"/>
  <c r="G950" i="1"/>
  <c r="G951" i="1"/>
  <c r="G952" i="1"/>
  <c r="G953" i="1"/>
  <c r="G954" i="1"/>
  <c r="G955" i="1"/>
  <c r="G956" i="1"/>
  <c r="G957" i="1"/>
  <c r="G958" i="1"/>
  <c r="G959" i="1"/>
  <c r="G960" i="1"/>
  <c r="G961" i="1"/>
  <c r="G962" i="1"/>
  <c r="G963" i="1"/>
  <c r="G964" i="1"/>
  <c r="G965" i="1"/>
  <c r="G966" i="1"/>
  <c r="G967" i="1"/>
  <c r="G968" i="1"/>
  <c r="G969" i="1"/>
  <c r="G970" i="1"/>
  <c r="G971" i="1"/>
  <c r="G972" i="1"/>
  <c r="G973" i="1"/>
  <c r="G974" i="1"/>
  <c r="G975" i="1"/>
  <c r="G976" i="1"/>
  <c r="G977" i="1"/>
  <c r="G978" i="1"/>
  <c r="G979" i="1"/>
  <c r="G980" i="1"/>
  <c r="G981" i="1"/>
  <c r="G982" i="1"/>
  <c r="G983" i="1"/>
  <c r="G984" i="1"/>
  <c r="G985" i="1"/>
  <c r="G986" i="1"/>
  <c r="G987" i="1"/>
  <c r="G988" i="1"/>
  <c r="G989" i="1"/>
  <c r="G990" i="1"/>
  <c r="G991" i="1"/>
  <c r="G992" i="1"/>
  <c r="G993" i="1"/>
  <c r="G994" i="1"/>
  <c r="G995" i="1"/>
  <c r="G996" i="1"/>
  <c r="G997" i="1"/>
  <c r="G998" i="1"/>
  <c r="G999" i="1"/>
  <c r="G1000" i="1"/>
  <c r="G1001" i="1"/>
  <c r="G1002" i="1"/>
  <c r="G1003" i="1"/>
  <c r="G1004" i="1"/>
  <c r="G1005" i="1"/>
  <c r="G1006" i="1"/>
  <c r="G1007" i="1"/>
  <c r="G1008" i="1"/>
  <c r="G1009" i="1"/>
  <c r="G1010" i="1"/>
  <c r="G1011" i="1"/>
  <c r="G1012" i="1"/>
  <c r="G1013" i="1"/>
  <c r="G1014" i="1"/>
  <c r="G1015" i="1"/>
  <c r="G1016" i="1"/>
  <c r="G1017" i="1"/>
  <c r="G1018" i="1"/>
  <c r="G1019" i="1"/>
  <c r="G1020" i="1"/>
  <c r="G1021" i="1"/>
  <c r="G1022" i="1"/>
  <c r="G1023" i="1"/>
  <c r="G1024" i="1"/>
  <c r="G1025" i="1"/>
  <c r="G1026" i="1"/>
  <c r="G1027" i="1"/>
  <c r="G1028" i="1"/>
  <c r="G1029" i="1"/>
  <c r="G1030" i="1"/>
  <c r="G1031" i="1"/>
  <c r="G1032" i="1"/>
  <c r="G1033" i="1"/>
  <c r="G1034" i="1"/>
  <c r="G1035" i="1"/>
  <c r="G1036" i="1"/>
  <c r="G1037" i="1"/>
  <c r="G1038" i="1"/>
  <c r="G1039" i="1"/>
  <c r="G1040" i="1"/>
  <c r="G1041" i="1"/>
  <c r="G1042" i="1"/>
  <c r="G1043" i="1"/>
  <c r="G1044" i="1"/>
  <c r="G1045" i="1"/>
  <c r="G1046" i="1"/>
  <c r="G1047" i="1"/>
  <c r="G1048" i="1"/>
  <c r="G1049" i="1"/>
  <c r="G1050" i="1"/>
  <c r="G1051" i="1"/>
  <c r="G1052" i="1"/>
  <c r="G1053" i="1"/>
  <c r="G1054" i="1"/>
  <c r="G1055" i="1"/>
  <c r="G1056" i="1"/>
  <c r="G1057" i="1"/>
  <c r="G1058" i="1"/>
  <c r="G1059" i="1"/>
  <c r="G1060" i="1"/>
  <c r="G1061" i="1"/>
  <c r="G1062" i="1"/>
  <c r="G1063" i="1"/>
  <c r="G1064" i="1"/>
  <c r="G1065" i="1"/>
  <c r="G1066" i="1"/>
  <c r="G1067" i="1"/>
  <c r="G1068" i="1"/>
  <c r="G1069" i="1"/>
  <c r="G1070" i="1"/>
  <c r="G1071" i="1"/>
  <c r="G1072" i="1"/>
  <c r="G1073" i="1"/>
  <c r="G1074" i="1"/>
  <c r="G1075" i="1"/>
  <c r="G1076" i="1"/>
  <c r="G1077" i="1"/>
  <c r="G1078" i="1"/>
  <c r="G1079" i="1"/>
  <c r="G1080" i="1"/>
  <c r="G1081" i="1"/>
  <c r="G1082" i="1"/>
  <c r="G1083" i="1"/>
  <c r="G1084" i="1"/>
  <c r="G1085" i="1"/>
  <c r="G1086" i="1"/>
  <c r="G1087" i="1"/>
  <c r="G1088" i="1"/>
  <c r="G1089" i="1"/>
  <c r="G1090" i="1"/>
  <c r="G1091" i="1"/>
  <c r="G1092" i="1"/>
  <c r="G1093" i="1"/>
  <c r="G1094" i="1"/>
  <c r="G1095" i="1"/>
  <c r="G1096" i="1"/>
  <c r="G1097" i="1"/>
  <c r="G1098" i="1"/>
  <c r="G1099" i="1"/>
  <c r="G1100" i="1"/>
  <c r="G1101" i="1"/>
  <c r="G1102" i="1"/>
  <c r="G1103" i="1"/>
  <c r="G1104" i="1"/>
  <c r="G1105" i="1"/>
  <c r="G1106" i="1"/>
  <c r="G1107" i="1"/>
  <c r="G1108" i="1"/>
  <c r="G1109" i="1"/>
  <c r="G1110" i="1"/>
  <c r="G1111" i="1"/>
  <c r="G1112" i="1"/>
  <c r="G1113" i="1"/>
  <c r="G1114" i="1"/>
  <c r="G1115" i="1"/>
  <c r="G1116" i="1"/>
  <c r="G1117" i="1"/>
  <c r="G1118" i="1"/>
  <c r="G1119" i="1"/>
  <c r="G1120" i="1"/>
  <c r="G1121" i="1"/>
  <c r="G1122" i="1"/>
  <c r="G1123" i="1"/>
  <c r="G1124" i="1"/>
  <c r="G1125" i="1"/>
  <c r="G1126" i="1"/>
  <c r="G1127" i="1"/>
  <c r="G1128" i="1"/>
  <c r="G1129" i="1"/>
  <c r="G1130" i="1"/>
  <c r="G1131" i="1"/>
  <c r="G1132" i="1"/>
  <c r="G1133" i="1"/>
  <c r="G1134" i="1"/>
  <c r="G1135" i="1"/>
  <c r="G1136" i="1"/>
  <c r="G1137" i="1"/>
  <c r="G1138" i="1"/>
  <c r="G1139" i="1"/>
  <c r="G1140" i="1"/>
  <c r="G1141" i="1"/>
  <c r="G1142" i="1"/>
  <c r="G1143" i="1"/>
  <c r="G1144" i="1"/>
  <c r="G1145" i="1"/>
  <c r="G1146" i="1"/>
  <c r="G1147" i="1"/>
  <c r="G1148" i="1"/>
  <c r="G1149" i="1"/>
  <c r="G1150" i="1"/>
  <c r="G1151" i="1"/>
  <c r="G1152" i="1"/>
  <c r="G1153" i="1"/>
  <c r="G1154" i="1"/>
  <c r="G1155" i="1"/>
  <c r="G1156" i="1"/>
  <c r="G1157" i="1"/>
  <c r="G1158" i="1"/>
  <c r="G1159" i="1"/>
  <c r="G1160" i="1"/>
  <c r="G1161" i="1"/>
  <c r="G1162" i="1"/>
  <c r="G1163" i="1"/>
  <c r="G1164" i="1"/>
  <c r="G1165" i="1"/>
  <c r="G1166" i="1"/>
  <c r="G1167" i="1"/>
  <c r="G1168" i="1"/>
  <c r="G1169" i="1"/>
  <c r="G1170" i="1"/>
  <c r="G1171" i="1"/>
  <c r="G1172" i="1"/>
  <c r="G1173" i="1"/>
  <c r="G1174" i="1"/>
  <c r="G1175" i="1"/>
  <c r="G1176" i="1"/>
  <c r="G1177" i="1"/>
  <c r="G1178" i="1"/>
  <c r="G1179" i="1"/>
  <c r="G1180" i="1"/>
  <c r="G1181" i="1"/>
  <c r="G1182" i="1"/>
  <c r="G1183" i="1"/>
  <c r="G1184" i="1"/>
  <c r="G1185" i="1"/>
  <c r="G1186" i="1"/>
  <c r="G1187" i="1"/>
  <c r="G1188" i="1"/>
  <c r="G1189" i="1"/>
  <c r="G1190" i="1"/>
  <c r="G1191" i="1"/>
  <c r="G1192" i="1"/>
  <c r="G1193" i="1"/>
  <c r="G1194" i="1"/>
  <c r="G1195" i="1"/>
  <c r="G1196" i="1"/>
  <c r="G1197" i="1"/>
  <c r="G1198" i="1"/>
  <c r="G1199" i="1"/>
  <c r="G1200" i="1"/>
  <c r="G1201" i="1"/>
  <c r="G1202" i="1"/>
  <c r="G1203" i="1"/>
  <c r="G1204" i="1"/>
  <c r="G1205" i="1"/>
  <c r="G1206" i="1"/>
  <c r="G1207" i="1"/>
  <c r="G1208" i="1"/>
  <c r="G1209" i="1"/>
  <c r="G1210" i="1"/>
  <c r="G1211" i="1"/>
  <c r="G1212" i="1"/>
  <c r="G1213" i="1"/>
  <c r="G1214" i="1"/>
  <c r="G1215" i="1"/>
  <c r="G1216" i="1"/>
  <c r="G1217" i="1"/>
  <c r="G1218" i="1"/>
  <c r="G1219" i="1"/>
  <c r="G1220" i="1"/>
  <c r="G1221" i="1"/>
  <c r="G1222" i="1"/>
  <c r="G1223" i="1"/>
  <c r="G1224" i="1"/>
  <c r="G1225" i="1"/>
  <c r="G1226" i="1"/>
  <c r="G1227" i="1"/>
  <c r="G1228" i="1"/>
  <c r="G1229" i="1"/>
  <c r="G1230" i="1"/>
  <c r="G1231" i="1"/>
  <c r="G1232" i="1"/>
  <c r="G1233" i="1"/>
  <c r="G1234" i="1"/>
  <c r="G1235" i="1"/>
  <c r="G1236" i="1"/>
  <c r="G1237" i="1"/>
  <c r="G1238" i="1"/>
  <c r="G1239" i="1"/>
  <c r="G1240" i="1"/>
  <c r="G1241" i="1"/>
  <c r="G1242" i="1"/>
  <c r="G1243" i="1"/>
  <c r="G1244" i="1"/>
  <c r="G1245" i="1"/>
  <c r="G1246" i="1"/>
  <c r="G1247" i="1"/>
  <c r="G1248" i="1"/>
  <c r="G1249" i="1"/>
  <c r="G1250" i="1"/>
  <c r="G1251" i="1"/>
  <c r="G1252" i="1"/>
  <c r="G1253" i="1"/>
  <c r="G1254" i="1"/>
  <c r="G1255" i="1"/>
  <c r="G1256" i="1"/>
  <c r="G1257" i="1"/>
  <c r="G1258" i="1"/>
  <c r="G1259" i="1"/>
  <c r="G1260" i="1"/>
  <c r="G1261" i="1"/>
  <c r="G1262" i="1"/>
  <c r="G1263" i="1"/>
  <c r="G1264" i="1"/>
  <c r="G1265" i="1"/>
  <c r="G1266" i="1"/>
  <c r="G1267" i="1"/>
  <c r="G1268" i="1"/>
  <c r="G1269" i="1"/>
  <c r="G1270" i="1"/>
  <c r="G1271" i="1"/>
  <c r="G1272" i="1"/>
  <c r="G1273" i="1"/>
  <c r="G1274" i="1"/>
  <c r="G1275" i="1"/>
  <c r="G1276" i="1"/>
  <c r="G1277" i="1"/>
  <c r="G1278" i="1"/>
  <c r="G1279" i="1"/>
  <c r="G1280" i="1"/>
  <c r="G1281" i="1"/>
  <c r="G1282" i="1"/>
  <c r="G1283" i="1"/>
  <c r="G1284" i="1"/>
  <c r="G1285" i="1"/>
  <c r="G1286" i="1"/>
  <c r="G1287" i="1"/>
  <c r="G1288" i="1"/>
  <c r="G1289" i="1"/>
  <c r="G1290" i="1"/>
  <c r="G1291" i="1"/>
  <c r="G1292" i="1"/>
  <c r="G1293" i="1"/>
  <c r="G1294" i="1"/>
  <c r="G1295" i="1"/>
  <c r="G1296" i="1"/>
  <c r="G1297" i="1"/>
  <c r="G1298" i="1"/>
  <c r="G1299" i="1"/>
  <c r="G1300" i="1"/>
  <c r="G1301" i="1"/>
  <c r="G1302" i="1"/>
  <c r="G1303" i="1"/>
  <c r="G1304" i="1"/>
  <c r="G1305" i="1"/>
  <c r="G1306" i="1"/>
  <c r="G1307" i="1"/>
  <c r="G1308" i="1"/>
  <c r="G1309" i="1"/>
  <c r="G1310" i="1"/>
  <c r="G1311" i="1"/>
  <c r="G1312" i="1"/>
  <c r="G1313" i="1"/>
  <c r="G1314" i="1"/>
  <c r="G1315" i="1"/>
  <c r="G1316" i="1"/>
  <c r="G1317" i="1"/>
  <c r="G1318" i="1"/>
  <c r="G1319" i="1"/>
  <c r="G1320" i="1"/>
  <c r="G1321" i="1"/>
  <c r="G1322" i="1"/>
  <c r="G1323" i="1"/>
  <c r="G1324" i="1"/>
  <c r="G1325" i="1"/>
  <c r="G1326" i="1"/>
  <c r="G1327" i="1"/>
  <c r="G1328" i="1"/>
  <c r="G1329" i="1"/>
  <c r="G1330" i="1"/>
  <c r="G1331" i="1"/>
  <c r="G1332" i="1"/>
  <c r="G1333" i="1"/>
  <c r="G1334" i="1"/>
  <c r="G1335" i="1"/>
  <c r="G1336" i="1"/>
  <c r="G1337" i="1"/>
  <c r="G1338" i="1"/>
  <c r="G1339" i="1"/>
  <c r="G1340" i="1"/>
  <c r="G1341" i="1"/>
  <c r="G1342" i="1"/>
  <c r="G1343" i="1"/>
  <c r="G1344" i="1"/>
  <c r="G1345" i="1"/>
  <c r="G1346" i="1"/>
  <c r="G1347" i="1"/>
  <c r="G1348" i="1"/>
  <c r="G1349" i="1"/>
  <c r="G1350" i="1"/>
  <c r="G1351" i="1"/>
  <c r="G1352" i="1"/>
  <c r="G1353" i="1"/>
  <c r="G1354" i="1"/>
  <c r="G1355" i="1"/>
  <c r="G1356" i="1"/>
  <c r="G1357" i="1"/>
  <c r="G1358" i="1"/>
  <c r="G1359" i="1"/>
  <c r="G1360" i="1"/>
  <c r="G1361" i="1"/>
  <c r="G1362" i="1"/>
  <c r="G1363" i="1"/>
  <c r="G1364" i="1"/>
  <c r="G1365" i="1"/>
  <c r="G1366" i="1"/>
  <c r="G1367" i="1"/>
  <c r="G1368" i="1"/>
  <c r="G1369" i="1"/>
  <c r="G1370" i="1"/>
  <c r="G1371" i="1"/>
  <c r="G1372" i="1"/>
  <c r="G1373" i="1"/>
  <c r="G1374" i="1"/>
  <c r="G1375" i="1"/>
  <c r="G1376" i="1"/>
  <c r="G1377" i="1"/>
  <c r="G1378" i="1"/>
  <c r="G1379" i="1"/>
  <c r="G1380" i="1"/>
  <c r="G1381" i="1"/>
  <c r="G1382" i="1"/>
  <c r="G1383" i="1"/>
  <c r="G1384" i="1"/>
  <c r="G1385" i="1"/>
  <c r="G1386" i="1"/>
  <c r="G1387" i="1"/>
  <c r="G1388" i="1"/>
  <c r="G1389" i="1"/>
  <c r="G1390" i="1"/>
  <c r="G1391" i="1"/>
  <c r="G1392" i="1"/>
  <c r="G1393" i="1"/>
  <c r="G1394" i="1"/>
  <c r="G1395" i="1"/>
  <c r="G1396" i="1"/>
  <c r="G1397" i="1"/>
  <c r="G1398" i="1"/>
  <c r="G1399" i="1"/>
  <c r="G1400" i="1"/>
  <c r="G1401" i="1"/>
  <c r="G1402" i="1"/>
  <c r="G1403" i="1"/>
  <c r="G1404" i="1"/>
  <c r="G1405" i="1"/>
  <c r="G1406" i="1"/>
  <c r="G1407" i="1"/>
  <c r="G1408" i="1"/>
  <c r="G1409" i="1"/>
  <c r="G1410" i="1"/>
  <c r="G1411" i="1"/>
  <c r="G1412" i="1"/>
  <c r="G1413" i="1"/>
  <c r="G1414" i="1"/>
  <c r="G1415" i="1"/>
  <c r="G1416" i="1"/>
  <c r="G1417" i="1"/>
  <c r="G1418" i="1"/>
  <c r="G1419" i="1"/>
  <c r="G1420" i="1"/>
  <c r="G1421" i="1"/>
  <c r="G1422" i="1"/>
  <c r="G1423" i="1"/>
  <c r="G1424" i="1"/>
  <c r="G1425" i="1"/>
  <c r="G1426" i="1"/>
  <c r="G1427" i="1"/>
  <c r="G1428" i="1"/>
  <c r="G1429" i="1"/>
  <c r="G1430" i="1"/>
  <c r="G1431" i="1"/>
  <c r="G1432" i="1"/>
  <c r="G1433" i="1"/>
  <c r="G1434" i="1"/>
  <c r="G1435" i="1"/>
  <c r="G1436" i="1"/>
  <c r="G1437" i="1"/>
  <c r="G1438" i="1"/>
  <c r="G1439" i="1"/>
  <c r="G1440" i="1"/>
  <c r="G1441" i="1"/>
  <c r="G1442" i="1"/>
  <c r="G1443" i="1"/>
  <c r="G1444" i="1"/>
  <c r="G1445" i="1"/>
  <c r="G1446" i="1"/>
  <c r="G1447" i="1"/>
  <c r="G1448" i="1"/>
  <c r="G1449" i="1"/>
  <c r="G1450" i="1"/>
  <c r="G1451" i="1"/>
  <c r="G1452" i="1"/>
  <c r="G1453" i="1"/>
  <c r="G1454" i="1"/>
  <c r="G1455" i="1"/>
  <c r="G1456" i="1"/>
  <c r="G1457" i="1"/>
  <c r="G1458" i="1"/>
  <c r="G1459" i="1"/>
  <c r="G1460" i="1"/>
  <c r="G1461" i="1"/>
  <c r="G1462" i="1"/>
  <c r="G1463" i="1"/>
  <c r="G1464" i="1"/>
  <c r="G1465" i="1"/>
  <c r="G1466" i="1"/>
  <c r="G1467" i="1"/>
  <c r="G1468" i="1"/>
  <c r="G1469" i="1"/>
  <c r="G1470" i="1"/>
  <c r="G1471" i="1"/>
  <c r="G1472" i="1"/>
  <c r="G1473" i="1"/>
  <c r="G1474" i="1"/>
  <c r="G1475" i="1"/>
  <c r="G1476" i="1"/>
  <c r="G1477" i="1"/>
  <c r="G1478" i="1"/>
  <c r="G1479" i="1"/>
  <c r="G1480" i="1"/>
  <c r="G1481" i="1"/>
  <c r="G1482" i="1"/>
  <c r="G1483" i="1"/>
  <c r="G1484" i="1"/>
  <c r="G1485" i="1"/>
  <c r="G1486" i="1"/>
  <c r="G1487" i="1"/>
  <c r="G1488" i="1"/>
  <c r="G1489" i="1"/>
  <c r="G1490" i="1"/>
  <c r="G1491" i="1"/>
  <c r="G1492" i="1"/>
  <c r="G1493" i="1"/>
  <c r="G1494" i="1"/>
  <c r="G1495" i="1"/>
  <c r="G1496" i="1"/>
  <c r="G1497" i="1"/>
  <c r="G1498" i="1"/>
  <c r="G1499" i="1"/>
  <c r="G1500" i="1"/>
  <c r="G1501" i="1"/>
  <c r="G1502" i="1"/>
  <c r="G1503" i="1"/>
  <c r="G1504" i="1"/>
  <c r="G1505" i="1"/>
  <c r="G1506" i="1"/>
  <c r="G1507" i="1"/>
  <c r="G1508" i="1"/>
  <c r="G1509" i="1"/>
  <c r="G1510" i="1"/>
  <c r="G1511" i="1"/>
  <c r="G1512" i="1"/>
  <c r="G1513" i="1"/>
  <c r="G1514" i="1"/>
  <c r="G1515" i="1"/>
  <c r="G1516" i="1"/>
  <c r="G1517" i="1"/>
  <c r="G1518" i="1"/>
  <c r="G1519" i="1"/>
  <c r="G1520" i="1"/>
  <c r="G1521" i="1"/>
  <c r="G1522" i="1"/>
  <c r="G1523" i="1"/>
  <c r="G1524" i="1"/>
  <c r="G1525" i="1"/>
  <c r="G1526" i="1"/>
  <c r="G1527" i="1"/>
  <c r="G1528" i="1"/>
  <c r="G1529" i="1"/>
  <c r="G1530" i="1"/>
  <c r="G1531" i="1"/>
  <c r="G1532" i="1"/>
  <c r="G1533" i="1"/>
  <c r="G1534" i="1"/>
  <c r="G1535" i="1"/>
  <c r="G1536" i="1"/>
  <c r="G1537" i="1"/>
  <c r="G1538" i="1"/>
  <c r="G1539" i="1"/>
  <c r="G1540" i="1"/>
  <c r="G1541" i="1"/>
  <c r="G1542" i="1"/>
  <c r="G1543" i="1"/>
  <c r="G1544" i="1"/>
  <c r="G1545" i="1"/>
  <c r="G1546" i="1"/>
  <c r="G1547" i="1"/>
  <c r="G1548" i="1"/>
  <c r="G1549" i="1"/>
  <c r="G1550" i="1"/>
  <c r="G1551" i="1"/>
  <c r="G1552" i="1"/>
  <c r="G1553" i="1"/>
  <c r="G1554" i="1"/>
  <c r="G1555" i="1"/>
  <c r="G1556" i="1"/>
  <c r="G1557" i="1"/>
  <c r="G1558" i="1"/>
  <c r="G1559" i="1"/>
  <c r="G1560" i="1"/>
  <c r="G1561" i="1"/>
  <c r="G1562" i="1"/>
  <c r="G1563" i="1"/>
  <c r="G1564" i="1"/>
  <c r="G1565" i="1"/>
  <c r="G1566" i="1"/>
  <c r="G1567" i="1"/>
  <c r="G1568" i="1"/>
  <c r="G1569" i="1"/>
  <c r="G1570" i="1"/>
  <c r="G1571" i="1"/>
  <c r="G1572" i="1"/>
  <c r="G1573" i="1"/>
  <c r="G1574" i="1"/>
  <c r="G1575" i="1"/>
  <c r="G1576" i="1"/>
  <c r="G1577" i="1"/>
  <c r="G1578" i="1"/>
  <c r="G1579" i="1"/>
  <c r="G1580" i="1"/>
  <c r="G1581" i="1"/>
  <c r="G1582" i="1"/>
  <c r="G1583" i="1"/>
  <c r="G1584" i="1"/>
  <c r="G1585" i="1"/>
  <c r="G1586" i="1"/>
  <c r="G1587" i="1"/>
  <c r="G1588" i="1"/>
  <c r="G1589" i="1"/>
  <c r="G1590" i="1"/>
  <c r="G1591" i="1"/>
  <c r="G1592" i="1"/>
  <c r="G1593" i="1"/>
  <c r="G1594" i="1"/>
  <c r="G1595" i="1"/>
  <c r="G1596" i="1"/>
  <c r="G1597" i="1"/>
  <c r="G1598" i="1"/>
  <c r="G1599" i="1"/>
  <c r="G1600" i="1"/>
  <c r="G1601" i="1"/>
  <c r="G1602" i="1"/>
  <c r="G1603" i="1"/>
  <c r="G1604" i="1"/>
  <c r="G1605" i="1"/>
  <c r="G1606" i="1"/>
  <c r="G1607" i="1"/>
  <c r="G1608" i="1"/>
  <c r="G1609" i="1"/>
  <c r="G1610" i="1"/>
  <c r="G1611" i="1"/>
  <c r="G1612" i="1"/>
  <c r="G1613" i="1"/>
  <c r="G1614" i="1"/>
  <c r="G1615" i="1"/>
  <c r="G1616" i="1"/>
  <c r="G1617" i="1"/>
  <c r="G1618" i="1"/>
  <c r="G1619" i="1"/>
  <c r="G1620" i="1"/>
  <c r="G1621" i="1"/>
  <c r="G1622" i="1"/>
  <c r="G1623" i="1"/>
  <c r="G1624" i="1"/>
  <c r="G1625" i="1"/>
  <c r="G1626" i="1"/>
  <c r="G1627" i="1"/>
  <c r="G1628" i="1"/>
  <c r="G1629" i="1"/>
  <c r="G1630" i="1"/>
  <c r="G1631" i="1"/>
  <c r="G1632" i="1"/>
  <c r="G1633" i="1"/>
  <c r="G1634" i="1"/>
  <c r="G1635" i="1"/>
  <c r="G1636" i="1"/>
  <c r="G1637" i="1"/>
  <c r="G1638" i="1"/>
  <c r="G1639" i="1"/>
  <c r="G1640" i="1"/>
  <c r="G1641" i="1"/>
  <c r="G1642" i="1"/>
  <c r="G1643" i="1"/>
  <c r="G1644" i="1"/>
  <c r="G1645" i="1"/>
  <c r="G1646" i="1"/>
  <c r="G1647" i="1"/>
  <c r="G1648" i="1"/>
  <c r="G1649" i="1"/>
  <c r="G1650" i="1"/>
  <c r="G1651" i="1"/>
  <c r="G1652" i="1"/>
  <c r="G1653" i="1"/>
  <c r="G1654" i="1"/>
  <c r="G1655" i="1"/>
  <c r="G1656" i="1"/>
  <c r="G1657" i="1"/>
  <c r="G1658" i="1"/>
  <c r="G1659" i="1"/>
  <c r="G1660" i="1"/>
  <c r="G1661" i="1"/>
  <c r="G1662" i="1"/>
  <c r="G1663" i="1"/>
  <c r="G1664" i="1"/>
  <c r="G1665" i="1"/>
  <c r="G1666" i="1"/>
  <c r="G1667" i="1"/>
  <c r="G1668" i="1"/>
  <c r="G1669" i="1"/>
  <c r="G1670" i="1"/>
  <c r="G1671" i="1"/>
  <c r="G1672" i="1"/>
  <c r="G1673" i="1"/>
  <c r="G1674" i="1"/>
  <c r="G1675" i="1"/>
  <c r="G1676" i="1"/>
  <c r="G1677" i="1"/>
  <c r="G1678" i="1"/>
  <c r="G1679" i="1"/>
  <c r="G1680" i="1"/>
  <c r="G1681" i="1"/>
  <c r="G1682" i="1"/>
  <c r="G1683" i="1"/>
  <c r="G1684" i="1"/>
  <c r="G1685" i="1"/>
  <c r="G1686" i="1"/>
  <c r="G1687" i="1"/>
  <c r="G1688" i="1"/>
  <c r="G1689" i="1"/>
  <c r="G1690" i="1"/>
  <c r="G1691" i="1"/>
  <c r="G1692" i="1"/>
  <c r="G1693" i="1"/>
  <c r="G1694" i="1"/>
  <c r="G1695" i="1"/>
  <c r="G1696" i="1"/>
  <c r="G1697" i="1"/>
  <c r="G1698" i="1"/>
  <c r="G1699" i="1"/>
  <c r="G1700" i="1"/>
  <c r="G1701" i="1"/>
  <c r="G1702" i="1"/>
  <c r="G1703" i="1"/>
  <c r="G1704" i="1"/>
  <c r="G1705" i="1"/>
  <c r="G1706" i="1"/>
  <c r="G1707" i="1"/>
  <c r="G1708" i="1"/>
  <c r="G1709" i="1"/>
  <c r="G1710" i="1"/>
  <c r="G1711" i="1"/>
  <c r="G1712" i="1"/>
  <c r="G1713" i="1"/>
  <c r="G1714" i="1"/>
  <c r="G1715" i="1"/>
  <c r="G1716" i="1"/>
  <c r="G1717" i="1"/>
  <c r="G1718" i="1"/>
  <c r="G1719" i="1"/>
  <c r="G1720" i="1"/>
  <c r="G1721" i="1"/>
  <c r="G1722" i="1"/>
  <c r="G1723" i="1"/>
  <c r="G1724" i="1"/>
  <c r="G1725" i="1"/>
  <c r="G1726" i="1"/>
  <c r="G1727" i="1"/>
  <c r="G1728" i="1"/>
  <c r="G1729" i="1"/>
  <c r="G1730" i="1"/>
  <c r="G1731" i="1"/>
  <c r="G1732" i="1"/>
  <c r="G1733" i="1"/>
  <c r="G1734" i="1"/>
  <c r="G1735" i="1"/>
  <c r="G1736" i="1"/>
  <c r="G1737" i="1"/>
  <c r="G1738" i="1"/>
  <c r="G1739" i="1"/>
  <c r="G1740" i="1"/>
  <c r="G1741" i="1"/>
  <c r="G1742" i="1"/>
  <c r="G1743" i="1"/>
  <c r="G1744" i="1"/>
  <c r="G1745" i="1"/>
  <c r="G1746" i="1"/>
  <c r="G1747" i="1"/>
  <c r="G1748" i="1"/>
  <c r="G1749" i="1"/>
  <c r="G1750" i="1"/>
  <c r="G1751" i="1"/>
  <c r="G1752" i="1"/>
  <c r="G1753" i="1"/>
  <c r="G1754" i="1"/>
  <c r="G1755" i="1"/>
  <c r="G1756" i="1"/>
  <c r="G1757" i="1"/>
  <c r="G1758" i="1"/>
  <c r="G1759" i="1"/>
  <c r="G1760" i="1"/>
  <c r="G1761" i="1"/>
  <c r="G1762" i="1"/>
  <c r="G1763" i="1"/>
  <c r="G1764" i="1"/>
  <c r="G1765" i="1"/>
  <c r="G1766" i="1"/>
  <c r="G1767" i="1"/>
  <c r="G1768" i="1"/>
  <c r="G1769" i="1"/>
  <c r="G1770" i="1"/>
  <c r="G1771" i="1"/>
  <c r="G1772" i="1"/>
  <c r="G1773" i="1"/>
  <c r="G1774" i="1"/>
  <c r="G1775" i="1"/>
  <c r="G1776" i="1"/>
  <c r="G1777" i="1"/>
  <c r="G1778" i="1"/>
  <c r="G1779" i="1"/>
  <c r="G1780" i="1"/>
  <c r="G1781" i="1"/>
  <c r="G1782" i="1"/>
  <c r="G1783" i="1"/>
  <c r="G1784" i="1"/>
  <c r="G1785" i="1"/>
  <c r="G1786" i="1"/>
  <c r="G1787" i="1"/>
  <c r="G1788" i="1"/>
  <c r="G1789" i="1"/>
  <c r="G1790" i="1"/>
  <c r="G1791" i="1"/>
  <c r="G1792" i="1"/>
  <c r="G1793" i="1"/>
  <c r="G1794" i="1"/>
  <c r="G1795" i="1"/>
  <c r="G1796" i="1"/>
  <c r="G1797" i="1"/>
  <c r="G1798" i="1"/>
  <c r="G1799" i="1"/>
  <c r="G1800" i="1"/>
  <c r="G1801" i="1"/>
  <c r="G1802" i="1"/>
  <c r="G1803" i="1"/>
  <c r="G1804" i="1"/>
  <c r="G1805" i="1"/>
  <c r="G1806" i="1"/>
  <c r="G1807" i="1"/>
  <c r="G1808" i="1"/>
  <c r="G1809" i="1"/>
  <c r="G1810" i="1"/>
  <c r="G1811" i="1"/>
  <c r="G1812" i="1"/>
  <c r="G1813" i="1"/>
  <c r="G1814" i="1"/>
  <c r="G1815" i="1"/>
  <c r="G1816" i="1"/>
  <c r="G1817" i="1"/>
  <c r="G1818" i="1"/>
  <c r="G1819" i="1"/>
  <c r="G1820" i="1"/>
  <c r="G1821" i="1"/>
  <c r="G1822" i="1"/>
  <c r="G1823" i="1"/>
  <c r="G1824" i="1"/>
  <c r="G1825" i="1"/>
  <c r="G1826" i="1"/>
  <c r="G1827" i="1"/>
  <c r="G1828" i="1"/>
  <c r="G1829" i="1"/>
  <c r="G1830" i="1"/>
  <c r="G1831" i="1"/>
  <c r="G1832" i="1"/>
  <c r="G1833" i="1"/>
  <c r="G1834" i="1"/>
  <c r="G1835" i="1"/>
  <c r="G1836" i="1"/>
  <c r="G1837" i="1"/>
  <c r="G1838" i="1"/>
  <c r="G1839" i="1"/>
  <c r="G1840" i="1"/>
  <c r="G1841" i="1"/>
  <c r="G1842" i="1"/>
  <c r="G1843" i="1"/>
  <c r="G1844" i="1"/>
  <c r="G1845" i="1"/>
  <c r="G1846" i="1"/>
  <c r="G1847" i="1"/>
  <c r="G1848" i="1"/>
  <c r="G1849" i="1"/>
  <c r="G1850" i="1"/>
  <c r="G1851" i="1"/>
  <c r="G1852" i="1"/>
  <c r="G1853" i="1"/>
  <c r="G1854" i="1"/>
  <c r="G1855" i="1"/>
  <c r="G1856" i="1"/>
  <c r="G1857" i="1"/>
  <c r="G1858" i="1"/>
  <c r="G1859" i="1"/>
  <c r="G1860" i="1"/>
  <c r="G1861" i="1"/>
  <c r="G1862" i="1"/>
  <c r="G1863" i="1"/>
  <c r="G1864" i="1"/>
  <c r="G1865" i="1"/>
  <c r="G1866" i="1"/>
  <c r="G1867" i="1"/>
  <c r="G1868" i="1"/>
  <c r="G1869" i="1"/>
  <c r="G1870" i="1"/>
  <c r="G1871" i="1"/>
  <c r="G1872" i="1"/>
  <c r="G1873" i="1"/>
  <c r="G1874" i="1"/>
  <c r="G1875" i="1"/>
  <c r="G1876" i="1"/>
  <c r="G1877" i="1"/>
  <c r="G1878" i="1"/>
  <c r="G1879" i="1"/>
  <c r="G1880" i="1"/>
  <c r="G1881" i="1"/>
  <c r="G1882" i="1"/>
  <c r="G1883" i="1"/>
  <c r="G1884" i="1"/>
  <c r="G1885" i="1"/>
  <c r="G1886" i="1"/>
  <c r="G1887" i="1"/>
  <c r="G1888" i="1"/>
  <c r="G1889" i="1"/>
  <c r="G1890" i="1"/>
  <c r="G1891" i="1"/>
  <c r="G1892" i="1"/>
  <c r="G1893" i="1"/>
  <c r="G1894" i="1"/>
  <c r="G1895" i="1"/>
  <c r="G1896" i="1"/>
  <c r="G1897" i="1"/>
  <c r="G1898" i="1"/>
  <c r="G1899" i="1"/>
  <c r="G1900" i="1"/>
  <c r="G1901" i="1"/>
  <c r="G1902" i="1"/>
  <c r="G1903" i="1"/>
  <c r="G1904" i="1"/>
  <c r="G1905" i="1"/>
  <c r="G1906" i="1"/>
  <c r="G1907" i="1"/>
  <c r="G1908" i="1"/>
  <c r="G1909" i="1"/>
  <c r="G1910" i="1"/>
  <c r="G1911" i="1"/>
  <c r="G1912" i="1"/>
  <c r="G1913" i="1"/>
  <c r="G1914" i="1"/>
  <c r="G1915" i="1"/>
  <c r="G1916" i="1"/>
  <c r="G1917" i="1"/>
  <c r="G1918" i="1"/>
  <c r="G1919" i="1"/>
  <c r="G1920" i="1"/>
  <c r="G1921" i="1"/>
  <c r="G1922" i="1"/>
  <c r="G1923" i="1"/>
  <c r="G1924" i="1"/>
  <c r="G1925" i="1"/>
  <c r="G1926" i="1"/>
  <c r="G1927" i="1"/>
  <c r="G1928" i="1"/>
  <c r="G1929" i="1"/>
  <c r="G1930" i="1"/>
  <c r="G1931" i="1"/>
  <c r="G1932" i="1"/>
  <c r="G1933" i="1"/>
  <c r="G1934" i="1"/>
  <c r="G1935" i="1"/>
  <c r="G1936" i="1"/>
  <c r="G1937" i="1"/>
  <c r="G1938" i="1"/>
  <c r="G1939" i="1"/>
  <c r="G1940" i="1"/>
  <c r="G1941" i="1"/>
  <c r="G1942" i="1"/>
  <c r="G1943" i="1"/>
  <c r="G1944" i="1"/>
  <c r="G1945" i="1"/>
  <c r="G1946" i="1"/>
  <c r="G1947" i="1"/>
  <c r="G1948" i="1"/>
  <c r="G1949" i="1"/>
  <c r="G1950" i="1"/>
  <c r="G1951" i="1"/>
  <c r="G1952" i="1"/>
  <c r="G1953" i="1"/>
  <c r="G1954" i="1"/>
  <c r="G1955" i="1"/>
  <c r="G1956" i="1"/>
  <c r="G1957" i="1"/>
  <c r="G1958" i="1"/>
  <c r="G1959" i="1"/>
  <c r="G1960" i="1"/>
  <c r="G1961" i="1"/>
  <c r="G1962" i="1"/>
  <c r="G1963" i="1"/>
  <c r="G1964" i="1"/>
  <c r="G1965" i="1"/>
  <c r="G1966" i="1"/>
  <c r="G1967" i="1"/>
  <c r="G1968" i="1"/>
  <c r="G1969" i="1"/>
  <c r="G1970" i="1"/>
  <c r="G1971" i="1"/>
  <c r="G1972" i="1"/>
  <c r="G1973" i="1"/>
  <c r="G1974" i="1"/>
  <c r="G1975" i="1"/>
  <c r="G1976" i="1"/>
  <c r="G1977" i="1"/>
  <c r="G1978" i="1"/>
  <c r="G1979" i="1"/>
  <c r="G1980" i="1"/>
  <c r="G1981" i="1"/>
  <c r="G1982" i="1"/>
  <c r="G1983" i="1"/>
  <c r="G1984" i="1"/>
  <c r="G1985" i="1"/>
  <c r="G1986" i="1"/>
  <c r="G1987" i="1"/>
  <c r="G1988" i="1"/>
  <c r="G1989" i="1"/>
  <c r="G1990" i="1"/>
  <c r="G1991" i="1"/>
  <c r="G1992" i="1"/>
  <c r="G1993" i="1"/>
  <c r="G1994" i="1"/>
  <c r="G1995" i="1"/>
  <c r="G1996" i="1"/>
  <c r="G1997" i="1"/>
  <c r="G1998" i="1"/>
  <c r="G1999" i="1"/>
  <c r="G2000" i="1"/>
  <c r="G2001" i="1"/>
  <c r="G2002" i="1"/>
  <c r="G2003" i="1"/>
  <c r="G2004" i="1"/>
  <c r="G2005" i="1"/>
  <c r="G2006" i="1"/>
  <c r="G2007" i="1"/>
  <c r="G2008" i="1"/>
  <c r="G2009" i="1"/>
  <c r="G2010" i="1"/>
  <c r="G2011" i="1"/>
  <c r="G2012" i="1"/>
  <c r="G2013" i="1"/>
  <c r="G2014" i="1"/>
  <c r="G2015" i="1"/>
  <c r="G2016" i="1"/>
  <c r="G2017" i="1"/>
  <c r="G2018" i="1"/>
  <c r="G2019" i="1"/>
  <c r="G2020" i="1"/>
  <c r="G2021" i="1"/>
  <c r="G2022" i="1"/>
  <c r="G2023" i="1"/>
  <c r="G2024" i="1"/>
  <c r="G2025" i="1"/>
  <c r="G2026" i="1"/>
  <c r="G2027" i="1"/>
  <c r="G2028" i="1"/>
  <c r="G2029" i="1"/>
  <c r="G2030" i="1"/>
  <c r="G2031" i="1"/>
  <c r="G2032" i="1"/>
  <c r="G2033" i="1"/>
  <c r="G2034" i="1"/>
  <c r="G2035" i="1"/>
  <c r="G2036" i="1"/>
  <c r="G2037" i="1"/>
  <c r="G2038" i="1"/>
  <c r="G2039" i="1"/>
  <c r="G2040" i="1"/>
  <c r="G2041" i="1"/>
  <c r="G2042" i="1"/>
  <c r="G2043" i="1"/>
  <c r="G2044" i="1"/>
  <c r="G2045" i="1"/>
  <c r="G2046" i="1"/>
  <c r="G2047" i="1"/>
  <c r="G2048" i="1"/>
  <c r="G2049" i="1"/>
  <c r="G2050" i="1"/>
  <c r="G2051" i="1"/>
  <c r="G2052" i="1"/>
  <c r="G2053" i="1"/>
  <c r="G2054" i="1"/>
  <c r="G2055" i="1"/>
  <c r="G2056" i="1"/>
  <c r="G2057" i="1"/>
  <c r="G2058" i="1"/>
  <c r="G2059" i="1"/>
  <c r="G2060" i="1"/>
  <c r="G2061" i="1"/>
  <c r="G2062" i="1"/>
  <c r="G2063" i="1"/>
  <c r="G2064" i="1"/>
  <c r="G2065" i="1"/>
  <c r="G2066" i="1"/>
  <c r="G2067" i="1"/>
  <c r="G2068" i="1"/>
  <c r="G2069" i="1"/>
  <c r="G2070" i="1"/>
  <c r="G2071" i="1"/>
  <c r="G2072" i="1"/>
  <c r="G2073" i="1"/>
  <c r="G2074" i="1"/>
  <c r="G2075" i="1"/>
  <c r="G2076" i="1"/>
  <c r="G2077" i="1"/>
  <c r="G2078" i="1"/>
  <c r="G2079" i="1"/>
  <c r="G2080" i="1"/>
  <c r="G2081" i="1"/>
  <c r="G2082" i="1"/>
  <c r="G2083" i="1"/>
  <c r="G2084" i="1"/>
  <c r="G2085" i="1"/>
  <c r="G2086" i="1"/>
  <c r="G2087" i="1"/>
  <c r="G2088" i="1"/>
  <c r="G2089" i="1"/>
  <c r="G2090" i="1"/>
  <c r="G2091" i="1"/>
  <c r="G2092" i="1"/>
  <c r="G2093" i="1"/>
  <c r="G2094" i="1"/>
  <c r="G2095" i="1"/>
  <c r="G2096" i="1"/>
  <c r="G2097" i="1"/>
  <c r="G2098" i="1"/>
  <c r="G2099" i="1"/>
  <c r="G2100" i="1"/>
  <c r="G2101" i="1"/>
  <c r="G2102" i="1"/>
  <c r="G2103" i="1"/>
  <c r="G2104" i="1"/>
  <c r="G2105" i="1"/>
  <c r="G2106" i="1"/>
  <c r="G2107" i="1"/>
  <c r="G2108" i="1"/>
  <c r="G2109" i="1"/>
  <c r="G2110" i="1"/>
  <c r="G2111" i="1"/>
  <c r="G2112" i="1"/>
  <c r="G2113" i="1"/>
  <c r="G2114" i="1"/>
  <c r="G2115" i="1"/>
  <c r="G2116" i="1"/>
  <c r="G2117" i="1"/>
  <c r="G2118" i="1"/>
  <c r="G2119" i="1"/>
  <c r="G2120" i="1"/>
  <c r="G2121" i="1"/>
  <c r="G2122" i="1"/>
  <c r="G2123" i="1"/>
  <c r="G2124" i="1"/>
  <c r="G2125" i="1"/>
  <c r="G2126" i="1"/>
  <c r="G2127" i="1"/>
  <c r="G2128" i="1"/>
  <c r="G2129" i="1"/>
  <c r="G2130" i="1"/>
  <c r="G2131" i="1"/>
  <c r="G2132" i="1"/>
  <c r="G2133" i="1"/>
  <c r="G2134" i="1"/>
  <c r="G2135" i="1"/>
  <c r="G2136" i="1"/>
  <c r="G2137" i="1"/>
  <c r="G2138" i="1"/>
  <c r="G2139" i="1"/>
  <c r="G2140" i="1"/>
  <c r="G2141" i="1"/>
  <c r="G2142" i="1"/>
  <c r="G2143" i="1"/>
  <c r="G2144" i="1"/>
  <c r="G2145" i="1"/>
  <c r="G2146" i="1"/>
  <c r="G2147" i="1"/>
  <c r="G2148" i="1"/>
  <c r="G2149" i="1"/>
  <c r="G2150" i="1"/>
  <c r="G2151" i="1"/>
  <c r="G2152" i="1"/>
  <c r="G2153" i="1"/>
  <c r="G2154" i="1"/>
  <c r="G2155" i="1"/>
  <c r="G2156" i="1"/>
  <c r="G2157" i="1"/>
  <c r="G2158" i="1"/>
  <c r="G2159" i="1"/>
  <c r="G2160" i="1"/>
  <c r="G2161" i="1"/>
  <c r="G2162" i="1"/>
  <c r="G2163" i="1"/>
  <c r="G2164" i="1"/>
  <c r="G2165" i="1"/>
  <c r="G2166" i="1"/>
  <c r="G2167" i="1"/>
  <c r="G2168" i="1"/>
  <c r="G2169" i="1"/>
  <c r="G2170" i="1"/>
  <c r="G2171" i="1"/>
  <c r="G2172" i="1"/>
  <c r="G2173" i="1"/>
  <c r="G2174" i="1"/>
  <c r="G2175" i="1"/>
  <c r="G2176" i="1"/>
  <c r="G2177" i="1"/>
  <c r="G2178" i="1"/>
  <c r="G2179" i="1"/>
  <c r="G2180" i="1"/>
  <c r="G2181" i="1"/>
  <c r="G2182" i="1"/>
  <c r="G2183" i="1"/>
  <c r="G2184" i="1"/>
  <c r="G2185" i="1"/>
  <c r="G2186" i="1"/>
  <c r="G2187" i="1"/>
  <c r="G2188" i="1"/>
  <c r="G2189" i="1"/>
  <c r="G2190" i="1"/>
  <c r="G2191" i="1"/>
  <c r="G2192" i="1"/>
  <c r="G2193" i="1"/>
  <c r="G2194" i="1"/>
  <c r="G2195" i="1"/>
  <c r="G2196" i="1"/>
  <c r="G2197" i="1"/>
  <c r="G2198" i="1"/>
  <c r="G2199" i="1"/>
  <c r="G2200" i="1"/>
  <c r="G2201" i="1"/>
  <c r="G2202" i="1"/>
  <c r="G2203" i="1"/>
  <c r="G2204" i="1"/>
  <c r="G2205" i="1"/>
  <c r="G2206" i="1"/>
  <c r="G2207" i="1"/>
  <c r="G2208" i="1"/>
  <c r="G2209" i="1"/>
  <c r="G2210" i="1"/>
  <c r="G2211" i="1"/>
  <c r="G2212" i="1"/>
  <c r="G2213" i="1"/>
  <c r="G2214" i="1"/>
  <c r="G2215" i="1"/>
  <c r="G2216" i="1"/>
  <c r="G2217" i="1"/>
  <c r="G2218" i="1"/>
  <c r="G2219" i="1"/>
  <c r="G2220" i="1"/>
  <c r="G2221" i="1"/>
  <c r="G2222" i="1"/>
  <c r="G2223" i="1"/>
  <c r="G2224" i="1"/>
  <c r="G2225" i="1"/>
  <c r="G2226" i="1"/>
  <c r="G2227" i="1"/>
  <c r="G2228" i="1"/>
  <c r="G2229" i="1"/>
  <c r="G2230" i="1"/>
  <c r="G2231" i="1"/>
  <c r="G2232" i="1"/>
  <c r="G2233" i="1"/>
  <c r="G2234" i="1"/>
  <c r="G2235" i="1"/>
  <c r="G2236" i="1"/>
  <c r="G2237" i="1"/>
  <c r="G2238" i="1"/>
  <c r="G2239" i="1"/>
  <c r="G2240" i="1"/>
  <c r="G2241" i="1"/>
  <c r="G2242" i="1"/>
  <c r="G2243" i="1"/>
  <c r="G2244" i="1"/>
  <c r="G2245" i="1"/>
  <c r="G2246" i="1"/>
  <c r="G2247" i="1"/>
  <c r="G2248" i="1"/>
  <c r="G2249" i="1"/>
  <c r="G2250" i="1"/>
  <c r="G2251" i="1"/>
  <c r="G2252" i="1"/>
  <c r="G2253" i="1"/>
  <c r="G2254" i="1"/>
  <c r="G2255" i="1"/>
  <c r="G2256" i="1"/>
  <c r="G2257" i="1"/>
  <c r="G2258" i="1"/>
  <c r="G2259" i="1"/>
  <c r="G2260" i="1"/>
  <c r="G2261" i="1"/>
  <c r="G2262" i="1"/>
  <c r="G2263" i="1"/>
  <c r="G2264" i="1"/>
  <c r="G2265" i="1"/>
  <c r="G2266" i="1"/>
  <c r="G2267" i="1"/>
  <c r="G2268" i="1"/>
  <c r="G2269" i="1"/>
  <c r="G2270" i="1"/>
  <c r="G2271" i="1"/>
  <c r="G2272" i="1"/>
  <c r="G2273" i="1"/>
  <c r="G2274" i="1"/>
  <c r="G2275" i="1"/>
  <c r="G2276" i="1"/>
  <c r="G2277" i="1"/>
  <c r="G2278" i="1"/>
  <c r="G2279" i="1"/>
  <c r="G2280" i="1"/>
  <c r="G2281" i="1"/>
  <c r="G2282" i="1"/>
  <c r="G2283" i="1"/>
  <c r="G2284" i="1"/>
  <c r="G2285" i="1"/>
  <c r="G2286" i="1"/>
  <c r="G2287" i="1"/>
  <c r="G2288" i="1"/>
  <c r="G2289" i="1"/>
  <c r="G2290" i="1"/>
  <c r="G2291" i="1"/>
  <c r="G2292" i="1"/>
  <c r="G2293" i="1"/>
  <c r="G2294" i="1"/>
  <c r="G2295" i="1"/>
  <c r="G2296" i="1"/>
  <c r="G2297" i="1"/>
  <c r="G2298" i="1"/>
  <c r="G2299" i="1"/>
  <c r="G2300" i="1"/>
  <c r="G2301" i="1"/>
  <c r="G2302" i="1"/>
  <c r="G2303" i="1"/>
  <c r="G2304" i="1"/>
  <c r="G2305" i="1"/>
  <c r="G2306" i="1"/>
  <c r="G2307" i="1"/>
  <c r="G2308" i="1"/>
  <c r="G2309" i="1"/>
  <c r="G2310" i="1"/>
  <c r="G2311" i="1"/>
  <c r="G2312" i="1"/>
  <c r="G2313" i="1"/>
  <c r="G2314" i="1"/>
  <c r="G2315" i="1"/>
  <c r="G2316" i="1"/>
  <c r="G2317" i="1"/>
  <c r="G2318" i="1"/>
  <c r="G2319" i="1"/>
  <c r="G2320" i="1"/>
  <c r="G2321" i="1"/>
  <c r="G2322" i="1"/>
  <c r="G2323" i="1"/>
  <c r="G2324" i="1"/>
  <c r="G2325" i="1"/>
  <c r="G2326" i="1"/>
  <c r="G2327" i="1"/>
  <c r="G2328" i="1"/>
  <c r="G2329" i="1"/>
  <c r="G2330" i="1"/>
  <c r="G2331" i="1"/>
  <c r="G2332" i="1"/>
  <c r="G2333" i="1"/>
  <c r="G2334" i="1"/>
  <c r="G2335" i="1"/>
  <c r="G2336" i="1"/>
  <c r="G2337" i="1"/>
  <c r="G2338" i="1"/>
  <c r="G2339" i="1"/>
  <c r="G2340" i="1"/>
  <c r="G2341" i="1"/>
  <c r="G2342" i="1"/>
  <c r="G2343" i="1"/>
  <c r="G2344" i="1"/>
  <c r="G2345" i="1"/>
  <c r="G2346" i="1"/>
  <c r="G2347" i="1"/>
  <c r="G2348" i="1"/>
  <c r="G2349" i="1"/>
  <c r="G2350" i="1"/>
  <c r="G2351" i="1"/>
  <c r="G2352" i="1"/>
  <c r="G2353" i="1"/>
  <c r="G2354" i="1"/>
  <c r="G2355" i="1"/>
  <c r="G2356" i="1"/>
  <c r="G2357" i="1"/>
  <c r="G2358" i="1"/>
  <c r="G2359" i="1"/>
  <c r="G2360" i="1"/>
  <c r="G2361" i="1"/>
  <c r="G2362" i="1"/>
  <c r="G2363" i="1"/>
  <c r="G2364" i="1"/>
  <c r="G2365" i="1"/>
  <c r="G2366" i="1"/>
  <c r="G2367" i="1"/>
  <c r="G2368" i="1"/>
  <c r="G2369" i="1"/>
  <c r="G2370" i="1"/>
  <c r="G2371" i="1"/>
  <c r="G2372" i="1"/>
  <c r="G2373" i="1"/>
  <c r="G2374" i="1"/>
  <c r="G2375" i="1"/>
  <c r="G2376" i="1"/>
  <c r="G2377" i="1"/>
  <c r="G2378" i="1"/>
  <c r="G2379" i="1"/>
  <c r="G2380" i="1"/>
  <c r="G2381" i="1"/>
  <c r="G2382" i="1"/>
  <c r="G2383" i="1"/>
  <c r="G2384" i="1"/>
  <c r="G2385" i="1"/>
  <c r="G2386" i="1"/>
  <c r="G2387" i="1"/>
  <c r="G2388" i="1"/>
  <c r="G2389" i="1"/>
  <c r="G2390" i="1"/>
  <c r="G2391" i="1"/>
  <c r="G2392" i="1"/>
  <c r="G2393" i="1"/>
  <c r="G2394" i="1"/>
  <c r="G2395" i="1"/>
  <c r="G2396" i="1"/>
  <c r="G2397" i="1"/>
  <c r="G2398" i="1"/>
  <c r="G2399" i="1"/>
  <c r="G2400" i="1"/>
  <c r="G2401" i="1"/>
  <c r="G2402" i="1"/>
  <c r="G2403" i="1"/>
  <c r="G2404" i="1"/>
  <c r="G2405" i="1"/>
  <c r="G2406" i="1"/>
  <c r="G2407" i="1"/>
  <c r="G2408" i="1"/>
  <c r="G2409" i="1"/>
  <c r="G2410" i="1"/>
  <c r="G2411" i="1"/>
  <c r="G2412" i="1"/>
  <c r="G2413" i="1"/>
  <c r="G2414" i="1"/>
  <c r="G2415" i="1"/>
  <c r="G2416" i="1"/>
  <c r="G2417" i="1"/>
  <c r="G2418" i="1"/>
  <c r="G2419" i="1"/>
  <c r="G2420" i="1"/>
  <c r="G2421" i="1"/>
  <c r="G2422" i="1"/>
  <c r="G2423" i="1"/>
  <c r="G2424" i="1"/>
  <c r="G2425" i="1"/>
  <c r="G2426" i="1"/>
  <c r="G2427" i="1"/>
  <c r="G2428" i="1"/>
  <c r="G2429" i="1"/>
  <c r="G2430" i="1"/>
  <c r="G2431" i="1"/>
  <c r="G2432" i="1"/>
  <c r="G2433" i="1"/>
  <c r="G2434" i="1"/>
  <c r="G2435" i="1"/>
  <c r="G2436" i="1"/>
  <c r="G2437" i="1"/>
  <c r="G2438" i="1"/>
  <c r="G2439" i="1"/>
  <c r="G2440" i="1"/>
  <c r="G2441" i="1"/>
  <c r="G2442" i="1"/>
  <c r="G2443" i="1"/>
  <c r="G2444" i="1"/>
  <c r="G2445" i="1"/>
  <c r="G2446" i="1"/>
  <c r="G2447" i="1"/>
  <c r="G2448" i="1"/>
  <c r="G2449" i="1"/>
  <c r="G2450" i="1"/>
  <c r="G2451" i="1"/>
  <c r="G2452" i="1"/>
  <c r="G2453" i="1"/>
  <c r="G2454" i="1"/>
  <c r="G2455" i="1"/>
  <c r="G2456" i="1"/>
  <c r="G2457" i="1"/>
  <c r="G2458" i="1"/>
  <c r="G2459" i="1"/>
  <c r="G2460" i="1"/>
  <c r="G2461" i="1"/>
  <c r="G2462" i="1"/>
  <c r="G2463" i="1"/>
  <c r="G2464" i="1"/>
  <c r="G2465" i="1"/>
  <c r="G2466" i="1"/>
  <c r="G2467" i="1"/>
  <c r="G2468" i="1"/>
  <c r="G2469" i="1"/>
  <c r="G2470" i="1"/>
  <c r="G2471" i="1"/>
  <c r="G2472" i="1"/>
  <c r="G2473" i="1"/>
  <c r="G2474" i="1"/>
  <c r="G2475" i="1"/>
  <c r="G2476" i="1"/>
  <c r="G2477" i="1"/>
  <c r="G2478" i="1"/>
  <c r="G2479" i="1"/>
  <c r="G2480" i="1"/>
  <c r="G2481" i="1"/>
  <c r="G2482" i="1"/>
  <c r="G2483" i="1"/>
  <c r="G2484" i="1"/>
  <c r="G2485" i="1"/>
  <c r="G2486" i="1"/>
  <c r="G2487" i="1"/>
  <c r="G2488" i="1"/>
  <c r="G2489" i="1"/>
  <c r="G2490" i="1"/>
  <c r="G2491" i="1"/>
  <c r="G2492" i="1"/>
  <c r="G2493" i="1"/>
  <c r="G2494" i="1"/>
  <c r="G2495" i="1"/>
  <c r="G2496" i="1"/>
  <c r="G2497" i="1"/>
  <c r="G2498" i="1"/>
  <c r="G2499" i="1"/>
  <c r="G2500" i="1"/>
  <c r="G2501" i="1"/>
  <c r="G2502" i="1"/>
  <c r="G2503" i="1"/>
  <c r="G2504" i="1"/>
  <c r="G2505" i="1"/>
  <c r="G2506" i="1"/>
  <c r="G2507" i="1"/>
  <c r="G2508" i="1"/>
  <c r="G2509" i="1"/>
  <c r="G2510" i="1"/>
  <c r="G2511" i="1"/>
  <c r="G2512" i="1"/>
  <c r="G2513" i="1"/>
  <c r="G2514" i="1"/>
  <c r="G2515" i="1"/>
  <c r="G2516" i="1"/>
  <c r="G2517" i="1"/>
  <c r="G2518" i="1"/>
  <c r="G2519" i="1"/>
  <c r="G2520" i="1"/>
  <c r="G2521" i="1"/>
  <c r="G2522" i="1"/>
  <c r="G2523" i="1"/>
  <c r="G2524" i="1"/>
  <c r="G2525" i="1"/>
  <c r="G2526" i="1"/>
  <c r="G2527" i="1"/>
  <c r="G2528" i="1"/>
  <c r="G2529" i="1"/>
  <c r="G2530" i="1"/>
  <c r="G2531" i="1"/>
  <c r="G2532" i="1"/>
  <c r="G2533" i="1"/>
  <c r="G2534" i="1"/>
  <c r="G2535" i="1"/>
  <c r="G2536" i="1"/>
  <c r="G2537" i="1"/>
  <c r="G2538" i="1"/>
  <c r="G2539" i="1"/>
  <c r="G2540" i="1"/>
  <c r="G2541" i="1"/>
  <c r="G2542" i="1"/>
  <c r="G2543" i="1"/>
  <c r="G2544" i="1"/>
  <c r="G2545" i="1"/>
  <c r="G2546" i="1"/>
  <c r="G2547" i="1"/>
  <c r="G2548" i="1"/>
  <c r="G2549" i="1"/>
  <c r="G2550" i="1"/>
  <c r="G2551" i="1"/>
  <c r="G2552" i="1"/>
  <c r="G2553" i="1"/>
  <c r="G2554" i="1"/>
  <c r="G2555" i="1"/>
  <c r="G2556" i="1"/>
  <c r="G2557" i="1"/>
  <c r="G2558" i="1"/>
  <c r="G2559" i="1"/>
  <c r="G2560" i="1"/>
  <c r="G2561" i="1"/>
  <c r="G2562" i="1"/>
  <c r="G2563" i="1"/>
  <c r="G2564" i="1"/>
  <c r="G2565" i="1"/>
  <c r="G2566" i="1"/>
  <c r="G2567" i="1"/>
  <c r="G2568" i="1"/>
  <c r="G2569" i="1"/>
  <c r="G2570" i="1"/>
  <c r="G2571" i="1"/>
  <c r="G2572" i="1"/>
  <c r="G2573" i="1"/>
  <c r="G2574" i="1"/>
  <c r="G2575" i="1"/>
  <c r="G2576" i="1"/>
  <c r="G2577" i="1"/>
  <c r="G2578" i="1"/>
  <c r="G2579" i="1"/>
  <c r="G2580" i="1"/>
  <c r="G2581" i="1"/>
  <c r="G2582" i="1"/>
  <c r="G2583" i="1"/>
  <c r="G2584" i="1"/>
  <c r="G2585" i="1"/>
  <c r="G2586" i="1"/>
  <c r="G2587" i="1"/>
  <c r="G2588" i="1"/>
  <c r="G2589" i="1"/>
  <c r="G2590" i="1"/>
  <c r="G2591" i="1"/>
  <c r="G2592" i="1"/>
  <c r="G2593" i="1"/>
  <c r="G2594" i="1"/>
  <c r="G2595" i="1"/>
  <c r="G2596" i="1"/>
  <c r="G2597" i="1"/>
  <c r="G2598" i="1"/>
  <c r="G2599" i="1"/>
  <c r="G2600" i="1"/>
  <c r="G2601" i="1"/>
  <c r="G2602" i="1"/>
  <c r="G2603" i="1"/>
  <c r="G2604" i="1"/>
  <c r="G2605" i="1"/>
  <c r="G2606" i="1"/>
  <c r="G2607" i="1"/>
  <c r="G2608" i="1"/>
  <c r="G2609" i="1"/>
  <c r="G2610" i="1"/>
  <c r="G2611" i="1"/>
  <c r="G2612" i="1"/>
  <c r="G2613" i="1"/>
  <c r="G2614" i="1"/>
  <c r="G2615" i="1"/>
  <c r="G2616" i="1"/>
  <c r="G2617" i="1"/>
  <c r="G2618" i="1"/>
  <c r="G2619" i="1"/>
  <c r="G2620" i="1"/>
  <c r="G2621" i="1"/>
  <c r="G2622" i="1"/>
  <c r="G2623" i="1"/>
  <c r="G2624" i="1"/>
  <c r="G2625" i="1"/>
  <c r="G2626" i="1"/>
  <c r="G2627" i="1"/>
  <c r="G2628" i="1"/>
  <c r="G2629" i="1"/>
  <c r="G2630" i="1"/>
  <c r="G2631" i="1"/>
  <c r="G2632" i="1"/>
  <c r="G2633" i="1"/>
  <c r="G2634" i="1"/>
  <c r="G2635" i="1"/>
  <c r="G2636" i="1"/>
  <c r="G2637" i="1"/>
  <c r="G2638" i="1"/>
  <c r="G2639" i="1"/>
  <c r="G2640" i="1"/>
  <c r="G2641" i="1"/>
  <c r="G2642" i="1"/>
  <c r="G2643" i="1"/>
  <c r="G2644" i="1"/>
  <c r="G2645" i="1"/>
  <c r="G2646" i="1"/>
  <c r="G2647" i="1"/>
  <c r="G2648" i="1"/>
  <c r="G2649" i="1"/>
  <c r="G2650" i="1"/>
  <c r="G2651" i="1"/>
  <c r="G2652" i="1"/>
  <c r="G2653" i="1"/>
  <c r="G2654" i="1"/>
  <c r="G2655" i="1"/>
  <c r="G2656" i="1"/>
  <c r="G2657" i="1"/>
  <c r="G2658" i="1"/>
  <c r="G2659" i="1"/>
  <c r="G2660" i="1"/>
  <c r="G2661" i="1"/>
  <c r="G2662" i="1"/>
  <c r="G2663" i="1"/>
  <c r="G2664" i="1"/>
  <c r="G2665" i="1"/>
  <c r="G2666" i="1"/>
  <c r="G2667" i="1"/>
  <c r="G2668" i="1"/>
  <c r="G2669" i="1"/>
  <c r="G2670" i="1"/>
  <c r="G2671" i="1"/>
  <c r="G2672" i="1"/>
  <c r="G2673" i="1"/>
  <c r="G2674" i="1"/>
  <c r="G2675" i="1"/>
  <c r="G2676" i="1"/>
  <c r="G2677" i="1"/>
  <c r="G2678" i="1"/>
  <c r="G2679" i="1"/>
  <c r="G2680" i="1"/>
  <c r="G2681" i="1"/>
  <c r="G2682" i="1"/>
  <c r="G2683" i="1"/>
  <c r="G2684" i="1"/>
  <c r="G2685" i="1"/>
  <c r="G2686" i="1"/>
  <c r="G2687" i="1"/>
  <c r="G2688" i="1"/>
  <c r="G2689" i="1"/>
  <c r="G2690" i="1"/>
  <c r="G2691" i="1"/>
  <c r="G2692" i="1"/>
  <c r="G2693" i="1"/>
  <c r="G2694" i="1"/>
  <c r="G2695" i="1"/>
  <c r="G2696" i="1"/>
  <c r="G2697" i="1"/>
  <c r="G2698" i="1"/>
  <c r="G2699" i="1"/>
  <c r="G2700" i="1"/>
  <c r="G2701" i="1"/>
  <c r="G2702" i="1"/>
  <c r="G2703" i="1"/>
  <c r="G2704" i="1"/>
  <c r="G2705" i="1"/>
  <c r="G2706" i="1"/>
  <c r="G2707" i="1"/>
  <c r="G2708" i="1"/>
  <c r="G2709" i="1"/>
  <c r="G2710" i="1"/>
  <c r="G2711" i="1"/>
  <c r="G2712" i="1"/>
  <c r="G2713" i="1"/>
  <c r="G2714" i="1"/>
  <c r="G2715" i="1"/>
  <c r="G2716" i="1"/>
  <c r="G2717" i="1"/>
  <c r="G2718" i="1"/>
  <c r="G2719" i="1"/>
  <c r="G2720" i="1"/>
  <c r="G2721" i="1"/>
  <c r="G2722" i="1"/>
  <c r="G2723" i="1"/>
  <c r="G2724" i="1"/>
  <c r="G2725" i="1"/>
  <c r="G2726" i="1"/>
  <c r="G2727" i="1"/>
  <c r="G2728" i="1"/>
  <c r="G2729" i="1"/>
  <c r="G2730" i="1"/>
  <c r="G2731" i="1"/>
  <c r="G2732" i="1"/>
  <c r="G2733" i="1"/>
  <c r="G2734" i="1"/>
  <c r="G2735" i="1"/>
  <c r="G2736" i="1"/>
  <c r="G2737" i="1"/>
  <c r="G2738" i="1"/>
  <c r="G2739" i="1"/>
  <c r="G2740" i="1"/>
  <c r="G2741" i="1"/>
  <c r="G2742" i="1"/>
  <c r="G2743" i="1"/>
  <c r="G2744" i="1"/>
  <c r="G2745" i="1"/>
  <c r="G2746" i="1"/>
  <c r="G2747" i="1"/>
  <c r="G2748" i="1"/>
  <c r="G2749" i="1"/>
  <c r="G2750" i="1"/>
  <c r="G2751" i="1"/>
  <c r="G2752" i="1"/>
  <c r="G2753" i="1"/>
  <c r="G2754" i="1"/>
  <c r="G2755" i="1"/>
  <c r="G2756" i="1"/>
  <c r="G2757" i="1"/>
  <c r="G2758" i="1"/>
  <c r="G2759" i="1"/>
  <c r="G2760" i="1"/>
  <c r="G2761" i="1"/>
  <c r="G2762" i="1"/>
  <c r="G2763" i="1"/>
  <c r="G2764" i="1"/>
  <c r="G2765" i="1"/>
  <c r="G2766" i="1"/>
  <c r="G2767" i="1"/>
  <c r="G2768" i="1"/>
  <c r="G2769" i="1"/>
  <c r="G2770" i="1"/>
  <c r="G2771" i="1"/>
  <c r="G2772" i="1"/>
  <c r="G2773" i="1"/>
  <c r="G2774" i="1"/>
  <c r="G2775" i="1"/>
  <c r="G2776" i="1"/>
  <c r="G2777" i="1"/>
  <c r="G2778" i="1"/>
  <c r="G2779" i="1"/>
  <c r="G2780" i="1"/>
  <c r="G2781" i="1"/>
  <c r="G2782" i="1"/>
  <c r="G2783" i="1"/>
  <c r="G2784" i="1"/>
  <c r="G2785" i="1"/>
  <c r="G2786" i="1"/>
  <c r="G2787" i="1"/>
  <c r="G2788" i="1"/>
  <c r="G2789" i="1"/>
  <c r="G2790" i="1"/>
  <c r="G2791" i="1"/>
  <c r="G2792" i="1"/>
  <c r="G2793" i="1"/>
  <c r="G2794" i="1"/>
  <c r="G2795" i="1"/>
  <c r="G2796" i="1"/>
  <c r="G2797" i="1"/>
  <c r="G2798" i="1"/>
  <c r="G2799" i="1"/>
  <c r="G2800" i="1"/>
  <c r="G2801" i="1"/>
  <c r="G2802" i="1"/>
  <c r="G2803" i="1"/>
  <c r="G2804" i="1"/>
  <c r="G2805" i="1"/>
  <c r="G2806" i="1"/>
  <c r="G2807" i="1"/>
  <c r="G2808" i="1"/>
  <c r="G2809" i="1"/>
  <c r="G2810" i="1"/>
  <c r="G2811" i="1"/>
  <c r="G2812" i="1"/>
  <c r="G2813" i="1"/>
  <c r="G2814" i="1"/>
  <c r="G2815" i="1"/>
  <c r="G2816" i="1"/>
  <c r="G2817" i="1"/>
  <c r="G2818" i="1"/>
  <c r="G2819" i="1"/>
  <c r="G2820" i="1"/>
  <c r="G2821" i="1"/>
  <c r="G2822" i="1"/>
  <c r="G2823" i="1"/>
  <c r="G2824" i="1"/>
  <c r="G2825" i="1"/>
  <c r="G2826" i="1"/>
  <c r="G2827" i="1"/>
  <c r="G2828" i="1"/>
  <c r="G2829" i="1"/>
  <c r="G2830" i="1"/>
  <c r="G2831" i="1"/>
  <c r="G2832" i="1"/>
  <c r="G2833" i="1"/>
  <c r="G2834" i="1"/>
  <c r="G2835" i="1"/>
  <c r="G2836" i="1"/>
  <c r="G2837" i="1"/>
  <c r="G2838" i="1"/>
  <c r="G2839" i="1"/>
  <c r="G2840" i="1"/>
  <c r="G2841" i="1"/>
  <c r="G2842" i="1"/>
  <c r="G2843" i="1"/>
  <c r="G2844" i="1"/>
  <c r="G2845" i="1"/>
  <c r="G2846" i="1"/>
  <c r="G2847" i="1"/>
  <c r="G2848" i="1"/>
  <c r="G2849" i="1"/>
  <c r="G2850" i="1"/>
  <c r="G2851" i="1"/>
  <c r="G2852" i="1"/>
  <c r="G2853" i="1"/>
  <c r="G2854" i="1"/>
  <c r="G2855" i="1"/>
  <c r="G2856" i="1"/>
  <c r="G2857" i="1"/>
  <c r="G2858" i="1"/>
  <c r="G2859" i="1"/>
  <c r="G2860" i="1"/>
  <c r="G2861" i="1"/>
  <c r="G2862" i="1"/>
  <c r="G2863" i="1"/>
  <c r="G2864" i="1"/>
  <c r="G2865" i="1"/>
  <c r="G2866" i="1"/>
  <c r="G2867" i="1"/>
  <c r="G2868" i="1"/>
  <c r="G2869" i="1"/>
  <c r="G2870" i="1"/>
  <c r="G2871" i="1"/>
  <c r="G2872" i="1"/>
  <c r="G2873" i="1"/>
  <c r="G2874" i="1"/>
  <c r="G2875" i="1"/>
  <c r="G2876" i="1"/>
  <c r="G2877" i="1"/>
  <c r="G2878" i="1"/>
  <c r="G2879" i="1"/>
  <c r="G2880" i="1"/>
  <c r="G2881" i="1"/>
  <c r="G2882" i="1"/>
  <c r="G2883" i="1"/>
  <c r="G2884" i="1"/>
  <c r="G2885" i="1"/>
  <c r="G2886" i="1"/>
  <c r="G2887" i="1"/>
  <c r="G2888" i="1"/>
  <c r="G2889" i="1"/>
  <c r="G2890" i="1"/>
  <c r="G2891" i="1"/>
  <c r="G2892" i="1"/>
  <c r="G2893" i="1"/>
  <c r="G2894" i="1"/>
  <c r="G2895" i="1"/>
  <c r="G2896" i="1"/>
  <c r="G2897" i="1"/>
  <c r="G2898" i="1"/>
  <c r="G2899" i="1"/>
  <c r="G2900" i="1"/>
  <c r="G2901" i="1"/>
  <c r="G2902" i="1"/>
  <c r="G2903" i="1"/>
  <c r="G2904" i="1"/>
  <c r="G2905" i="1"/>
  <c r="G2906" i="1"/>
  <c r="G2907" i="1"/>
  <c r="G2908" i="1"/>
  <c r="G2909" i="1"/>
  <c r="G2910" i="1"/>
  <c r="G2911" i="1"/>
  <c r="G2912" i="1"/>
  <c r="G2913" i="1"/>
  <c r="G2914" i="1"/>
  <c r="G2915" i="1"/>
  <c r="G2916" i="1"/>
  <c r="G2917" i="1"/>
  <c r="G2918" i="1"/>
  <c r="G2919" i="1"/>
  <c r="G2920" i="1"/>
  <c r="G2921" i="1"/>
  <c r="G2922" i="1"/>
  <c r="G2923" i="1"/>
  <c r="G2924" i="1"/>
  <c r="G2925" i="1"/>
  <c r="G2926" i="1"/>
  <c r="G2927" i="1"/>
  <c r="G2928" i="1"/>
  <c r="G2929" i="1"/>
  <c r="G2930" i="1"/>
  <c r="G2931" i="1"/>
  <c r="G2932" i="1"/>
  <c r="G2933" i="1"/>
  <c r="G2934" i="1"/>
  <c r="G2935" i="1"/>
  <c r="G2936" i="1"/>
  <c r="G2937" i="1"/>
  <c r="G2938" i="1"/>
  <c r="G2939" i="1"/>
  <c r="G2940" i="1"/>
  <c r="G2941" i="1"/>
  <c r="G2942" i="1"/>
  <c r="G2943" i="1"/>
  <c r="G2944" i="1"/>
  <c r="G2945" i="1"/>
  <c r="G2946" i="1"/>
  <c r="G2947" i="1"/>
  <c r="G2948" i="1"/>
  <c r="G2949" i="1"/>
  <c r="G2950" i="1"/>
  <c r="G2951" i="1"/>
  <c r="G2952" i="1"/>
  <c r="G2953" i="1"/>
  <c r="G2954" i="1"/>
  <c r="G2955" i="1"/>
  <c r="G2956" i="1"/>
  <c r="G2957" i="1"/>
  <c r="G2958" i="1"/>
  <c r="G2959" i="1"/>
  <c r="G2960" i="1"/>
  <c r="G2961" i="1"/>
  <c r="G2962" i="1"/>
  <c r="G2963" i="1"/>
  <c r="G2964" i="1"/>
  <c r="G2965" i="1"/>
  <c r="G2966" i="1"/>
  <c r="G2967" i="1"/>
  <c r="G2968" i="1"/>
  <c r="G2969" i="1"/>
  <c r="G2970" i="1"/>
  <c r="G2971" i="1"/>
  <c r="G2972" i="1"/>
  <c r="G2973" i="1"/>
  <c r="G2974" i="1"/>
  <c r="G2975" i="1"/>
  <c r="G2976" i="1"/>
  <c r="G2977" i="1"/>
  <c r="G2978" i="1"/>
  <c r="G2979" i="1"/>
  <c r="G2980" i="1"/>
  <c r="G2981" i="1"/>
  <c r="G2982" i="1"/>
  <c r="G2983" i="1"/>
  <c r="G2984" i="1"/>
  <c r="G2985" i="1"/>
  <c r="G2986" i="1"/>
  <c r="G2987" i="1"/>
  <c r="G2988" i="1"/>
  <c r="G2989" i="1"/>
  <c r="G2990" i="1"/>
  <c r="G2991" i="1"/>
  <c r="G2992" i="1"/>
  <c r="G2993" i="1"/>
  <c r="G2994" i="1"/>
  <c r="G2995" i="1"/>
  <c r="G2996" i="1"/>
  <c r="G2997" i="1"/>
  <c r="G2998" i="1"/>
  <c r="G2999" i="1"/>
  <c r="G3000" i="1"/>
  <c r="G3001" i="1"/>
  <c r="G3002" i="1"/>
  <c r="G3003" i="1"/>
  <c r="G3004" i="1"/>
  <c r="G3005" i="1"/>
  <c r="G3006" i="1"/>
  <c r="G3007" i="1"/>
  <c r="G3008" i="1"/>
  <c r="G3009" i="1"/>
  <c r="G3010" i="1"/>
  <c r="G3011" i="1"/>
  <c r="G3012" i="1"/>
  <c r="G3013" i="1"/>
  <c r="G3014" i="1"/>
  <c r="G3015" i="1"/>
  <c r="G3016" i="1"/>
  <c r="G3017" i="1"/>
  <c r="G3018" i="1"/>
  <c r="G3019" i="1"/>
  <c r="G3020" i="1"/>
  <c r="G3021" i="1"/>
  <c r="G3022" i="1"/>
  <c r="G3023" i="1"/>
  <c r="G3024" i="1"/>
  <c r="G3025" i="1"/>
  <c r="G3026" i="1"/>
  <c r="G3027" i="1"/>
  <c r="G3028" i="1"/>
  <c r="G3029" i="1"/>
  <c r="G3030" i="1"/>
  <c r="G3031" i="1"/>
  <c r="G3032" i="1"/>
  <c r="G3033" i="1"/>
  <c r="G3034" i="1"/>
  <c r="G3035" i="1"/>
  <c r="G3036" i="1"/>
  <c r="G3037" i="1"/>
  <c r="G3038" i="1"/>
  <c r="G3039" i="1"/>
  <c r="G3040" i="1"/>
  <c r="G3041" i="1"/>
  <c r="G3042" i="1"/>
  <c r="G3043" i="1"/>
  <c r="G3044" i="1"/>
  <c r="G3045" i="1"/>
  <c r="G3046" i="1"/>
  <c r="G3047" i="1"/>
  <c r="G3048" i="1"/>
  <c r="G3049" i="1"/>
  <c r="G3050" i="1"/>
  <c r="G3051" i="1"/>
  <c r="G3052" i="1"/>
  <c r="G3053" i="1"/>
  <c r="G3054" i="1"/>
  <c r="G3055" i="1"/>
  <c r="G3056" i="1"/>
  <c r="G3057" i="1"/>
  <c r="G3058" i="1"/>
  <c r="G3059" i="1"/>
  <c r="G3060" i="1"/>
  <c r="G3061" i="1"/>
  <c r="G3062" i="1"/>
  <c r="G3063" i="1"/>
  <c r="G3064" i="1"/>
  <c r="G3065" i="1"/>
  <c r="G3066" i="1"/>
  <c r="G3067" i="1"/>
  <c r="G3068" i="1"/>
  <c r="G3069" i="1"/>
  <c r="G3070" i="1"/>
  <c r="G3071" i="1"/>
  <c r="G3072" i="1"/>
  <c r="G3073" i="1"/>
  <c r="G3074" i="1"/>
  <c r="G3075" i="1"/>
  <c r="G3076" i="1"/>
  <c r="G3077" i="1"/>
  <c r="G3078" i="1"/>
  <c r="G3079" i="1"/>
  <c r="G3080" i="1"/>
  <c r="G3081" i="1"/>
  <c r="G3082" i="1"/>
  <c r="G3083" i="1"/>
  <c r="G3084" i="1"/>
  <c r="G3085" i="1"/>
  <c r="G3086" i="1"/>
  <c r="G3087" i="1"/>
  <c r="G3088" i="1"/>
  <c r="G3089" i="1"/>
  <c r="G3090" i="1"/>
  <c r="G3091" i="1"/>
  <c r="G3092" i="1"/>
  <c r="G3093" i="1"/>
  <c r="G3094" i="1"/>
  <c r="G3095" i="1"/>
  <c r="G3096" i="1"/>
  <c r="G3097" i="1"/>
  <c r="G3098" i="1"/>
  <c r="G3099" i="1"/>
  <c r="G3100" i="1"/>
  <c r="G3101" i="1"/>
  <c r="G3102" i="1"/>
  <c r="G3103" i="1"/>
  <c r="G3104" i="1"/>
  <c r="G3105" i="1"/>
  <c r="G3106" i="1"/>
  <c r="G3107" i="1"/>
  <c r="G3108" i="1"/>
  <c r="G3109" i="1"/>
  <c r="G3110" i="1"/>
  <c r="G3111" i="1"/>
  <c r="G3112" i="1"/>
  <c r="G3113" i="1"/>
  <c r="G3114" i="1"/>
  <c r="G3115" i="1"/>
  <c r="G3116" i="1"/>
  <c r="G3117" i="1"/>
  <c r="G3118" i="1"/>
  <c r="G3119" i="1"/>
  <c r="G3120" i="1"/>
  <c r="G3121" i="1"/>
  <c r="G3122" i="1"/>
  <c r="G3123" i="1"/>
  <c r="G3124" i="1"/>
  <c r="G3125" i="1"/>
  <c r="G3126" i="1"/>
  <c r="G3127" i="1"/>
  <c r="G3128" i="1"/>
  <c r="G3129" i="1"/>
  <c r="G3130" i="1"/>
  <c r="G3131" i="1"/>
  <c r="G3132" i="1"/>
  <c r="G3133" i="1"/>
  <c r="G3134" i="1"/>
  <c r="G3135" i="1"/>
  <c r="G3136" i="1"/>
  <c r="G3137" i="1"/>
  <c r="G3138" i="1"/>
  <c r="G3139" i="1"/>
  <c r="G3140" i="1"/>
  <c r="G3141" i="1"/>
  <c r="G3142" i="1"/>
  <c r="G3143" i="1"/>
  <c r="G3144" i="1"/>
  <c r="G3145" i="1"/>
  <c r="G3146" i="1"/>
  <c r="G3147" i="1"/>
  <c r="G3148" i="1"/>
  <c r="G3149" i="1"/>
  <c r="G3150" i="1"/>
  <c r="G3151" i="1"/>
  <c r="G3152" i="1"/>
  <c r="G3153" i="1"/>
  <c r="G3154" i="1"/>
  <c r="G3155" i="1"/>
  <c r="G3156" i="1"/>
  <c r="G3157" i="1"/>
  <c r="G3158" i="1"/>
  <c r="G3159" i="1"/>
  <c r="G3160" i="1"/>
  <c r="G3161" i="1"/>
  <c r="G3162" i="1"/>
  <c r="G3163" i="1"/>
  <c r="G3164" i="1"/>
  <c r="G3165" i="1"/>
  <c r="G3166" i="1"/>
  <c r="G3167" i="1"/>
  <c r="G3168" i="1"/>
  <c r="G3169" i="1"/>
  <c r="G3170" i="1"/>
  <c r="G3171" i="1"/>
  <c r="G3172" i="1"/>
  <c r="G3173" i="1"/>
  <c r="G3174" i="1"/>
  <c r="G3175" i="1"/>
  <c r="G3176" i="1"/>
  <c r="G3177" i="1"/>
  <c r="G3178" i="1"/>
  <c r="G3179" i="1"/>
  <c r="G3180" i="1"/>
  <c r="G3181" i="1"/>
  <c r="G3182" i="1"/>
  <c r="G3183" i="1"/>
  <c r="G3184" i="1"/>
  <c r="G3185" i="1"/>
  <c r="G3186" i="1"/>
  <c r="G3187" i="1"/>
  <c r="G3188" i="1"/>
  <c r="G3189" i="1"/>
  <c r="G3190" i="1"/>
  <c r="G3191" i="1"/>
  <c r="G3192" i="1"/>
  <c r="G3193" i="1"/>
  <c r="G3194" i="1"/>
  <c r="G3195" i="1"/>
  <c r="G3196" i="1"/>
  <c r="G3197" i="1"/>
  <c r="G3198" i="1"/>
  <c r="G3199" i="1"/>
  <c r="G3200" i="1"/>
  <c r="G3201" i="1"/>
  <c r="G3202" i="1"/>
  <c r="G3203" i="1"/>
  <c r="G3204" i="1"/>
  <c r="G3205" i="1"/>
  <c r="G3206" i="1"/>
  <c r="G3207" i="1"/>
  <c r="G3208" i="1"/>
  <c r="G3209" i="1"/>
  <c r="G3210" i="1"/>
  <c r="G3211" i="1"/>
  <c r="G3212" i="1"/>
  <c r="G3213" i="1"/>
  <c r="G3214" i="1"/>
  <c r="G3215" i="1"/>
  <c r="G3216" i="1"/>
  <c r="G3217" i="1"/>
  <c r="G3218" i="1"/>
  <c r="G3219" i="1"/>
  <c r="G3220" i="1"/>
  <c r="G3221" i="1"/>
  <c r="G3222" i="1"/>
  <c r="G3223" i="1"/>
  <c r="G3224" i="1"/>
  <c r="G3225" i="1"/>
  <c r="G3226" i="1"/>
  <c r="G3227" i="1"/>
  <c r="G3228" i="1"/>
  <c r="G3229" i="1"/>
  <c r="G3230" i="1"/>
  <c r="G3231" i="1"/>
  <c r="G3232" i="1"/>
  <c r="G3233" i="1"/>
  <c r="G3234" i="1"/>
  <c r="G3235" i="1"/>
  <c r="G3236" i="1"/>
  <c r="G3237" i="1"/>
  <c r="G3238" i="1"/>
  <c r="G3239" i="1"/>
  <c r="G3240" i="1"/>
  <c r="G3241" i="1"/>
  <c r="G3242" i="1"/>
  <c r="G3243" i="1"/>
  <c r="G3244" i="1"/>
  <c r="G3245" i="1"/>
  <c r="G3246" i="1"/>
  <c r="G3247" i="1"/>
  <c r="G3248" i="1"/>
  <c r="G3249" i="1"/>
  <c r="G3250" i="1"/>
  <c r="G3251" i="1"/>
  <c r="G3252" i="1"/>
  <c r="G3253" i="1"/>
  <c r="G3254" i="1"/>
  <c r="G3255" i="1"/>
  <c r="G3256" i="1"/>
  <c r="G3257" i="1"/>
  <c r="G3258" i="1"/>
  <c r="G3259" i="1"/>
  <c r="G3260" i="1"/>
  <c r="G3261" i="1"/>
  <c r="G3262" i="1"/>
  <c r="G3263" i="1"/>
  <c r="G3264" i="1"/>
  <c r="G3265" i="1"/>
  <c r="G3266" i="1"/>
  <c r="G3267" i="1"/>
  <c r="G3268" i="1"/>
  <c r="G3269" i="1"/>
  <c r="G3270" i="1"/>
  <c r="G3271" i="1"/>
  <c r="G3272" i="1"/>
  <c r="G3273" i="1"/>
  <c r="G3274" i="1"/>
  <c r="G3275" i="1"/>
  <c r="G3276" i="1"/>
  <c r="G3277" i="1"/>
  <c r="G3278" i="1"/>
  <c r="G3279" i="1"/>
  <c r="G3280" i="1"/>
  <c r="G3281" i="1"/>
  <c r="G3282" i="1"/>
  <c r="G3283" i="1"/>
  <c r="G3284" i="1"/>
  <c r="G3285" i="1"/>
  <c r="G3286" i="1"/>
  <c r="G3287" i="1"/>
  <c r="G3288" i="1"/>
  <c r="G3289" i="1"/>
  <c r="G3290" i="1"/>
  <c r="G3291" i="1"/>
  <c r="G3292" i="1"/>
  <c r="G3293" i="1"/>
  <c r="G3294" i="1"/>
  <c r="G3295" i="1"/>
  <c r="G3296" i="1"/>
  <c r="G3297" i="1"/>
  <c r="G3298" i="1"/>
  <c r="G3299" i="1"/>
  <c r="G3300" i="1"/>
  <c r="G3301" i="1"/>
  <c r="G3302" i="1"/>
  <c r="G3303" i="1"/>
  <c r="G3304" i="1"/>
  <c r="G3305" i="1"/>
  <c r="G3306" i="1"/>
  <c r="G3307" i="1"/>
  <c r="G3308" i="1"/>
  <c r="G3309" i="1"/>
  <c r="G3310" i="1"/>
  <c r="G3311" i="1"/>
  <c r="G3312" i="1"/>
  <c r="G3313" i="1"/>
  <c r="G3314" i="1"/>
  <c r="G3315" i="1"/>
  <c r="G3316" i="1"/>
  <c r="G3317" i="1"/>
  <c r="G3318" i="1"/>
  <c r="G3319" i="1"/>
  <c r="G3320" i="1"/>
  <c r="G3321" i="1"/>
  <c r="G3322" i="1"/>
  <c r="G3323" i="1"/>
  <c r="G3324" i="1"/>
  <c r="G3325" i="1"/>
  <c r="G3326" i="1"/>
  <c r="G3327" i="1"/>
  <c r="G3328" i="1"/>
  <c r="G3329" i="1"/>
  <c r="G3330" i="1"/>
  <c r="G3331" i="1"/>
  <c r="G3332" i="1"/>
  <c r="G3333" i="1"/>
  <c r="G3334" i="1"/>
  <c r="G3335" i="1"/>
  <c r="G3336" i="1"/>
  <c r="G3337" i="1"/>
  <c r="G3338" i="1"/>
  <c r="G3339" i="1"/>
  <c r="G3340" i="1"/>
  <c r="G3341" i="1"/>
  <c r="G3342" i="1"/>
  <c r="G3343" i="1"/>
  <c r="G3344" i="1"/>
  <c r="G3345" i="1"/>
  <c r="G3346" i="1"/>
  <c r="G3347" i="1"/>
  <c r="G3348" i="1"/>
  <c r="G3349" i="1"/>
  <c r="G3350" i="1"/>
  <c r="G3351" i="1"/>
  <c r="G3352" i="1"/>
  <c r="G3353" i="1"/>
  <c r="G3354" i="1"/>
  <c r="G3355" i="1"/>
  <c r="G3356" i="1"/>
  <c r="G3357" i="1"/>
  <c r="G3358" i="1"/>
  <c r="G3359" i="1"/>
  <c r="G3360" i="1"/>
  <c r="G3361" i="1"/>
  <c r="G3362" i="1"/>
  <c r="G3363" i="1"/>
  <c r="G3364" i="1"/>
  <c r="G3365" i="1"/>
  <c r="G3366" i="1"/>
  <c r="G3367" i="1"/>
  <c r="G3368" i="1"/>
  <c r="G3369" i="1"/>
  <c r="G3370" i="1"/>
  <c r="G3371" i="1"/>
  <c r="G3372" i="1"/>
  <c r="G3373" i="1"/>
  <c r="G3374" i="1"/>
  <c r="G3375" i="1"/>
  <c r="G3376" i="1"/>
  <c r="G3377" i="1"/>
  <c r="G3378" i="1"/>
  <c r="G3379" i="1"/>
  <c r="G3380" i="1"/>
  <c r="G3381" i="1"/>
  <c r="G3382" i="1"/>
  <c r="G3383" i="1"/>
  <c r="G3384" i="1"/>
  <c r="G3385" i="1"/>
  <c r="G3386" i="1"/>
  <c r="G3387" i="1"/>
  <c r="G3388" i="1"/>
  <c r="G3389" i="1"/>
  <c r="G3390" i="1"/>
  <c r="G3391" i="1"/>
  <c r="G3392" i="1"/>
  <c r="G3393" i="1"/>
  <c r="G3394" i="1"/>
  <c r="G3395" i="1"/>
  <c r="G3396" i="1"/>
  <c r="G3397" i="1"/>
  <c r="G3398" i="1"/>
  <c r="G3399" i="1"/>
  <c r="G3400" i="1"/>
  <c r="G3401" i="1"/>
  <c r="G3402" i="1"/>
  <c r="G3403" i="1"/>
  <c r="G3404" i="1"/>
  <c r="G3405" i="1"/>
  <c r="G3406" i="1"/>
  <c r="G3407" i="1"/>
  <c r="G3408" i="1"/>
  <c r="G3409" i="1"/>
  <c r="G3410" i="1"/>
  <c r="G3411" i="1"/>
  <c r="G3412" i="1"/>
  <c r="G3413" i="1"/>
  <c r="G3414" i="1"/>
  <c r="G3415" i="1"/>
  <c r="G3416" i="1"/>
  <c r="G3417" i="1"/>
  <c r="G3418" i="1"/>
  <c r="G3419" i="1"/>
  <c r="G3420" i="1"/>
  <c r="G3421" i="1"/>
  <c r="G3422" i="1"/>
  <c r="G3423" i="1"/>
  <c r="G3424" i="1"/>
  <c r="G3425" i="1"/>
  <c r="G3426" i="1"/>
  <c r="G3427" i="1"/>
  <c r="G3428" i="1"/>
  <c r="G3429" i="1"/>
  <c r="G3430" i="1"/>
  <c r="G3431" i="1"/>
  <c r="G3432" i="1"/>
  <c r="G3433" i="1"/>
  <c r="G3434" i="1"/>
  <c r="G3435" i="1"/>
  <c r="G3436" i="1"/>
  <c r="G3437" i="1"/>
  <c r="G3438" i="1"/>
  <c r="G3439" i="1"/>
  <c r="G3440" i="1"/>
  <c r="G3441" i="1"/>
  <c r="G3442" i="1"/>
  <c r="G3443" i="1"/>
  <c r="G3444" i="1"/>
  <c r="G3445" i="1"/>
  <c r="G3446" i="1"/>
  <c r="G3447" i="1"/>
  <c r="G3448" i="1"/>
  <c r="G3449" i="1"/>
  <c r="G3450" i="1"/>
  <c r="G3451" i="1"/>
  <c r="G3452" i="1"/>
  <c r="G3453" i="1"/>
  <c r="G3454" i="1"/>
  <c r="G3455" i="1"/>
  <c r="G3456" i="1"/>
  <c r="G3457" i="1"/>
  <c r="G3458" i="1"/>
  <c r="G3459" i="1"/>
  <c r="G3460" i="1"/>
  <c r="G3461" i="1"/>
  <c r="G3462" i="1"/>
  <c r="G3463" i="1"/>
  <c r="G3464" i="1"/>
  <c r="G3465" i="1"/>
  <c r="G3466" i="1"/>
  <c r="G3467" i="1"/>
  <c r="G3468" i="1"/>
  <c r="G3469" i="1"/>
  <c r="G3470" i="1"/>
  <c r="G3471" i="1"/>
  <c r="G3472" i="1"/>
  <c r="G3473" i="1"/>
  <c r="G3474" i="1"/>
  <c r="G3475" i="1"/>
  <c r="G3476" i="1"/>
  <c r="G3477" i="1"/>
  <c r="G3478" i="1"/>
  <c r="G3479" i="1"/>
  <c r="G3480" i="1"/>
  <c r="G3481" i="1"/>
  <c r="G3482" i="1"/>
  <c r="G3483" i="1"/>
  <c r="G3484" i="1"/>
  <c r="G3485" i="1"/>
  <c r="G3486" i="1"/>
  <c r="G3487" i="1"/>
  <c r="G3488" i="1"/>
  <c r="G3489" i="1"/>
  <c r="G3490" i="1"/>
  <c r="G3491" i="1"/>
  <c r="G3492" i="1"/>
  <c r="G3493" i="1"/>
  <c r="G3494" i="1"/>
  <c r="G3495" i="1"/>
  <c r="G3496" i="1"/>
  <c r="G3497" i="1"/>
  <c r="G3498" i="1"/>
  <c r="G3499" i="1"/>
  <c r="G3500" i="1"/>
  <c r="G3501" i="1"/>
  <c r="G3502" i="1"/>
  <c r="G3503" i="1"/>
  <c r="G3504" i="1"/>
  <c r="G3505" i="1"/>
  <c r="G3506" i="1"/>
  <c r="G3507" i="1"/>
  <c r="G3508" i="1"/>
  <c r="G3509" i="1"/>
  <c r="G3510" i="1"/>
  <c r="G3511" i="1"/>
  <c r="G3512" i="1"/>
  <c r="G3513" i="1"/>
  <c r="G3514" i="1"/>
  <c r="G3515" i="1"/>
  <c r="G3516" i="1"/>
  <c r="G3517" i="1"/>
  <c r="G3518" i="1"/>
  <c r="G3519" i="1"/>
  <c r="G3520" i="1"/>
  <c r="G3521" i="1"/>
  <c r="G3522" i="1"/>
  <c r="G3523" i="1"/>
  <c r="G3524" i="1"/>
  <c r="G3525" i="1"/>
  <c r="G3526" i="1"/>
  <c r="G3527" i="1"/>
  <c r="G3528" i="1"/>
  <c r="G3529" i="1"/>
  <c r="G3530" i="1"/>
  <c r="G3531" i="1"/>
  <c r="G3532" i="1"/>
  <c r="G3533" i="1"/>
  <c r="G3534" i="1"/>
  <c r="G3535" i="1"/>
  <c r="G3536" i="1"/>
  <c r="G3537" i="1"/>
  <c r="G3538" i="1"/>
  <c r="G3539" i="1"/>
  <c r="G3540" i="1"/>
  <c r="G3541" i="1"/>
  <c r="G3542" i="1"/>
  <c r="G3543" i="1"/>
  <c r="G3544" i="1"/>
  <c r="G3545" i="1"/>
  <c r="G3546" i="1"/>
  <c r="G3547" i="1"/>
  <c r="G3548" i="1"/>
  <c r="G3549" i="1"/>
  <c r="G3550" i="1"/>
  <c r="G3551" i="1"/>
  <c r="G3552" i="1"/>
  <c r="G3553" i="1"/>
  <c r="G3554" i="1"/>
  <c r="G3555" i="1"/>
  <c r="G3556" i="1"/>
  <c r="G3557" i="1"/>
  <c r="G3558" i="1"/>
  <c r="G3559" i="1"/>
  <c r="G3560" i="1"/>
  <c r="G3561" i="1"/>
  <c r="G3562" i="1"/>
  <c r="G3563" i="1"/>
  <c r="G3564" i="1"/>
  <c r="G3565" i="1"/>
  <c r="G3566" i="1"/>
  <c r="G3567" i="1"/>
  <c r="G3568" i="1"/>
  <c r="G3569" i="1"/>
  <c r="G3570" i="1"/>
  <c r="G3571" i="1"/>
  <c r="G3572" i="1"/>
  <c r="G3573" i="1"/>
  <c r="G3574" i="1"/>
  <c r="G3575" i="1"/>
  <c r="G3576" i="1"/>
  <c r="G3577" i="1"/>
  <c r="G3578" i="1"/>
  <c r="G3579" i="1"/>
  <c r="G3580" i="1"/>
  <c r="G3581" i="1"/>
  <c r="G3582" i="1"/>
  <c r="G3583" i="1"/>
  <c r="G3584" i="1"/>
  <c r="G3585" i="1"/>
  <c r="G3586" i="1"/>
  <c r="G3587" i="1"/>
  <c r="G3588" i="1"/>
  <c r="G3589" i="1"/>
  <c r="G3590" i="1"/>
  <c r="G3591" i="1"/>
  <c r="G3592" i="1"/>
  <c r="G3593" i="1"/>
  <c r="G3594" i="1"/>
  <c r="G3595" i="1"/>
  <c r="G3596" i="1"/>
  <c r="G3597" i="1"/>
  <c r="G3598" i="1"/>
  <c r="G3599" i="1"/>
  <c r="G3600" i="1"/>
  <c r="G3601" i="1"/>
  <c r="G3602" i="1"/>
  <c r="G3603" i="1"/>
  <c r="G3604" i="1"/>
  <c r="G3605" i="1"/>
  <c r="G3606" i="1"/>
  <c r="G3607" i="1"/>
  <c r="G3608" i="1"/>
  <c r="G3609" i="1"/>
  <c r="G3610" i="1"/>
  <c r="G3611" i="1"/>
  <c r="G3612" i="1"/>
  <c r="G3613" i="1"/>
  <c r="G3614" i="1"/>
  <c r="G3615" i="1"/>
  <c r="G3616" i="1"/>
  <c r="G3617" i="1"/>
  <c r="G3618" i="1"/>
  <c r="G3619" i="1"/>
  <c r="G3620" i="1"/>
  <c r="G3621" i="1"/>
  <c r="G3622" i="1"/>
  <c r="G3623" i="1"/>
  <c r="G3624" i="1"/>
  <c r="G3625" i="1"/>
  <c r="G3626" i="1"/>
  <c r="G3627" i="1"/>
  <c r="G3628" i="1"/>
  <c r="G3629" i="1"/>
  <c r="G3630" i="1"/>
  <c r="G3631" i="1"/>
  <c r="G3632" i="1"/>
  <c r="G3633" i="1"/>
  <c r="G3634" i="1"/>
  <c r="G3635" i="1"/>
  <c r="G3636" i="1"/>
  <c r="G3637" i="1"/>
  <c r="G3638" i="1"/>
  <c r="G3639" i="1"/>
  <c r="G3640" i="1"/>
  <c r="G3641" i="1"/>
  <c r="G3642" i="1"/>
  <c r="G3643" i="1"/>
  <c r="G3644" i="1"/>
  <c r="G3645" i="1"/>
  <c r="G3646" i="1"/>
  <c r="G3647" i="1"/>
  <c r="G3648" i="1"/>
  <c r="G3649" i="1"/>
  <c r="G3650" i="1"/>
  <c r="G3651" i="1"/>
  <c r="G3652" i="1"/>
  <c r="G3653" i="1"/>
  <c r="G3654" i="1"/>
  <c r="G3655" i="1"/>
  <c r="G3656" i="1"/>
  <c r="G3657" i="1"/>
  <c r="G3658" i="1"/>
  <c r="G3659" i="1"/>
  <c r="G3660" i="1"/>
  <c r="G3661" i="1"/>
  <c r="G3662" i="1"/>
  <c r="G3663" i="1"/>
  <c r="G3664" i="1"/>
  <c r="G3665" i="1"/>
  <c r="G3666" i="1"/>
  <c r="G3667" i="1"/>
  <c r="G3668" i="1"/>
  <c r="G3669" i="1"/>
  <c r="G3670" i="1"/>
  <c r="G3671" i="1"/>
  <c r="G3672" i="1"/>
  <c r="G3673" i="1"/>
  <c r="G3674" i="1"/>
  <c r="G3675" i="1"/>
  <c r="G3676" i="1"/>
  <c r="G3677" i="1"/>
  <c r="G3678" i="1"/>
  <c r="G3679" i="1"/>
  <c r="G3680" i="1"/>
  <c r="G3681" i="1"/>
  <c r="G3682" i="1"/>
  <c r="G3683" i="1"/>
  <c r="G3684" i="1"/>
  <c r="G3685" i="1"/>
  <c r="G3686" i="1"/>
  <c r="G3687" i="1"/>
  <c r="G3688" i="1"/>
  <c r="G3689" i="1"/>
  <c r="G3690" i="1"/>
  <c r="G3691" i="1"/>
  <c r="G3692" i="1"/>
  <c r="G3693" i="1"/>
  <c r="G3694" i="1"/>
  <c r="G3695" i="1"/>
  <c r="G3696" i="1"/>
  <c r="G3697" i="1"/>
  <c r="G3698" i="1"/>
  <c r="G3699" i="1"/>
  <c r="G3700" i="1"/>
  <c r="G3701" i="1"/>
  <c r="G3702" i="1"/>
  <c r="G3703" i="1"/>
  <c r="G3704" i="1"/>
  <c r="G3705" i="1"/>
  <c r="G3706" i="1"/>
  <c r="G3707" i="1"/>
  <c r="G3708" i="1"/>
  <c r="G3709" i="1"/>
  <c r="G3710" i="1"/>
  <c r="G3711" i="1"/>
  <c r="G3712" i="1"/>
  <c r="G3713" i="1"/>
  <c r="G3714" i="1"/>
  <c r="G3715" i="1"/>
  <c r="G3716" i="1"/>
  <c r="G3717" i="1"/>
  <c r="G3718" i="1"/>
  <c r="G3719" i="1"/>
  <c r="G3720" i="1"/>
  <c r="G3721" i="1"/>
  <c r="G3722" i="1"/>
  <c r="G3723" i="1"/>
  <c r="G3724" i="1"/>
  <c r="G3725" i="1"/>
  <c r="G3726" i="1"/>
  <c r="G3727" i="1"/>
  <c r="G3728" i="1"/>
  <c r="G3729" i="1"/>
  <c r="G3730" i="1"/>
  <c r="G3731" i="1"/>
  <c r="G3732" i="1"/>
  <c r="G3733" i="1"/>
  <c r="G3734" i="1"/>
  <c r="G3735" i="1"/>
  <c r="G3736" i="1"/>
  <c r="G3737" i="1"/>
  <c r="G3738" i="1"/>
  <c r="G3739" i="1"/>
  <c r="G3740" i="1"/>
  <c r="G3741" i="1"/>
  <c r="G3742" i="1"/>
  <c r="G3743" i="1"/>
  <c r="G3744" i="1"/>
  <c r="G3745" i="1"/>
  <c r="G3746" i="1"/>
  <c r="G3747" i="1"/>
  <c r="G3748" i="1"/>
  <c r="G3749" i="1"/>
  <c r="G3750" i="1"/>
  <c r="G3751" i="1"/>
  <c r="G3752" i="1"/>
  <c r="G3753" i="1"/>
  <c r="G3754" i="1"/>
  <c r="G3755" i="1"/>
  <c r="G3756" i="1"/>
  <c r="G3757" i="1"/>
  <c r="G3758" i="1"/>
  <c r="G3759" i="1"/>
  <c r="G3760" i="1"/>
  <c r="G3761" i="1"/>
  <c r="G3762" i="1"/>
  <c r="G3763" i="1"/>
  <c r="G3764" i="1"/>
  <c r="G3765" i="1"/>
  <c r="G3766" i="1"/>
  <c r="G3767" i="1"/>
  <c r="G3768" i="1"/>
  <c r="G3769" i="1"/>
  <c r="G3770" i="1"/>
  <c r="G3771" i="1"/>
  <c r="G3772" i="1"/>
  <c r="G3773" i="1"/>
  <c r="G3774" i="1"/>
  <c r="G3775" i="1"/>
  <c r="G3776" i="1"/>
  <c r="G3777" i="1"/>
  <c r="G3778" i="1"/>
  <c r="G3779" i="1"/>
  <c r="G3780" i="1"/>
  <c r="G3781" i="1"/>
  <c r="G3782" i="1"/>
  <c r="G3783" i="1"/>
  <c r="G3784" i="1"/>
  <c r="G3785" i="1"/>
  <c r="G3786" i="1"/>
  <c r="G3787" i="1"/>
  <c r="G3788" i="1"/>
  <c r="G3789" i="1"/>
  <c r="G3790" i="1"/>
  <c r="G3791" i="1"/>
  <c r="G3792" i="1"/>
  <c r="G3793" i="1"/>
  <c r="G3794" i="1"/>
  <c r="G3795" i="1"/>
  <c r="G3796" i="1"/>
  <c r="G3797" i="1"/>
  <c r="G3798" i="1"/>
  <c r="G3799" i="1"/>
  <c r="G3800" i="1"/>
  <c r="G3801" i="1"/>
  <c r="G3802" i="1"/>
  <c r="G3803" i="1"/>
  <c r="G3804" i="1"/>
  <c r="G3805" i="1"/>
  <c r="G3806" i="1"/>
  <c r="G3807" i="1"/>
  <c r="G3808" i="1"/>
  <c r="G3809" i="1"/>
  <c r="G3810" i="1"/>
  <c r="G3811" i="1"/>
  <c r="G3812" i="1"/>
  <c r="G3813" i="1"/>
  <c r="G3814" i="1"/>
  <c r="G3815" i="1"/>
  <c r="G3816" i="1"/>
  <c r="G3817" i="1"/>
  <c r="G3818" i="1"/>
  <c r="G3819" i="1"/>
  <c r="G3820" i="1"/>
  <c r="G3821" i="1"/>
  <c r="G3822" i="1"/>
  <c r="G3823" i="1"/>
  <c r="G3824" i="1"/>
  <c r="G3825" i="1"/>
  <c r="G3826" i="1"/>
  <c r="G3827" i="1"/>
  <c r="G3828" i="1"/>
  <c r="G3829" i="1"/>
  <c r="G3830" i="1"/>
  <c r="G3831" i="1"/>
  <c r="G3832" i="1"/>
  <c r="G3833" i="1"/>
  <c r="G3834" i="1"/>
  <c r="G3835" i="1"/>
  <c r="G3836" i="1"/>
  <c r="G3837" i="1"/>
  <c r="G3838" i="1"/>
  <c r="G3839" i="1"/>
  <c r="G3840" i="1"/>
  <c r="G3841" i="1"/>
  <c r="G3842" i="1"/>
  <c r="G3843" i="1"/>
  <c r="G3844" i="1"/>
  <c r="G3845" i="1"/>
  <c r="G3846" i="1"/>
  <c r="G3847" i="1"/>
  <c r="G3848" i="1"/>
  <c r="G3849" i="1"/>
  <c r="G3850" i="1"/>
  <c r="G3851" i="1"/>
  <c r="G3852" i="1"/>
  <c r="G3853" i="1"/>
  <c r="G3854" i="1"/>
  <c r="G3855" i="1"/>
  <c r="G3856" i="1"/>
  <c r="G3857" i="1"/>
  <c r="G3858" i="1"/>
  <c r="G3859" i="1"/>
  <c r="G3860" i="1"/>
  <c r="G3861" i="1"/>
  <c r="G3862" i="1"/>
  <c r="G3863" i="1"/>
  <c r="G3864" i="1"/>
  <c r="G3865" i="1"/>
  <c r="G3866" i="1"/>
  <c r="G3867" i="1"/>
  <c r="G3868" i="1"/>
  <c r="G3869" i="1"/>
  <c r="G3870" i="1"/>
  <c r="G3871" i="1"/>
  <c r="G3872" i="1"/>
  <c r="G3873" i="1"/>
  <c r="G2" i="1"/>
  <c r="T8" i="4" l="1"/>
  <c r="T7" i="4"/>
  <c r="J8" i="4"/>
  <c r="N8" i="4"/>
  <c r="J7" i="4"/>
  <c r="N7" i="4"/>
  <c r="C8" i="4"/>
  <c r="G8" i="4"/>
  <c r="C7" i="4"/>
  <c r="G7" i="4"/>
  <c r="A4" i="24" l="1"/>
  <c r="D14" i="24"/>
  <c r="F14" i="24"/>
  <c r="I7" i="23" l="1"/>
  <c r="D9" i="23"/>
  <c r="I8" i="23"/>
  <c r="D11" i="23"/>
  <c r="E11" i="23"/>
  <c r="E10" i="23"/>
  <c r="E9" i="23"/>
  <c r="U8" i="23"/>
  <c r="T8" i="23"/>
  <c r="S8" i="23"/>
  <c r="R8" i="23"/>
  <c r="Q8" i="23"/>
  <c r="P8" i="23"/>
  <c r="O8" i="23"/>
  <c r="N8" i="23"/>
  <c r="J8" i="23"/>
  <c r="G8" i="23"/>
  <c r="E8" i="23"/>
  <c r="D8" i="23"/>
  <c r="C8" i="23"/>
  <c r="J7" i="23"/>
  <c r="G7" i="23"/>
  <c r="E7" i="23"/>
  <c r="D7" i="23"/>
  <c r="C7" i="23"/>
  <c r="J6" i="23"/>
  <c r="I6" i="23"/>
  <c r="H6" i="23"/>
  <c r="G6" i="23"/>
  <c r="F6" i="23"/>
  <c r="E6" i="23"/>
  <c r="D6" i="23"/>
  <c r="C6" i="23"/>
  <c r="D8" i="22"/>
  <c r="D11" i="22"/>
  <c r="E11" i="22"/>
  <c r="E10" i="22"/>
  <c r="E9" i="22"/>
  <c r="V8" i="22"/>
  <c r="U8" i="22"/>
  <c r="T8" i="22"/>
  <c r="S8" i="22"/>
  <c r="R8" i="22"/>
  <c r="Q8" i="22"/>
  <c r="P8" i="22"/>
  <c r="O8" i="22"/>
  <c r="J8" i="22"/>
  <c r="G8" i="22"/>
  <c r="E8" i="22"/>
  <c r="J7" i="22"/>
  <c r="G7" i="22"/>
  <c r="E7" i="22"/>
  <c r="J6" i="22"/>
  <c r="I6" i="22"/>
  <c r="H6" i="22"/>
  <c r="G6" i="22"/>
  <c r="F6" i="22"/>
  <c r="E6" i="22"/>
  <c r="D6" i="22"/>
  <c r="C6" i="22"/>
  <c r="E7" i="21"/>
  <c r="D8" i="21"/>
  <c r="D11" i="21"/>
  <c r="E11" i="21"/>
  <c r="E10" i="21"/>
  <c r="E9" i="21"/>
  <c r="V8" i="21"/>
  <c r="U8" i="21"/>
  <c r="T8" i="21"/>
  <c r="S8" i="21"/>
  <c r="R8" i="21"/>
  <c r="Q8" i="21"/>
  <c r="P8" i="21"/>
  <c r="O8" i="21"/>
  <c r="J6" i="21"/>
  <c r="I6" i="21"/>
  <c r="H6" i="21"/>
  <c r="G6" i="21"/>
  <c r="F6" i="21"/>
  <c r="E6" i="21"/>
  <c r="D6" i="21"/>
  <c r="C6" i="21"/>
  <c r="G9" i="20"/>
  <c r="D7" i="20"/>
  <c r="C11" i="20"/>
  <c r="F8" i="20"/>
  <c r="F11" i="20"/>
  <c r="V8" i="20"/>
  <c r="U8" i="20"/>
  <c r="T8" i="20"/>
  <c r="S8" i="20"/>
  <c r="R8" i="20"/>
  <c r="Q8" i="20"/>
  <c r="P8" i="20"/>
  <c r="O8" i="20"/>
  <c r="H8" i="20"/>
  <c r="G8" i="20"/>
  <c r="H7" i="20"/>
  <c r="G7" i="20"/>
  <c r="J6" i="20"/>
  <c r="I6" i="20"/>
  <c r="H6" i="20"/>
  <c r="G6" i="20"/>
  <c r="F6" i="20"/>
  <c r="E6" i="20"/>
  <c r="D6" i="20"/>
  <c r="C6" i="20"/>
  <c r="H11" i="19"/>
  <c r="G8" i="19"/>
  <c r="G11" i="19"/>
  <c r="I11" i="19"/>
  <c r="I10" i="19"/>
  <c r="I9" i="19"/>
  <c r="V8" i="19"/>
  <c r="U8" i="19"/>
  <c r="T8" i="19"/>
  <c r="S8" i="19"/>
  <c r="R8" i="19"/>
  <c r="Q8" i="19"/>
  <c r="P8" i="19"/>
  <c r="O8" i="19"/>
  <c r="I8" i="19"/>
  <c r="H8" i="19"/>
  <c r="C8" i="19"/>
  <c r="J7" i="19"/>
  <c r="I7" i="19"/>
  <c r="H7" i="19"/>
  <c r="G7" i="19"/>
  <c r="F7" i="19"/>
  <c r="E7" i="19"/>
  <c r="D7" i="19"/>
  <c r="C7" i="19"/>
  <c r="J6" i="19"/>
  <c r="I6" i="19"/>
  <c r="H6" i="19"/>
  <c r="G6" i="19"/>
  <c r="F6" i="19"/>
  <c r="E6" i="19"/>
  <c r="D6" i="19"/>
  <c r="C6" i="19"/>
  <c r="E10" i="18"/>
  <c r="F11" i="18"/>
  <c r="G11" i="18"/>
  <c r="G10" i="18"/>
  <c r="G9" i="18"/>
  <c r="V8" i="18"/>
  <c r="U8" i="18"/>
  <c r="T8" i="18"/>
  <c r="S8" i="18"/>
  <c r="R8" i="18"/>
  <c r="Q8" i="18"/>
  <c r="P8" i="18"/>
  <c r="O8" i="18"/>
  <c r="J8" i="18"/>
  <c r="I8" i="18"/>
  <c r="H8" i="18"/>
  <c r="G8" i="18"/>
  <c r="F8" i="18"/>
  <c r="E8" i="18"/>
  <c r="D8" i="18"/>
  <c r="C8" i="18"/>
  <c r="J7" i="18"/>
  <c r="I7" i="18"/>
  <c r="H7" i="18"/>
  <c r="G7" i="18"/>
  <c r="F7" i="18"/>
  <c r="E7" i="18"/>
  <c r="D7" i="18"/>
  <c r="C7" i="18"/>
  <c r="J6" i="18"/>
  <c r="I6" i="18"/>
  <c r="H6" i="18"/>
  <c r="G6" i="18"/>
  <c r="F6" i="18"/>
  <c r="E6" i="18"/>
  <c r="D6" i="18"/>
  <c r="C6" i="18"/>
  <c r="J8" i="17"/>
  <c r="J11" i="17"/>
  <c r="I11" i="17"/>
  <c r="H11" i="17"/>
  <c r="I10" i="17"/>
  <c r="H10" i="17"/>
  <c r="C10" i="17"/>
  <c r="I9" i="17"/>
  <c r="H9" i="17"/>
  <c r="C9" i="17"/>
  <c r="V8" i="17"/>
  <c r="U8" i="17"/>
  <c r="T8" i="17"/>
  <c r="S8" i="17"/>
  <c r="R8" i="17"/>
  <c r="Q8" i="17"/>
  <c r="P8" i="17"/>
  <c r="O8" i="17"/>
  <c r="I8" i="17"/>
  <c r="H8" i="17"/>
  <c r="C8" i="17"/>
  <c r="I7" i="17"/>
  <c r="H7" i="17"/>
  <c r="C7" i="17"/>
  <c r="J6" i="17"/>
  <c r="I6" i="17"/>
  <c r="H6" i="17"/>
  <c r="G6" i="17"/>
  <c r="F6" i="17"/>
  <c r="E6" i="17"/>
  <c r="D6" i="17"/>
  <c r="C6" i="17"/>
  <c r="J11" i="16"/>
  <c r="I11" i="16"/>
  <c r="H11" i="16"/>
  <c r="G11" i="16"/>
  <c r="F11" i="16"/>
  <c r="E11" i="16"/>
  <c r="D11" i="16"/>
  <c r="C11" i="16"/>
  <c r="J10" i="16"/>
  <c r="I10" i="16"/>
  <c r="H10" i="16"/>
  <c r="G10" i="16"/>
  <c r="F10" i="16"/>
  <c r="E10" i="16"/>
  <c r="D10" i="16"/>
  <c r="C10" i="16"/>
  <c r="J9" i="16"/>
  <c r="I9" i="16"/>
  <c r="H9" i="16"/>
  <c r="G9" i="16"/>
  <c r="F9" i="16"/>
  <c r="E9" i="16"/>
  <c r="D9" i="16"/>
  <c r="C9" i="16"/>
  <c r="V8" i="16"/>
  <c r="U8" i="16"/>
  <c r="T8" i="16"/>
  <c r="S8" i="16"/>
  <c r="R8" i="16"/>
  <c r="Q8" i="16"/>
  <c r="P8" i="16"/>
  <c r="O8" i="16"/>
  <c r="J8" i="16"/>
  <c r="I8" i="16"/>
  <c r="H8" i="16"/>
  <c r="G8" i="16"/>
  <c r="F8" i="16"/>
  <c r="E8" i="16"/>
  <c r="D8" i="16"/>
  <c r="C8" i="16"/>
  <c r="J7" i="16"/>
  <c r="I7" i="16"/>
  <c r="H7" i="16"/>
  <c r="G7" i="16"/>
  <c r="F7" i="16"/>
  <c r="E7" i="16"/>
  <c r="D7" i="16"/>
  <c r="C7" i="16"/>
  <c r="J6" i="16"/>
  <c r="I6" i="16"/>
  <c r="H6" i="16"/>
  <c r="G6" i="16"/>
  <c r="F6" i="16"/>
  <c r="E6" i="16"/>
  <c r="D6" i="16"/>
  <c r="C6" i="16"/>
  <c r="I57" i="24"/>
  <c r="L55" i="25" l="1"/>
  <c r="F7" i="23"/>
  <c r="F8" i="23"/>
  <c r="F9" i="23"/>
  <c r="F10" i="23"/>
  <c r="F11" i="23"/>
  <c r="G9" i="23"/>
  <c r="G10" i="23"/>
  <c r="G11" i="23"/>
  <c r="H7" i="23"/>
  <c r="H8" i="23"/>
  <c r="H9" i="23"/>
  <c r="H10" i="23"/>
  <c r="H11" i="23"/>
  <c r="I9" i="23"/>
  <c r="I10" i="23"/>
  <c r="I11" i="23"/>
  <c r="J9" i="23"/>
  <c r="J10" i="23"/>
  <c r="J11" i="23"/>
  <c r="C9" i="23"/>
  <c r="C10" i="23"/>
  <c r="C11" i="23"/>
  <c r="D10" i="23"/>
  <c r="F7" i="22"/>
  <c r="F8" i="22"/>
  <c r="F9" i="22"/>
  <c r="F10" i="22"/>
  <c r="F11" i="22"/>
  <c r="G10" i="22"/>
  <c r="H7" i="22"/>
  <c r="H8" i="22"/>
  <c r="H9" i="22"/>
  <c r="H10" i="22"/>
  <c r="H11" i="22"/>
  <c r="G9" i="22"/>
  <c r="G11" i="22"/>
  <c r="I7" i="22"/>
  <c r="I8" i="22"/>
  <c r="I9" i="22"/>
  <c r="I10" i="22"/>
  <c r="I11" i="22"/>
  <c r="J10" i="22"/>
  <c r="J9" i="22"/>
  <c r="C7" i="22"/>
  <c r="C8" i="22"/>
  <c r="C9" i="22"/>
  <c r="C10" i="22"/>
  <c r="C11" i="22"/>
  <c r="J11" i="22"/>
  <c r="D7" i="22"/>
  <c r="D9" i="22"/>
  <c r="D10" i="22"/>
  <c r="G7" i="21"/>
  <c r="G8" i="21"/>
  <c r="G9" i="21"/>
  <c r="G10" i="21"/>
  <c r="G11" i="21"/>
  <c r="H7" i="21"/>
  <c r="H8" i="21"/>
  <c r="H9" i="21"/>
  <c r="H10" i="21"/>
  <c r="H11" i="21"/>
  <c r="F7" i="21"/>
  <c r="F10" i="21"/>
  <c r="I7" i="21"/>
  <c r="I8" i="21"/>
  <c r="I9" i="21"/>
  <c r="I10" i="21"/>
  <c r="I11" i="21"/>
  <c r="E8" i="21"/>
  <c r="F8" i="21"/>
  <c r="J7" i="21"/>
  <c r="J8" i="21"/>
  <c r="J9" i="21"/>
  <c r="J10" i="21"/>
  <c r="J11" i="21"/>
  <c r="F9" i="21"/>
  <c r="C7" i="21"/>
  <c r="C8" i="21"/>
  <c r="C9" i="21"/>
  <c r="C10" i="21"/>
  <c r="C11" i="21"/>
  <c r="F11" i="21"/>
  <c r="D7" i="21"/>
  <c r="D9" i="21"/>
  <c r="D10" i="21"/>
  <c r="G10" i="20"/>
  <c r="H11" i="20"/>
  <c r="I7" i="20"/>
  <c r="I10" i="20"/>
  <c r="G11" i="20"/>
  <c r="H9" i="20"/>
  <c r="I8" i="20"/>
  <c r="I9" i="20"/>
  <c r="I11" i="20"/>
  <c r="J7" i="20"/>
  <c r="J8" i="20"/>
  <c r="J9" i="20"/>
  <c r="J10" i="20"/>
  <c r="J11" i="20"/>
  <c r="H10" i="20"/>
  <c r="C8" i="20"/>
  <c r="C10" i="20"/>
  <c r="D8" i="20"/>
  <c r="D9" i="20"/>
  <c r="D11" i="20"/>
  <c r="E7" i="20"/>
  <c r="E8" i="20"/>
  <c r="E9" i="20"/>
  <c r="E10" i="20"/>
  <c r="E11" i="20"/>
  <c r="C7" i="20"/>
  <c r="C9" i="20"/>
  <c r="D10" i="20"/>
  <c r="F7" i="20"/>
  <c r="F9" i="20"/>
  <c r="F10" i="20"/>
  <c r="J8" i="19"/>
  <c r="J9" i="19"/>
  <c r="J10" i="19"/>
  <c r="J11" i="19"/>
  <c r="C9" i="19"/>
  <c r="C10" i="19"/>
  <c r="C11" i="19"/>
  <c r="D8" i="19"/>
  <c r="D9" i="19"/>
  <c r="D10" i="19"/>
  <c r="D11" i="19"/>
  <c r="E8" i="19"/>
  <c r="E9" i="19"/>
  <c r="E10" i="19"/>
  <c r="E11" i="19"/>
  <c r="F8" i="19"/>
  <c r="F9" i="19"/>
  <c r="F10" i="19"/>
  <c r="F11" i="19"/>
  <c r="G9" i="19"/>
  <c r="G10" i="19"/>
  <c r="H9" i="19"/>
  <c r="H10" i="19"/>
  <c r="H9" i="18"/>
  <c r="H10" i="18"/>
  <c r="H11" i="18"/>
  <c r="I9" i="18"/>
  <c r="I11" i="18"/>
  <c r="J9" i="18"/>
  <c r="J10" i="18"/>
  <c r="J11" i="18"/>
  <c r="C9" i="18"/>
  <c r="C10" i="18"/>
  <c r="C11" i="18"/>
  <c r="I10" i="18"/>
  <c r="D9" i="18"/>
  <c r="D10" i="18"/>
  <c r="D11" i="18"/>
  <c r="E11" i="18"/>
  <c r="E9" i="18"/>
  <c r="F9" i="18"/>
  <c r="F10" i="18"/>
  <c r="D7" i="17"/>
  <c r="D8" i="17"/>
  <c r="D9" i="17"/>
  <c r="D10" i="17"/>
  <c r="D11" i="17"/>
  <c r="E7" i="17"/>
  <c r="E10" i="17"/>
  <c r="E11" i="17"/>
  <c r="E9" i="17"/>
  <c r="F7" i="17"/>
  <c r="F8" i="17"/>
  <c r="F9" i="17"/>
  <c r="F10" i="17"/>
  <c r="F11" i="17"/>
  <c r="C11" i="17"/>
  <c r="E8" i="17"/>
  <c r="G7" i="17"/>
  <c r="G8" i="17"/>
  <c r="G9" i="17"/>
  <c r="G10" i="17"/>
  <c r="G11" i="17"/>
  <c r="J7" i="17"/>
  <c r="J9" i="17"/>
  <c r="J10" i="17"/>
  <c r="A3" i="12" l="1"/>
  <c r="A2" i="12"/>
  <c r="A2" i="11"/>
  <c r="C12" i="11" l="1" a="1"/>
  <c r="C12" i="11" s="1"/>
  <c r="C8" i="11" a="1"/>
  <c r="C8" i="11" s="1"/>
  <c r="C11" i="11" a="1"/>
  <c r="C11" i="11" s="1"/>
  <c r="C7" i="11" a="1"/>
  <c r="C7" i="11" s="1"/>
  <c r="C10" i="11" a="1"/>
  <c r="C10" i="11" s="1"/>
  <c r="C9" i="11" a="1"/>
  <c r="C9" i="11" s="1"/>
  <c r="C12" i="12" a="1"/>
  <c r="C12" i="12" s="1"/>
  <c r="M12" i="12" a="1"/>
  <c r="M12" i="12" s="1"/>
  <c r="M12" i="4" s="1"/>
  <c r="D12" i="12" a="1"/>
  <c r="D12" i="12" s="1"/>
  <c r="P12" i="12" a="1"/>
  <c r="P12" i="12" s="1"/>
  <c r="Q12" i="12" a="1"/>
  <c r="Q12" i="12" s="1"/>
  <c r="Q12" i="4" s="1"/>
  <c r="F12" i="12" a="1"/>
  <c r="F12" i="12" s="1"/>
  <c r="R12" i="12" a="1"/>
  <c r="R12" i="12" s="1"/>
  <c r="R12" i="4" s="1"/>
  <c r="S12" i="12" a="1"/>
  <c r="S12" i="12" s="1"/>
  <c r="S12" i="4" s="1"/>
  <c r="J12" i="12" a="1"/>
  <c r="J12" i="12" s="1"/>
  <c r="J12" i="4" s="1"/>
  <c r="K12" i="12" a="1"/>
  <c r="K12" i="12" s="1"/>
  <c r="K12" i="4" s="1"/>
  <c r="B12" i="12" a="1"/>
  <c r="B12" i="12" s="1"/>
  <c r="E12" i="12" a="1"/>
  <c r="E12" i="12" s="1"/>
  <c r="L12" i="12" a="1"/>
  <c r="L12" i="12" s="1"/>
  <c r="L12" i="4" s="1"/>
  <c r="I12" i="12" a="1"/>
  <c r="I12" i="12" s="1"/>
  <c r="E12" i="11" a="1"/>
  <c r="E12" i="11" s="1"/>
  <c r="E11" i="10" s="1"/>
  <c r="E8" i="11" a="1"/>
  <c r="E8" i="11" s="1"/>
  <c r="E7" i="10" s="1"/>
  <c r="F10" i="11" a="1"/>
  <c r="F10" i="11" s="1"/>
  <c r="F9" i="10" s="1"/>
  <c r="G11" i="11" a="1"/>
  <c r="G11" i="11" s="1"/>
  <c r="G10" i="10" s="1"/>
  <c r="J7" i="11" a="1"/>
  <c r="J7" i="11" s="1"/>
  <c r="J6" i="10" s="1"/>
  <c r="G8" i="11" a="1"/>
  <c r="G8" i="11" s="1"/>
  <c r="G7" i="10" s="1"/>
  <c r="G9" i="11" a="1"/>
  <c r="G9" i="11" s="1"/>
  <c r="G8" i="10" s="1"/>
  <c r="I11" i="11" a="1"/>
  <c r="I11" i="11" s="1"/>
  <c r="I10" i="10" s="1"/>
  <c r="H12" i="11" a="1"/>
  <c r="H12" i="11" s="1"/>
  <c r="H11" i="10" s="1"/>
  <c r="H9" i="11" a="1"/>
  <c r="H9" i="11" s="1"/>
  <c r="H8" i="10" s="1"/>
  <c r="H10" i="11" a="1"/>
  <c r="H10" i="11" s="1"/>
  <c r="H9" i="10" s="1"/>
  <c r="J11" i="11" a="1"/>
  <c r="J11" i="11" s="1"/>
  <c r="J10" i="10" s="1"/>
  <c r="I12" i="11" a="1"/>
  <c r="I12" i="11" s="1"/>
  <c r="I11" i="10" s="1"/>
  <c r="H8" i="11" a="1"/>
  <c r="H8" i="11" s="1"/>
  <c r="H7" i="10" s="1"/>
  <c r="I9" i="11" a="1"/>
  <c r="I9" i="11" s="1"/>
  <c r="I8" i="10" s="1"/>
  <c r="I10" i="11" a="1"/>
  <c r="I10" i="11" s="1"/>
  <c r="I9" i="10" s="1"/>
  <c r="F7" i="11" a="1"/>
  <c r="F7" i="11" s="1"/>
  <c r="F6" i="10" s="1"/>
  <c r="J12" i="11" a="1"/>
  <c r="J12" i="11" s="1"/>
  <c r="J11" i="10" s="1"/>
  <c r="I8" i="11" a="1"/>
  <c r="I8" i="11" s="1"/>
  <c r="I7" i="10" s="1"/>
  <c r="J10" i="11" a="1"/>
  <c r="J10" i="11" s="1"/>
  <c r="J9" i="10" s="1"/>
  <c r="G7" i="11" a="1"/>
  <c r="G7" i="11" s="1"/>
  <c r="G6" i="10" s="1"/>
  <c r="J8" i="11" a="1"/>
  <c r="J8" i="11" s="1"/>
  <c r="J7" i="10" s="1"/>
  <c r="J9" i="11" a="1"/>
  <c r="J9" i="11" s="1"/>
  <c r="J8" i="10" s="1"/>
  <c r="E11" i="11" a="1"/>
  <c r="E11" i="11" s="1"/>
  <c r="E10" i="10" s="1"/>
  <c r="H7" i="11" a="1"/>
  <c r="H7" i="11" s="1"/>
  <c r="H6" i="10" s="1"/>
  <c r="E9" i="11" a="1"/>
  <c r="E9" i="11" s="1"/>
  <c r="E8" i="10" s="1"/>
  <c r="E10" i="11" a="1"/>
  <c r="E10" i="11" s="1"/>
  <c r="E9" i="10" s="1"/>
  <c r="F11" i="11" a="1"/>
  <c r="F11" i="11" s="1"/>
  <c r="F10" i="10" s="1"/>
  <c r="I7" i="11" a="1"/>
  <c r="I7" i="11" s="1"/>
  <c r="I6" i="10" s="1"/>
  <c r="F12" i="11" a="1"/>
  <c r="F12" i="11" s="1"/>
  <c r="F11" i="10" s="1"/>
  <c r="F8" i="11" a="1"/>
  <c r="F8" i="11" s="1"/>
  <c r="F7" i="10" s="1"/>
  <c r="F9" i="11" a="1"/>
  <c r="F9" i="11" s="1"/>
  <c r="F8" i="10" s="1"/>
  <c r="G10" i="11" a="1"/>
  <c r="G10" i="11" s="1"/>
  <c r="G9" i="10" s="1"/>
  <c r="H11" i="11" a="1"/>
  <c r="H11" i="11" s="1"/>
  <c r="H10" i="10" s="1"/>
  <c r="E7" i="11" a="1"/>
  <c r="E7" i="11" s="1"/>
  <c r="E6" i="10" s="1"/>
  <c r="G12" i="11" a="1"/>
  <c r="G12" i="11" s="1"/>
  <c r="G11" i="10" s="1"/>
  <c r="B7" i="12" a="1"/>
  <c r="B7" i="12" s="1"/>
  <c r="B7" i="4" s="1"/>
  <c r="R11" i="12" a="1"/>
  <c r="R11" i="12" s="1"/>
  <c r="R11" i="4" s="1"/>
  <c r="P11" i="12" a="1"/>
  <c r="P11" i="12" s="1"/>
  <c r="P11" i="4" s="1"/>
  <c r="L11" i="12" a="1"/>
  <c r="L11" i="12" s="1"/>
  <c r="L11" i="4" s="1"/>
  <c r="J11" i="12" a="1"/>
  <c r="J11" i="12" s="1"/>
  <c r="J11" i="4" s="1"/>
  <c r="F11" i="12" a="1"/>
  <c r="F11" i="12" s="1"/>
  <c r="D11" i="12" a="1"/>
  <c r="D11" i="12" s="1"/>
  <c r="B11" i="12" a="1"/>
  <c r="B11" i="12" s="1"/>
  <c r="B11" i="4" s="1"/>
  <c r="R10" i="12" a="1"/>
  <c r="R10" i="12" s="1"/>
  <c r="R10" i="4" s="1"/>
  <c r="P10" i="12" a="1"/>
  <c r="P10" i="12" s="1"/>
  <c r="P10" i="4" s="1"/>
  <c r="L10" i="12" a="1"/>
  <c r="L10" i="12" s="1"/>
  <c r="L10" i="4" s="1"/>
  <c r="J10" i="12" a="1"/>
  <c r="J10" i="12" s="1"/>
  <c r="J10" i="4" s="1"/>
  <c r="F10" i="12" a="1"/>
  <c r="F10" i="12" s="1"/>
  <c r="F10" i="4" s="1"/>
  <c r="D10" i="12" a="1"/>
  <c r="D10" i="12" s="1"/>
  <c r="D10" i="4" s="1"/>
  <c r="B10" i="12" a="1"/>
  <c r="B10" i="12" s="1"/>
  <c r="B10" i="4" s="1"/>
  <c r="R9" i="12" a="1"/>
  <c r="R9" i="12" s="1"/>
  <c r="R9" i="4" s="1"/>
  <c r="P9" i="12" a="1"/>
  <c r="P9" i="12" s="1"/>
  <c r="P9" i="4" s="1"/>
  <c r="L9" i="12" a="1"/>
  <c r="L9" i="12" s="1"/>
  <c r="L9" i="4" s="1"/>
  <c r="J9" i="12" a="1"/>
  <c r="J9" i="12" s="1"/>
  <c r="J9" i="4" s="1"/>
  <c r="F9" i="12" a="1"/>
  <c r="F9" i="12" s="1"/>
  <c r="F9" i="4" s="1"/>
  <c r="D9" i="12" a="1"/>
  <c r="D9" i="12" s="1"/>
  <c r="D9" i="4" s="1"/>
  <c r="B9" i="12" a="1"/>
  <c r="B9" i="12" s="1"/>
  <c r="B9" i="4" s="1"/>
  <c r="R8" i="12" a="1"/>
  <c r="R8" i="12" s="1"/>
  <c r="R8" i="4" s="1"/>
  <c r="P8" i="12" a="1"/>
  <c r="P8" i="12" s="1"/>
  <c r="P8" i="4" s="1"/>
  <c r="L8" i="12" a="1"/>
  <c r="L8" i="12" s="1"/>
  <c r="L8" i="4" s="1"/>
  <c r="I8" i="12" a="1"/>
  <c r="I8" i="12" s="1"/>
  <c r="I8" i="4" s="1"/>
  <c r="E8" i="12" a="1"/>
  <c r="E8" i="12" s="1"/>
  <c r="B8" i="12" a="1"/>
  <c r="B8" i="12" s="1"/>
  <c r="B8" i="4" s="1"/>
  <c r="R7" i="12" a="1"/>
  <c r="R7" i="12" s="1"/>
  <c r="R7" i="4" s="1"/>
  <c r="P7" i="12" a="1"/>
  <c r="P7" i="12" s="1"/>
  <c r="P7" i="4" s="1"/>
  <c r="L7" i="12" a="1"/>
  <c r="L7" i="12" s="1"/>
  <c r="L7" i="4" s="1"/>
  <c r="I7" i="12" a="1"/>
  <c r="I7" i="12" s="1"/>
  <c r="I7" i="4" s="1"/>
  <c r="E7" i="12" a="1"/>
  <c r="E7" i="12" s="1"/>
  <c r="E7" i="4" s="1"/>
  <c r="S11" i="12" a="1"/>
  <c r="S11" i="12" s="1"/>
  <c r="S11" i="4" s="1"/>
  <c r="Q11" i="12" a="1"/>
  <c r="Q11" i="12" s="1"/>
  <c r="Q11" i="4" s="1"/>
  <c r="M11" i="12" a="1"/>
  <c r="M11" i="12" s="1"/>
  <c r="M11" i="4" s="1"/>
  <c r="K11" i="12" a="1"/>
  <c r="K11" i="12" s="1"/>
  <c r="K11" i="4" s="1"/>
  <c r="I11" i="12" a="1"/>
  <c r="I11" i="12" s="1"/>
  <c r="I11" i="4" s="1"/>
  <c r="E11" i="12" a="1"/>
  <c r="E11" i="12" s="1"/>
  <c r="C11" i="12" a="1"/>
  <c r="C11" i="12" s="1"/>
  <c r="S10" i="12" a="1"/>
  <c r="S10" i="12" s="1"/>
  <c r="S10" i="4" s="1"/>
  <c r="Q10" i="12" a="1"/>
  <c r="Q10" i="12" s="1"/>
  <c r="Q10" i="4" s="1"/>
  <c r="M10" i="12" a="1"/>
  <c r="M10" i="12" s="1"/>
  <c r="M10" i="4" s="1"/>
  <c r="K10" i="12" a="1"/>
  <c r="K10" i="12" s="1"/>
  <c r="K10" i="4" s="1"/>
  <c r="I10" i="12" a="1"/>
  <c r="I10" i="12" s="1"/>
  <c r="I10" i="4" s="1"/>
  <c r="E10" i="12" a="1"/>
  <c r="E10" i="12" s="1"/>
  <c r="E10" i="4" s="1"/>
  <c r="C10" i="12" a="1"/>
  <c r="C10" i="12" s="1"/>
  <c r="C10" i="4" s="1"/>
  <c r="S9" i="12" a="1"/>
  <c r="S9" i="12" s="1"/>
  <c r="S9" i="4" s="1"/>
  <c r="Q9" i="12" a="1"/>
  <c r="Q9" i="12" s="1"/>
  <c r="Q9" i="4" s="1"/>
  <c r="M9" i="12" a="1"/>
  <c r="M9" i="12" s="1"/>
  <c r="M9" i="4" s="1"/>
  <c r="K9" i="12" a="1"/>
  <c r="K9" i="12" s="1"/>
  <c r="K9" i="4" s="1"/>
  <c r="I9" i="12" a="1"/>
  <c r="I9" i="12" s="1"/>
  <c r="I9" i="4" s="1"/>
  <c r="E9" i="12" a="1"/>
  <c r="E9" i="12" s="1"/>
  <c r="E9" i="4" s="1"/>
  <c r="C9" i="4"/>
  <c r="S8" i="12" a="1"/>
  <c r="S8" i="12" s="1"/>
  <c r="S8" i="4" s="1"/>
  <c r="Q8" i="12" a="1"/>
  <c r="Q8" i="12" s="1"/>
  <c r="Q8" i="4" s="1"/>
  <c r="M8" i="12" a="1"/>
  <c r="M8" i="12" s="1"/>
  <c r="M8" i="4" s="1"/>
  <c r="K8" i="12" a="1"/>
  <c r="K8" i="12" s="1"/>
  <c r="K8" i="4" s="1"/>
  <c r="F8" i="12" a="1"/>
  <c r="F8" i="12" s="1"/>
  <c r="D8" i="12" a="1"/>
  <c r="D8" i="12" s="1"/>
  <c r="S7" i="12" a="1"/>
  <c r="S7" i="12" s="1"/>
  <c r="S7" i="4" s="1"/>
  <c r="Q7" i="12" a="1"/>
  <c r="Q7" i="12" s="1"/>
  <c r="Q7" i="4" s="1"/>
  <c r="M7" i="12" a="1"/>
  <c r="M7" i="12" s="1"/>
  <c r="M7" i="4" s="1"/>
  <c r="K7" i="12" a="1"/>
  <c r="K7" i="12" s="1"/>
  <c r="K7" i="4" s="1"/>
  <c r="F7" i="12" a="1"/>
  <c r="F7" i="12" s="1"/>
  <c r="F7" i="4" s="1"/>
  <c r="D7" i="12" a="1"/>
  <c r="D7" i="12" s="1"/>
  <c r="D7" i="4" s="1"/>
  <c r="F22" i="12" l="1"/>
  <c r="I12" i="4"/>
  <c r="N12" i="12"/>
  <c r="N12" i="4" s="1"/>
  <c r="F13" i="12"/>
  <c r="F12" i="4"/>
  <c r="E12" i="4"/>
  <c r="E13" i="12"/>
  <c r="P12" i="4"/>
  <c r="T12" i="12"/>
  <c r="T12" i="4" s="1"/>
  <c r="B12" i="4"/>
  <c r="G12" i="12"/>
  <c r="D12" i="4"/>
  <c r="D13" i="12"/>
  <c r="C12" i="4"/>
  <c r="C13" i="12"/>
  <c r="C16" i="12"/>
  <c r="D21" i="12"/>
  <c r="E21" i="12"/>
  <c r="F21" i="12"/>
  <c r="B16" i="12"/>
  <c r="F8" i="4"/>
  <c r="F16" i="12"/>
  <c r="E8" i="4"/>
  <c r="E16" i="12"/>
  <c r="D8" i="4"/>
  <c r="D16" i="12"/>
  <c r="C11" i="4"/>
  <c r="C15" i="12"/>
  <c r="B15" i="12"/>
  <c r="E11" i="4"/>
  <c r="E15" i="12"/>
  <c r="D11" i="4"/>
  <c r="D15" i="12"/>
  <c r="F11" i="4"/>
  <c r="F15" i="12"/>
  <c r="E22" i="12"/>
  <c r="D22" i="12"/>
  <c r="B12" i="11"/>
  <c r="C19" i="12"/>
  <c r="C21" i="12"/>
  <c r="N10" i="12"/>
  <c r="N10" i="4" s="1"/>
  <c r="N11" i="12"/>
  <c r="N11" i="4" s="1"/>
  <c r="N9" i="12"/>
  <c r="N9" i="4" s="1"/>
  <c r="T9" i="12"/>
  <c r="T9" i="4" s="1"/>
  <c r="T11" i="12"/>
  <c r="T11" i="4" s="1"/>
  <c r="T10" i="12"/>
  <c r="T10" i="4" s="1"/>
  <c r="G9" i="4"/>
  <c r="G11" i="12"/>
  <c r="G10" i="12"/>
  <c r="G10" i="4" s="1"/>
  <c r="B8" i="11"/>
  <c r="B9" i="11"/>
  <c r="B10" i="11"/>
  <c r="B11" i="11"/>
  <c r="B7" i="11"/>
  <c r="D7" i="11" l="1"/>
  <c r="C6" i="10" s="1"/>
  <c r="B6" i="10" s="1"/>
  <c r="D11" i="11"/>
  <c r="C10" i="10" s="1"/>
  <c r="B10" i="10" s="1"/>
  <c r="D10" i="11"/>
  <c r="C9" i="10" s="1"/>
  <c r="B9" i="10" s="1"/>
  <c r="D9" i="11"/>
  <c r="C8" i="10" s="1"/>
  <c r="B8" i="10" s="1"/>
  <c r="D8" i="11"/>
  <c r="C7" i="10" s="1"/>
  <c r="B7" i="10" s="1"/>
  <c r="D12" i="11"/>
  <c r="C11" i="10" s="1"/>
  <c r="B11" i="10" s="1"/>
  <c r="G12" i="4"/>
  <c r="G13" i="12"/>
  <c r="G16" i="12"/>
  <c r="G11" i="4"/>
  <c r="G15" i="12"/>
  <c r="F24" i="12"/>
  <c r="F25" i="12"/>
  <c r="D25" i="12"/>
  <c r="D24" i="12"/>
  <c r="E24" i="12"/>
  <c r="E25" i="12"/>
  <c r="C24" i="12"/>
  <c r="C18" i="12"/>
  <c r="E12" i="25" l="1"/>
  <c r="H12" i="25"/>
  <c r="H40" i="24"/>
  <c r="D23" i="24"/>
  <c r="E18" i="24"/>
  <c r="G24" i="24"/>
  <c r="E29" i="24"/>
  <c r="B30" i="24"/>
  <c r="F43" i="24"/>
  <c r="D37" i="24"/>
  <c r="C8" i="24"/>
  <c r="I27" i="24"/>
  <c r="E42" i="24"/>
  <c r="H27" i="24"/>
  <c r="B21" i="24"/>
  <c r="D45" i="24"/>
  <c r="D15" i="24"/>
  <c r="I10" i="24"/>
  <c r="B28" i="24"/>
  <c r="B37" i="24"/>
  <c r="D9" i="24"/>
  <c r="E33" i="24"/>
  <c r="I45" i="24"/>
  <c r="H8" i="24"/>
  <c r="E49" i="24"/>
  <c r="F16" i="24"/>
  <c r="C30" i="24"/>
  <c r="G20" i="24"/>
  <c r="D29" i="24"/>
  <c r="C18" i="24"/>
  <c r="H36" i="24"/>
  <c r="B47" i="24"/>
  <c r="H38" i="24"/>
  <c r="H56" i="24"/>
  <c r="H24" i="24"/>
  <c r="C10" i="24"/>
  <c r="B52" i="24"/>
  <c r="I39" i="24"/>
  <c r="D27" i="24"/>
  <c r="H10" i="24"/>
  <c r="G36" i="24"/>
  <c r="C36" i="24"/>
  <c r="C26" i="24"/>
  <c r="D25" i="24"/>
  <c r="G54" i="24"/>
  <c r="C37" i="24"/>
  <c r="C22" i="24"/>
  <c r="B34" i="24"/>
  <c r="I23" i="24"/>
  <c r="C39" i="24"/>
  <c r="H14" i="24"/>
  <c r="B54" i="24"/>
  <c r="F51" i="24"/>
  <c r="E13" i="24"/>
  <c r="E21" i="24"/>
  <c r="C9" i="24"/>
  <c r="G17" i="24"/>
  <c r="I14" i="24"/>
  <c r="E46" i="24"/>
  <c r="F31" i="24"/>
  <c r="D40" i="24"/>
  <c r="H20" i="24"/>
  <c r="D18" i="24"/>
  <c r="C35" i="24"/>
  <c r="G32" i="24"/>
  <c r="G30" i="24"/>
  <c r="D39" i="24"/>
  <c r="H49" i="24"/>
  <c r="F57" i="24"/>
  <c r="I36" i="24"/>
  <c r="D41" i="24"/>
  <c r="E39" i="24"/>
  <c r="F32" i="24"/>
  <c r="G50" i="24"/>
  <c r="C27" i="24"/>
  <c r="F34" i="24"/>
  <c r="F47" i="24"/>
  <c r="F26" i="24"/>
  <c r="F29" i="24"/>
  <c r="E25" i="24"/>
  <c r="G18" i="24"/>
  <c r="E36" i="24"/>
  <c r="C45" i="24"/>
  <c r="B46" i="24"/>
  <c r="B24" i="24"/>
  <c r="H12" i="24"/>
  <c r="B55" i="24"/>
  <c r="E40" i="24"/>
  <c r="H35" i="24"/>
  <c r="E50" i="24"/>
  <c r="F17" i="24"/>
  <c r="D19" i="24"/>
  <c r="I26" i="24"/>
  <c r="E9" i="24"/>
  <c r="F25" i="24"/>
  <c r="H31" i="24"/>
  <c r="G31" i="24"/>
  <c r="G41" i="24"/>
  <c r="B49" i="24"/>
  <c r="B19" i="24"/>
  <c r="B26" i="24"/>
  <c r="D30" i="24"/>
  <c r="C17" i="24"/>
  <c r="I18" i="24"/>
  <c r="E12" i="24"/>
  <c r="I47" i="24"/>
  <c r="G15" i="24"/>
  <c r="D26" i="24"/>
  <c r="I34" i="24"/>
  <c r="G26" i="24"/>
  <c r="H45" i="24"/>
  <c r="H37" i="24"/>
  <c r="D52" i="24"/>
  <c r="G38" i="24"/>
  <c r="C24" i="24"/>
  <c r="D28" i="24"/>
  <c r="H53" i="24"/>
  <c r="G35" i="24"/>
  <c r="C34" i="24"/>
  <c r="H25" i="24"/>
  <c r="I53" i="24"/>
  <c r="I35" i="24"/>
  <c r="H29" i="24"/>
  <c r="G40" i="24"/>
  <c r="D20" i="24"/>
  <c r="B16" i="24"/>
  <c r="F24" i="24"/>
  <c r="E53" i="24"/>
  <c r="G19" i="24"/>
  <c r="I8" i="24"/>
  <c r="I55" i="24"/>
  <c r="F36" i="24"/>
  <c r="C50" i="24"/>
  <c r="G21" i="24"/>
  <c r="F56" i="24"/>
  <c r="C54" i="24"/>
  <c r="E30" i="24"/>
  <c r="B44" i="24"/>
  <c r="H9" i="24"/>
  <c r="G52" i="24"/>
  <c r="I49" i="24"/>
  <c r="B14" i="24"/>
  <c r="D56" i="24"/>
  <c r="C43" i="24"/>
  <c r="G48" i="24"/>
  <c r="I32" i="24"/>
  <c r="G16" i="24"/>
  <c r="D22" i="24"/>
  <c r="G44" i="24"/>
  <c r="C31" i="24"/>
  <c r="I21" i="24"/>
  <c r="I38" i="24"/>
  <c r="C51" i="24"/>
  <c r="C52" i="24"/>
  <c r="E17" i="24"/>
  <c r="G53" i="24"/>
  <c r="I13" i="24"/>
  <c r="F53" i="24"/>
  <c r="E48" i="24"/>
  <c r="C16" i="24"/>
  <c r="E15" i="24"/>
  <c r="G57" i="24"/>
  <c r="G10" i="24"/>
  <c r="F33" i="24"/>
  <c r="G13" i="24"/>
  <c r="F28" i="24"/>
  <c r="I51" i="24"/>
  <c r="H16" i="24"/>
  <c r="B25" i="24"/>
  <c r="I29" i="24"/>
  <c r="I56" i="24"/>
  <c r="E43" i="24"/>
  <c r="H28" i="24"/>
  <c r="E20" i="24"/>
  <c r="C56" i="24"/>
  <c r="E35" i="24"/>
  <c r="D8" i="24"/>
  <c r="G8" i="24"/>
  <c r="D32" i="24"/>
  <c r="F10" i="24"/>
  <c r="E27" i="24"/>
  <c r="D36" i="24"/>
  <c r="D43" i="24"/>
  <c r="F18" i="24"/>
  <c r="B40" i="24"/>
  <c r="I20" i="24"/>
  <c r="E32" i="24"/>
  <c r="B10" i="24"/>
  <c r="I22" i="24"/>
  <c r="E47" i="24"/>
  <c r="B50" i="24"/>
  <c r="I52" i="24"/>
  <c r="D51" i="24"/>
  <c r="B48" i="24"/>
  <c r="I50" i="24"/>
  <c r="I41" i="24"/>
  <c r="E57" i="24"/>
  <c r="D31" i="24"/>
  <c r="B9" i="24"/>
  <c r="B29" i="24"/>
  <c r="E44" i="24"/>
  <c r="E19" i="24"/>
  <c r="H39" i="24"/>
  <c r="D34" i="24"/>
  <c r="I30" i="24"/>
  <c r="E23" i="24"/>
  <c r="D53" i="24"/>
  <c r="C40" i="24"/>
  <c r="D16" i="24"/>
  <c r="C46" i="24"/>
  <c r="F23" i="24"/>
  <c r="B33" i="24"/>
  <c r="H11" i="24"/>
  <c r="D13" i="24"/>
  <c r="F38" i="24"/>
  <c r="E34" i="24"/>
  <c r="D12" i="24"/>
  <c r="I11" i="24"/>
  <c r="C57" i="24"/>
  <c r="E11" i="24"/>
  <c r="H15" i="24"/>
  <c r="C14" i="24"/>
  <c r="G45" i="24"/>
  <c r="G42" i="24"/>
  <c r="D49" i="24"/>
  <c r="H54" i="24"/>
  <c r="F13" i="24"/>
  <c r="H21" i="24"/>
  <c r="C21" i="24"/>
  <c r="H57" i="24"/>
  <c r="C28" i="24"/>
  <c r="H51" i="24"/>
  <c r="G23" i="24"/>
  <c r="D38" i="24"/>
  <c r="C38" i="24"/>
  <c r="D21" i="24"/>
  <c r="B18" i="24"/>
  <c r="F8" i="24"/>
  <c r="I19" i="24"/>
  <c r="E55" i="24"/>
  <c r="G11" i="24"/>
  <c r="C48" i="24"/>
  <c r="C47" i="24"/>
  <c r="B13" i="24"/>
  <c r="E41" i="24"/>
  <c r="H43" i="24"/>
  <c r="D47" i="24"/>
  <c r="H19" i="24"/>
  <c r="F20" i="24"/>
  <c r="G49" i="24"/>
  <c r="B35" i="24"/>
  <c r="G27" i="24"/>
  <c r="D42" i="24"/>
  <c r="D46" i="24"/>
  <c r="H52" i="24"/>
  <c r="D17" i="24"/>
  <c r="H26" i="24"/>
  <c r="B12" i="24"/>
  <c r="H42" i="24"/>
  <c r="F11" i="24"/>
  <c r="I44" i="24"/>
  <c r="C42" i="24"/>
  <c r="B15" i="24"/>
  <c r="C32" i="24"/>
  <c r="B8" i="24"/>
  <c r="F52" i="24"/>
  <c r="F55" i="24"/>
  <c r="F40" i="24"/>
  <c r="I43" i="24"/>
  <c r="I12" i="24"/>
  <c r="E24" i="24"/>
  <c r="G51" i="24"/>
  <c r="H55" i="24"/>
  <c r="B32" i="24"/>
  <c r="C44" i="24"/>
  <c r="H32" i="24"/>
  <c r="D33" i="24"/>
  <c r="C53" i="24"/>
  <c r="E52" i="24"/>
  <c r="F15" i="24"/>
  <c r="H18" i="24"/>
  <c r="I25" i="24"/>
  <c r="F12" i="24"/>
  <c r="F39" i="24"/>
  <c r="I37" i="24"/>
  <c r="H13" i="24"/>
  <c r="E56" i="24"/>
  <c r="I9" i="24"/>
  <c r="B53" i="24"/>
  <c r="C33" i="24"/>
  <c r="F30" i="24"/>
  <c r="E45" i="24"/>
  <c r="D48" i="24"/>
  <c r="F21" i="24"/>
  <c r="E51" i="24"/>
  <c r="D55" i="24"/>
  <c r="F46" i="24"/>
  <c r="F49" i="24"/>
  <c r="G22" i="24"/>
  <c r="C25" i="24"/>
  <c r="F50" i="24"/>
  <c r="C20" i="24"/>
  <c r="H34" i="24"/>
  <c r="D44" i="24"/>
  <c r="F54" i="24"/>
  <c r="H23" i="24"/>
  <c r="F44" i="24"/>
  <c r="E8" i="24"/>
  <c r="G29" i="24"/>
  <c r="G34" i="24"/>
  <c r="D10" i="24"/>
  <c r="G55" i="24"/>
  <c r="C29" i="24"/>
  <c r="G28" i="24"/>
  <c r="B11" i="24"/>
  <c r="H30" i="24"/>
  <c r="G33" i="24"/>
  <c r="H33" i="24"/>
  <c r="F41" i="24"/>
  <c r="G47" i="24"/>
  <c r="E14" i="24"/>
  <c r="B27" i="24"/>
  <c r="E37" i="24"/>
  <c r="F37" i="24"/>
  <c r="B23" i="24"/>
  <c r="B17" i="24"/>
  <c r="D54" i="24"/>
  <c r="C19" i="24"/>
  <c r="I16" i="24"/>
  <c r="D24" i="24"/>
  <c r="B20" i="24"/>
  <c r="I48" i="24"/>
  <c r="H48" i="24"/>
  <c r="B57" i="24"/>
  <c r="E16" i="24"/>
  <c r="B56" i="24"/>
  <c r="F45" i="24"/>
  <c r="G56" i="24"/>
  <c r="C41" i="24"/>
  <c r="F42" i="24"/>
  <c r="I42" i="24"/>
  <c r="H22" i="24"/>
  <c r="D11" i="24"/>
  <c r="I31" i="24"/>
  <c r="C55" i="24"/>
  <c r="F35" i="24"/>
  <c r="E38" i="24"/>
  <c r="E31" i="24"/>
  <c r="G37" i="24"/>
  <c r="I46" i="24"/>
  <c r="F19" i="24"/>
  <c r="I15" i="24"/>
  <c r="F48" i="24"/>
  <c r="B22" i="24"/>
  <c r="C15" i="24"/>
  <c r="E10" i="24"/>
  <c r="C12" i="24"/>
  <c r="B41" i="24"/>
  <c r="I24" i="24"/>
  <c r="C13" i="24"/>
  <c r="D35" i="24"/>
  <c r="H17" i="24"/>
  <c r="I54" i="24"/>
  <c r="B31" i="24"/>
  <c r="E54" i="24"/>
  <c r="G12" i="24"/>
  <c r="G46" i="24"/>
  <c r="F22" i="24"/>
  <c r="B39" i="24"/>
  <c r="F9" i="24"/>
  <c r="I33" i="24"/>
  <c r="C49" i="24"/>
  <c r="B43" i="24"/>
  <c r="H46" i="24"/>
  <c r="H41" i="24"/>
  <c r="G25" i="24"/>
  <c r="I40" i="24"/>
  <c r="E22" i="24"/>
  <c r="D50" i="24"/>
  <c r="B45" i="24"/>
  <c r="E26" i="24"/>
  <c r="B38" i="24"/>
  <c r="C11" i="24"/>
  <c r="C23" i="24"/>
  <c r="G39" i="24"/>
  <c r="I17" i="24"/>
  <c r="H47" i="24"/>
  <c r="D57" i="24"/>
  <c r="B36" i="24"/>
  <c r="G14" i="24"/>
  <c r="I28" i="24"/>
  <c r="B42" i="24"/>
  <c r="G43" i="24"/>
  <c r="H50" i="24"/>
  <c r="F27" i="24"/>
  <c r="G9" i="24"/>
  <c r="B51" i="24"/>
  <c r="E28" i="24"/>
  <c r="H44" i="24"/>
  <c r="K42" i="25" l="1"/>
  <c r="F26" i="25"/>
  <c r="B49" i="25"/>
  <c r="I7" i="25"/>
  <c r="H25" i="25"/>
  <c r="K48" i="25"/>
  <c r="I41" i="25"/>
  <c r="B40" i="25"/>
  <c r="L26" i="25"/>
  <c r="I12" i="25"/>
  <c r="B34" i="25"/>
  <c r="E55" i="25"/>
  <c r="K45" i="25"/>
  <c r="L15" i="25"/>
  <c r="I37" i="25"/>
  <c r="C21" i="25"/>
  <c r="C9" i="25"/>
  <c r="B36" i="25"/>
  <c r="F24" i="25"/>
  <c r="B43" i="25"/>
  <c r="E48" i="25"/>
  <c r="F20" i="25"/>
  <c r="L38" i="25"/>
  <c r="I23" i="25"/>
  <c r="K39" i="25"/>
  <c r="K44" i="25"/>
  <c r="B41" i="25"/>
  <c r="C47" i="25"/>
  <c r="L31" i="25"/>
  <c r="H7" i="25"/>
  <c r="B37" i="25"/>
  <c r="H20" i="25"/>
  <c r="I44" i="25"/>
  <c r="I10" i="25"/>
  <c r="F52" i="25"/>
  <c r="B29" i="25"/>
  <c r="L52" i="25"/>
  <c r="K15" i="25"/>
  <c r="E33" i="25"/>
  <c r="C11" i="25"/>
  <c r="L22" i="25"/>
  <c r="B39" i="25"/>
  <c r="C10" i="25"/>
  <c r="F8" i="25"/>
  <c r="C13" i="25"/>
  <c r="B20" i="25"/>
  <c r="H46" i="25"/>
  <c r="L13" i="25"/>
  <c r="H17" i="25"/>
  <c r="L44" i="25"/>
  <c r="I35" i="25"/>
  <c r="F29" i="25"/>
  <c r="F36" i="25"/>
  <c r="H33" i="25"/>
  <c r="C53" i="25"/>
  <c r="L29" i="25"/>
  <c r="E9" i="25"/>
  <c r="K20" i="25"/>
  <c r="L40" i="25"/>
  <c r="H40" i="25"/>
  <c r="C39" i="25"/>
  <c r="I54" i="25"/>
  <c r="H43" i="25"/>
  <c r="B54" i="25"/>
  <c r="F14" i="25"/>
  <c r="B55" i="25"/>
  <c r="K46" i="25"/>
  <c r="L46" i="25"/>
  <c r="B18" i="25"/>
  <c r="E22" i="25"/>
  <c r="L14" i="25"/>
  <c r="C17" i="25"/>
  <c r="E52" i="25"/>
  <c r="B15" i="25"/>
  <c r="B21" i="25"/>
  <c r="H35" i="25"/>
  <c r="F35" i="25"/>
  <c r="B25" i="25"/>
  <c r="F12" i="25"/>
  <c r="I45" i="25"/>
  <c r="H39" i="25"/>
  <c r="K31" i="25"/>
  <c r="I31" i="25"/>
  <c r="K28" i="25"/>
  <c r="B9" i="25"/>
  <c r="I26" i="25"/>
  <c r="C27" i="25"/>
  <c r="I53" i="25"/>
  <c r="E8" i="25"/>
  <c r="I32" i="25"/>
  <c r="I27" i="25"/>
  <c r="F6" i="25"/>
  <c r="H42" i="25"/>
  <c r="K21" i="25"/>
  <c r="H52" i="25"/>
  <c r="E42" i="25"/>
  <c r="K32" i="25"/>
  <c r="C18" i="25"/>
  <c r="H48" i="25"/>
  <c r="C23" i="25"/>
  <c r="I20" i="25"/>
  <c r="H47" i="25"/>
  <c r="H44" i="25"/>
  <c r="E53" i="25"/>
  <c r="F49" i="25"/>
  <c r="H19" i="25"/>
  <c r="E46" i="25"/>
  <c r="F43" i="25"/>
  <c r="H28" i="25"/>
  <c r="C31" i="25"/>
  <c r="B51" i="25"/>
  <c r="L7" i="25"/>
  <c r="F54" i="25"/>
  <c r="K11" i="25"/>
  <c r="L35" i="25"/>
  <c r="H37" i="25"/>
  <c r="H10" i="25"/>
  <c r="L23" i="25"/>
  <c r="K16" i="25"/>
  <c r="H13" i="25"/>
  <c r="F50" i="25"/>
  <c r="C51" i="25"/>
  <c r="E31" i="25"/>
  <c r="K30" i="25"/>
  <c r="C42" i="25"/>
  <c r="B30" i="25"/>
  <c r="K53" i="25"/>
  <c r="I49" i="25"/>
  <c r="F22" i="25"/>
  <c r="L10" i="25"/>
  <c r="L41" i="25"/>
  <c r="H38" i="25"/>
  <c r="H53" i="25"/>
  <c r="H50" i="25"/>
  <c r="B6" i="25"/>
  <c r="C30" i="25"/>
  <c r="B13" i="25"/>
  <c r="C40" i="25"/>
  <c r="L42" i="25"/>
  <c r="H9" i="25"/>
  <c r="K40" i="25"/>
  <c r="B10" i="25"/>
  <c r="K24" i="25"/>
  <c r="E15" i="25"/>
  <c r="K50" i="25"/>
  <c r="E44" i="25"/>
  <c r="E40" i="25"/>
  <c r="I25" i="25"/>
  <c r="B33" i="25"/>
  <c r="I47" i="25"/>
  <c r="H18" i="25"/>
  <c r="K17" i="25"/>
  <c r="E45" i="25"/>
  <c r="K41" i="25"/>
  <c r="F39" i="25"/>
  <c r="B11" i="25"/>
  <c r="C45" i="25"/>
  <c r="C46" i="25"/>
  <c r="I9" i="25"/>
  <c r="F53" i="25"/>
  <c r="L17" i="25"/>
  <c r="H6" i="25"/>
  <c r="B16" i="25"/>
  <c r="E19" i="25"/>
  <c r="C36" i="25"/>
  <c r="E36" i="25"/>
  <c r="I21" i="25"/>
  <c r="K49" i="25"/>
  <c r="C26" i="25"/>
  <c r="K55" i="25"/>
  <c r="C19" i="25"/>
  <c r="K19" i="25"/>
  <c r="H11" i="25"/>
  <c r="K52" i="25"/>
  <c r="E47" i="25"/>
  <c r="I40" i="25"/>
  <c r="I43" i="25"/>
  <c r="C12" i="25"/>
  <c r="K13" i="25"/>
  <c r="F9" i="25"/>
  <c r="C55" i="25"/>
  <c r="L9" i="25"/>
  <c r="E10" i="25"/>
  <c r="F32" i="25"/>
  <c r="H36" i="25"/>
  <c r="E11" i="25"/>
  <c r="K9" i="25"/>
  <c r="B31" i="25"/>
  <c r="H21" i="25"/>
  <c r="C44" i="25"/>
  <c r="E14" i="25"/>
  <c r="C38" i="25"/>
  <c r="E51" i="25"/>
  <c r="F21" i="25"/>
  <c r="L28" i="25"/>
  <c r="E32" i="25"/>
  <c r="K37" i="25"/>
  <c r="F17" i="25"/>
  <c r="F42" i="25"/>
  <c r="B27" i="25"/>
  <c r="B7" i="25"/>
  <c r="E29" i="25"/>
  <c r="F55" i="25"/>
  <c r="L39" i="25"/>
  <c r="L48" i="25"/>
  <c r="B46" i="25"/>
  <c r="E49" i="25"/>
  <c r="L50" i="25"/>
  <c r="B48" i="25"/>
  <c r="F45" i="25"/>
  <c r="L20" i="25"/>
  <c r="B8" i="25"/>
  <c r="F30" i="25"/>
  <c r="L18" i="25"/>
  <c r="B38" i="25"/>
  <c r="H16" i="25"/>
  <c r="E41" i="25"/>
  <c r="E34" i="25"/>
  <c r="F25" i="25"/>
  <c r="H8" i="25"/>
  <c r="E30" i="25"/>
  <c r="I6" i="25"/>
  <c r="E6" i="25"/>
  <c r="F33" i="25"/>
  <c r="C54" i="25"/>
  <c r="F18" i="25"/>
  <c r="K26" i="25"/>
  <c r="F41" i="25"/>
  <c r="L54" i="25"/>
  <c r="L27" i="25"/>
  <c r="B23" i="25"/>
  <c r="K14" i="25"/>
  <c r="L49" i="25"/>
  <c r="H26" i="25"/>
  <c r="I11" i="25"/>
  <c r="H31" i="25"/>
  <c r="I8" i="25"/>
  <c r="I55" i="25"/>
  <c r="F13" i="25"/>
  <c r="C14" i="25"/>
  <c r="F46" i="25"/>
  <c r="H51" i="25"/>
  <c r="L11" i="25"/>
  <c r="I51" i="25"/>
  <c r="F15" i="25"/>
  <c r="C50" i="25"/>
  <c r="C49" i="25"/>
  <c r="L36" i="25"/>
  <c r="L19" i="25"/>
  <c r="C29" i="25"/>
  <c r="I42" i="25"/>
  <c r="E20" i="25"/>
  <c r="I14" i="25"/>
  <c r="L30" i="25"/>
  <c r="I46" i="25"/>
  <c r="C41" i="25"/>
  <c r="E54" i="25"/>
  <c r="B12" i="25"/>
  <c r="L47" i="25"/>
  <c r="I50" i="25"/>
  <c r="K7" i="25"/>
  <c r="B42" i="25"/>
  <c r="F28" i="25"/>
  <c r="C52" i="25"/>
  <c r="H54" i="25"/>
  <c r="I19" i="25"/>
  <c r="C48" i="25"/>
  <c r="H34" i="25"/>
  <c r="L53" i="25"/>
  <c r="L6" i="25"/>
  <c r="I17" i="25"/>
  <c r="F51" i="25"/>
  <c r="H22" i="25"/>
  <c r="B14" i="25"/>
  <c r="E18" i="25"/>
  <c r="I38" i="25"/>
  <c r="K27" i="25"/>
  <c r="L33" i="25"/>
  <c r="L51" i="25"/>
  <c r="K23" i="25"/>
  <c r="C32" i="25"/>
  <c r="I33" i="25"/>
  <c r="K51" i="25"/>
  <c r="E26" i="25"/>
  <c r="C22" i="25"/>
  <c r="I36" i="25"/>
  <c r="E50" i="25"/>
  <c r="K35" i="25"/>
  <c r="K43" i="25"/>
  <c r="I24" i="25"/>
  <c r="L32" i="25"/>
  <c r="E24" i="25"/>
  <c r="I13" i="25"/>
  <c r="L45" i="25"/>
  <c r="F10" i="25"/>
  <c r="L16" i="25"/>
  <c r="C15" i="25"/>
  <c r="E28" i="25"/>
  <c r="B24" i="25"/>
  <c r="B17" i="25"/>
  <c r="B47" i="25"/>
  <c r="I39" i="25"/>
  <c r="I29" i="25"/>
  <c r="K29" i="25"/>
  <c r="H23" i="25"/>
  <c r="F7" i="25"/>
  <c r="L24" i="25"/>
  <c r="E17" i="25"/>
  <c r="H15" i="25"/>
  <c r="F48" i="25"/>
  <c r="K33" i="25"/>
  <c r="F38" i="25"/>
  <c r="B53" i="25"/>
  <c r="K10" i="25"/>
  <c r="B22" i="25"/>
  <c r="B44" i="25"/>
  <c r="C43" i="25"/>
  <c r="F34" i="25"/>
  <c r="I16" i="25"/>
  <c r="F23" i="25"/>
  <c r="H27" i="25"/>
  <c r="H24" i="25"/>
  <c r="H45" i="25"/>
  <c r="H32" i="25"/>
  <c r="C25" i="25"/>
  <c r="I48" i="25"/>
  <c r="H30" i="25"/>
  <c r="F37" i="25"/>
  <c r="E39" i="25"/>
  <c r="L34" i="25"/>
  <c r="H55" i="25"/>
  <c r="K47" i="25"/>
  <c r="E37" i="25"/>
  <c r="I28" i="25"/>
  <c r="I30" i="25"/>
  <c r="C33" i="25"/>
  <c r="E16" i="25"/>
  <c r="K18" i="25"/>
  <c r="E38" i="25"/>
  <c r="H29" i="25"/>
  <c r="F44" i="25"/>
  <c r="L12" i="25"/>
  <c r="I15" i="25"/>
  <c r="C7" i="25"/>
  <c r="F19" i="25"/>
  <c r="F11" i="25"/>
  <c r="H49" i="25"/>
  <c r="B52" i="25"/>
  <c r="K12" i="25"/>
  <c r="C37" i="25"/>
  <c r="L21" i="25"/>
  <c r="B32" i="25"/>
  <c r="C20" i="25"/>
  <c r="C35" i="25"/>
  <c r="I52" i="25"/>
  <c r="E23" i="25"/>
  <c r="C24" i="25"/>
  <c r="C34" i="25"/>
  <c r="I34" i="25"/>
  <c r="K8" i="25"/>
  <c r="E25" i="25"/>
  <c r="L37" i="25"/>
  <c r="B50" i="25"/>
  <c r="C8" i="25"/>
  <c r="K22" i="25"/>
  <c r="K54" i="25"/>
  <c r="K36" i="25"/>
  <c r="B45" i="25"/>
  <c r="K34" i="25"/>
  <c r="C16" i="25"/>
  <c r="E27" i="25"/>
  <c r="I18" i="25"/>
  <c r="C28" i="25"/>
  <c r="H14" i="25"/>
  <c r="F47" i="25"/>
  <c r="K6" i="25"/>
  <c r="L43" i="25"/>
  <c r="F31" i="25"/>
  <c r="E7" i="25"/>
  <c r="B35" i="25"/>
  <c r="B26" i="25"/>
  <c r="L8" i="25"/>
  <c r="E13" i="25"/>
  <c r="E43" i="25"/>
  <c r="B19" i="25"/>
  <c r="K25" i="25"/>
  <c r="F40" i="25"/>
  <c r="L25" i="25"/>
  <c r="C6" i="25"/>
  <c r="E35" i="25"/>
  <c r="H41" i="25"/>
  <c r="B28" i="25"/>
  <c r="F27" i="25"/>
  <c r="I22" i="25"/>
  <c r="F16" i="25"/>
  <c r="E21" i="25"/>
  <c r="K38" i="25"/>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<sst xmlns="http://schemas.openxmlformats.org/spreadsheetml/2006/main" count="31963" uniqueCount="287">
  <si>
    <t>FINANCIAL_YEAR</t>
  </si>
  <si>
    <t>FRS_NAME</t>
  </si>
  <si>
    <t>VISIT_TYPE</t>
  </si>
  <si>
    <t>URBAN_RURAL</t>
  </si>
  <si>
    <t>IS_MET_NON_MET</t>
  </si>
  <si>
    <t>VALUE</t>
  </si>
  <si>
    <t>VIRTUAL_OR_FACE_TO_FACE</t>
  </si>
  <si>
    <t>2018/19</t>
  </si>
  <si>
    <t>Avon</t>
  </si>
  <si>
    <t>Face to face</t>
  </si>
  <si>
    <t>Total</t>
  </si>
  <si>
    <t>Bedfordshire</t>
  </si>
  <si>
    <t>Berkshire</t>
  </si>
  <si>
    <t>Buckinghamshire</t>
  </si>
  <si>
    <t>Cambridgeshire</t>
  </si>
  <si>
    <t>Cheshire</t>
  </si>
  <si>
    <t>Cleveland</t>
  </si>
  <si>
    <t>Cornwall</t>
  </si>
  <si>
    <t>Cumbria</t>
  </si>
  <si>
    <t>Derbyshire</t>
  </si>
  <si>
    <t>Devon and Somerset</t>
  </si>
  <si>
    <t>Dorset and Wiltshire</t>
  </si>
  <si>
    <t>Durham</t>
  </si>
  <si>
    <t>East Sussex</t>
  </si>
  <si>
    <t>Essex</t>
  </si>
  <si>
    <t>Gloucestershire</t>
  </si>
  <si>
    <t>Greater London</t>
  </si>
  <si>
    <t>Greater Manchester</t>
  </si>
  <si>
    <t>Hereford and Worcester</t>
  </si>
  <si>
    <t>Hertfordshire</t>
  </si>
  <si>
    <t>Humberside</t>
  </si>
  <si>
    <t>Isles Of Scilly</t>
  </si>
  <si>
    <t>Kent</t>
  </si>
  <si>
    <t>Lancashire</t>
  </si>
  <si>
    <t>Leicestershire</t>
  </si>
  <si>
    <t>Lincolnshire</t>
  </si>
  <si>
    <t>Merseyside</t>
  </si>
  <si>
    <t>Norfolk</t>
  </si>
  <si>
    <t>North Yorkshire</t>
  </si>
  <si>
    <t>Northamptonshire</t>
  </si>
  <si>
    <t>Northumberland</t>
  </si>
  <si>
    <t>Nottinghamshire</t>
  </si>
  <si>
    <t>Oxfordshire</t>
  </si>
  <si>
    <t>Shropshire</t>
  </si>
  <si>
    <t>South Yorkshire</t>
  </si>
  <si>
    <t>Staffordshire</t>
  </si>
  <si>
    <t>Suffolk</t>
  </si>
  <si>
    <t>Surrey</t>
  </si>
  <si>
    <t>Tyne and Wear</t>
  </si>
  <si>
    <t>Warwickshire</t>
  </si>
  <si>
    <t>West Midlands</t>
  </si>
  <si>
    <t>West Sussex</t>
  </si>
  <si>
    <t>West Yorkshire</t>
  </si>
  <si>
    <t>2019/20</t>
  </si>
  <si>
    <t>2020/21</t>
  </si>
  <si>
    <t>Virtual</t>
  </si>
  <si>
    <t>2021/22</t>
  </si>
  <si>
    <t>Fire prevention and protection statistics</t>
  </si>
  <si>
    <t>Responsible Statistician: Helene Clark</t>
  </si>
  <si>
    <t>Email: Firestatistics@homeoffice.gov.uk</t>
  </si>
  <si>
    <r>
      <t xml:space="preserve">Press enquiries: </t>
    </r>
    <r>
      <rPr>
        <b/>
        <sz val="12"/>
        <color rgb="FF000000"/>
        <rFont val="Arial"/>
        <family val="2"/>
      </rPr>
      <t>0300 123 3535</t>
    </r>
  </si>
  <si>
    <t>Contents</t>
  </si>
  <si>
    <t>We’re always looking to improve the accessibility of our documents.</t>
  </si>
  <si>
    <t xml:space="preserve">If you find any problems, or have any feedback, relating to accessibility please email us at </t>
  </si>
  <si>
    <t>firestatistics@homeoffice.gov.uk</t>
  </si>
  <si>
    <t xml:space="preserve">To access data tables, select the table number or tabs. </t>
  </si>
  <si>
    <t>Cover sheet</t>
  </si>
  <si>
    <t>Sheet</t>
  </si>
  <si>
    <t>Title</t>
  </si>
  <si>
    <t>Period covered</t>
  </si>
  <si>
    <t>FIRE1201_historical</t>
  </si>
  <si>
    <t>2010/11 to 2017/18</t>
  </si>
  <si>
    <t>No</t>
  </si>
  <si>
    <t>FIRE1201a</t>
  </si>
  <si>
    <t>FRS geographical categories</t>
  </si>
  <si>
    <t>How FRSs are categorised</t>
  </si>
  <si>
    <t>England</t>
  </si>
  <si>
    <t>Year</t>
  </si>
  <si>
    <t>At least 1 person aged 65+ and one person disabled (can be same person)</t>
  </si>
  <si>
    <t>At least 1 person aged 65+, but no one in household disabled</t>
  </si>
  <si>
    <t>All aged under 65 but at least 1 person disabled</t>
  </si>
  <si>
    <t>2022/23</t>
  </si>
  <si>
    <t>Hampshire</t>
  </si>
  <si>
    <t>Isle of Wight</t>
  </si>
  <si>
    <t>FRS_OR_PARTNERS</t>
  </si>
  <si>
    <t>VISIT_SUB_GROUP</t>
  </si>
  <si>
    <t>FRS</t>
  </si>
  <si>
    <t>Predominantly Urban</t>
  </si>
  <si>
    <t>Non-metropolitan</t>
  </si>
  <si>
    <t>Partners</t>
  </si>
  <si>
    <t>Significantly Rural</t>
  </si>
  <si>
    <t>Predominantly Rural</t>
  </si>
  <si>
    <t>Metropolitan</t>
  </si>
  <si>
    <t>Hampshire and Isle of Wight</t>
  </si>
  <si>
    <t>Isles of Scilly</t>
  </si>
  <si>
    <t>FRS Name</t>
  </si>
  <si>
    <t>Met/Non-met category</t>
  </si>
  <si>
    <t>1  Rural Urban classifications of Fire and Rescue Service as defined by Department for Environment, Food and Rural Affairs (DEFRA)</t>
  </si>
  <si>
    <t>Predominantly rural: 50% or more of their area is 'rural'</t>
  </si>
  <si>
    <t>Significantly rural: less than 74% of their area is 'urban' and 26% or more of their area is 'rural'</t>
  </si>
  <si>
    <t>Predominantly urban: 74% or more of their area is 'urban'</t>
  </si>
  <si>
    <t>STAFF_TYPE</t>
  </si>
  <si>
    <t>Community safety advocate(s)</t>
  </si>
  <si>
    <t>Number of staff carrying out Home Fire Safety Checks</t>
  </si>
  <si>
    <t>Number of staff carrying out Safe and Well Visits</t>
  </si>
  <si>
    <t>Fire control partner(s)</t>
  </si>
  <si>
    <t>Firefighter(s)</t>
  </si>
  <si>
    <t>FRS volunteer(s)</t>
  </si>
  <si>
    <t>Non-operational fire prevention staff</t>
  </si>
  <si>
    <t>Other</t>
  </si>
  <si>
    <t>Staff Type</t>
  </si>
  <si>
    <t>at least 1 person with at least 1 vulnerability or risk factor</t>
  </si>
  <si>
    <t xml:space="preserve"> </t>
  </si>
  <si>
    <t>Source: Home Office Operational Statistics Data Collection, figures supplied by fire and rescue authorities.</t>
  </si>
  <si>
    <t>Notes</t>
  </si>
  <si>
    <t>The full set of fire statistics releases, tables and guidance can be found on our landing page, here:</t>
  </si>
  <si>
    <t>https://www.gov.uk/government/collections/fire-statistics</t>
  </si>
  <si>
    <t>The statistics in this table are Official Statistics.</t>
  </si>
  <si>
    <t>Contact: FireStatistics@homeoffice.gov.uk</t>
  </si>
  <si>
    <t>Definitions</t>
  </si>
  <si>
    <t xml:space="preserve">(1) Identifying and advising of the potential fire risks within the home; </t>
  </si>
  <si>
    <t xml:space="preserve">(2) Advising householder what to do in order to reduce or prevent these risks; and </t>
  </si>
  <si>
    <t>Footnotes</t>
  </si>
  <si>
    <t>Guidance notes for FIRE1201</t>
  </si>
  <si>
    <t>Select a year from the drop-down list in the orange box below:</t>
  </si>
  <si>
    <t>2017/18</t>
  </si>
  <si>
    <t>FRA</t>
  </si>
  <si>
    <t>Number</t>
  </si>
  <si>
    <t>Hours</t>
  </si>
  <si>
    <t>N/A Not available</t>
  </si>
  <si>
    <t>Note</t>
  </si>
  <si>
    <t>Some totals may not aggregate due to rounding.</t>
  </si>
  <si>
    <t>Note on Imputed figures</t>
  </si>
  <si>
    <t>2017/18: Staffordshire</t>
  </si>
  <si>
    <t>2016/17: Staffordshire</t>
  </si>
  <si>
    <t>2015/16: Staffordshire</t>
  </si>
  <si>
    <t>2014/15: Staffordshire, Surrey</t>
  </si>
  <si>
    <t>2013/14: Cleveland, Staffordshire, Surrey</t>
  </si>
  <si>
    <t>2012/13: Cleveland, Staffordshire, Surrey</t>
  </si>
  <si>
    <t>2011/12: Cleveland, Lincolnshire</t>
  </si>
  <si>
    <t>2010/11: Bedfordshire, Cleveland, Greater London</t>
  </si>
  <si>
    <t>do not include imputed figures because a large number of fire authorities are unable to supply these figures.</t>
  </si>
  <si>
    <t>2017/18 refers to the financial year, from 1st April 2017 to 31 March 2018. Other years follow the same pattern.</t>
  </si>
  <si>
    <t>2010/11</t>
  </si>
  <si>
    <t>2011/12</t>
  </si>
  <si>
    <t>2012/13</t>
  </si>
  <si>
    <t>2013/14</t>
  </si>
  <si>
    <t>2014/15</t>
  </si>
  <si>
    <t>2015/16</t>
  </si>
  <si>
    <t>2016/17</t>
  </si>
  <si>
    <t>Number of Fire Risk Checks carried out by FRS</t>
  </si>
  <si>
    <t>of which: Elderly (65+)</t>
  </si>
  <si>
    <t>of which: Disabled</t>
  </si>
  <si>
    <t>Number of Fire Risk Checks carried out by Partners</t>
  </si>
  <si>
    <t>2010-11</t>
  </si>
  <si>
    <t>2011-12</t>
  </si>
  <si>
    <t>2012-13</t>
  </si>
  <si>
    <t>2013-14</t>
  </si>
  <si>
    <t>2014-15</t>
  </si>
  <si>
    <t>2015-16</t>
  </si>
  <si>
    <t>2016-17</t>
  </si>
  <si>
    <t>2017-18</t>
  </si>
  <si>
    <t>N/a</t>
  </si>
  <si>
    <t>N/A</t>
  </si>
  <si>
    <t>Adjustments</t>
  </si>
  <si>
    <t>A few FRSs</t>
  </si>
  <si>
    <t>At least 1 person with at least 1 vulnerability or risk factor</t>
  </si>
  <si>
    <t>This category refers to visits to households occupied by a disabled person and those with all members 64 and younger.</t>
  </si>
  <si>
    <t xml:space="preserve">(2) Disabled or immobile </t>
  </si>
  <si>
    <t xml:space="preserve">(3) Living alone </t>
  </si>
  <si>
    <t>(4) Smoker</t>
  </si>
  <si>
    <t>(5) Mental health problem or learning difficulty</t>
  </si>
  <si>
    <t>(6) Drug and alcohol use</t>
  </si>
  <si>
    <t xml:space="preserve">(7) Single adult present in the household (including single parenthood) </t>
  </si>
  <si>
    <t>(8) Domestic violence/abuse</t>
  </si>
  <si>
    <t>Non targeted</t>
  </si>
  <si>
    <t>..</t>
  </si>
  <si>
    <t>.. denotes data not available.</t>
  </si>
  <si>
    <t xml:space="preserve">Hampshire could not provide the breakdown of staff type in 2018/19, recording the total number of staff in 'other'. The breakdown by staff type only includes figures supplied by Isle of Wight. </t>
  </si>
  <si>
    <t>Table 1201</t>
  </si>
  <si>
    <t xml:space="preserve">(b) Disabled or immobile </t>
  </si>
  <si>
    <t xml:space="preserve">(c) Living alone </t>
  </si>
  <si>
    <t>(d) Smoker</t>
  </si>
  <si>
    <t>(e) Mental health problem or learning difficulty</t>
  </si>
  <si>
    <t>(f) Drug and alcohol use</t>
  </si>
  <si>
    <t xml:space="preserve">(g) Single adult present in the household (including single parenthood) </t>
  </si>
  <si>
    <t>(h) Domestic violence/abuse</t>
  </si>
  <si>
    <t xml:space="preserve">As defined in the Equality Act 2010. A person has a disability if:
</t>
  </si>
  <si>
    <t>a) they have a physical or mental impairment</t>
  </si>
  <si>
    <t>b) the impairment has a substantial and long-term adverse effect on their ability to perform normal day-to-day activities</t>
  </si>
  <si>
    <t>Data - Visits</t>
  </si>
  <si>
    <t>Data - Staff</t>
  </si>
  <si>
    <t>Raw data for FIRE 1201a and FIRE1201b</t>
  </si>
  <si>
    <t>Therefore, the number of staff carrying out the visits for Staffordshire is fewer than the number of visits.</t>
  </si>
  <si>
    <t>This table may not align with previous versions due to the submission of revised data from FRSs covering previous years.</t>
  </si>
  <si>
    <t xml:space="preserve">A lot of effort have been made by the Home Office and FRSs to improve the quality of data in this table. This has resulted in the revision of figures covering previous years. </t>
  </si>
  <si>
    <t>Additional information on the NFCC's person centred framework can be found here:</t>
  </si>
  <si>
    <t>https://www.ukfrs.com/prevention/standard-data-requirement-person-centred-framework</t>
  </si>
  <si>
    <t>Guidance</t>
  </si>
  <si>
    <t xml:space="preserve">Please note that this category does include those record in the 3 specific groups defined below. </t>
  </si>
  <si>
    <t>3-year change</t>
  </si>
  <si>
    <t>1-year change</t>
  </si>
  <si>
    <t>Person Centred Framework</t>
  </si>
  <si>
    <t xml:space="preserve">The Person Centred Framework provides guidance for all FRSs to further develop a consistent and evidence-based approach to conducting person-centred HFSV. </t>
  </si>
  <si>
    <t xml:space="preserve">The aim of the framework is to support and extend FRSs work to prevent fire, fire fatalities and serious injuries in the home setting. The home (or dwelling in the incident statistics) is where the majority of fire-related fatalities occur. </t>
  </si>
  <si>
    <t>The Framework encourages FRSs to work in partnership with others, to address the underlying causes of fire fatalities and injuries.</t>
  </si>
  <si>
    <t>More information is available at:</t>
  </si>
  <si>
    <t>Person Centred Framework | NFCC CPO (ukfrs.com)</t>
  </si>
  <si>
    <t>1. In 2016/17 Dorset FRS and Wiltshire FRS merged. The figures are presented merged for ease of long term comparison.</t>
  </si>
  <si>
    <t>(a) Person aged 65 years and over</t>
  </si>
  <si>
    <t>(i) Any other locally identified risk (e.g. rented accommodation)</t>
  </si>
  <si>
    <t xml:space="preserve">A face-to-face or in-person check is defined as one where FRS personnel, or a partner organisation on behalf of the FRS, crossed the threshold of the property. </t>
  </si>
  <si>
    <t>(9) Any other locally identified risk (e.g. rented accommodation)</t>
  </si>
  <si>
    <t>(1) Person aged 65 years and over</t>
  </si>
  <si>
    <t>At least 1 person aged 65 years and over and one person disabled (can be same person)</t>
  </si>
  <si>
    <t>At least 1 person aged 65 years and over , but no one in household disabled</t>
  </si>
  <si>
    <t xml:space="preserve">All people aged 65 years and under but at least 1 disabled person </t>
  </si>
  <si>
    <t>In light of this progression, the Home Office continues to review the data collection to ensure and establish a standardised and consistent system across FRSs for these checks. The NFCC has initiated the Person Centred Framework, streamlining data collection for HFSVs.</t>
  </si>
  <si>
    <t>Hampshire and Isle of Wight:</t>
  </si>
  <si>
    <t xml:space="preserve">Data for 2020/21 in this category is subject to data quality issues, as it was when the category was first introduced. </t>
  </si>
  <si>
    <t>1 For a list of FRAs and whether they are considered "Metropolitan", "Non Metropolitan", "Predominately Rural", "Significantly Rural" or "Predominantly Urban" please see the FRS geographical categories sheet.</t>
  </si>
  <si>
    <t>2 'Firefighters' here refers to all operational station staff who carry out visits, including crew managers and watch managers.</t>
  </si>
  <si>
    <t xml:space="preserve">During and subsequent to the COVID-19 pandemic, HFSVs were completed face-to-face and virtually. The Home Office data collection requests data on both types of method, with the distinction included in the Data-Visits sheet in this file. </t>
  </si>
  <si>
    <t>Home Fire Safety Visits visits that are carried out with a person that deemed 'vulnerable' , they are categorised in the 'at least 1 vulnerability or risk factor' column. Examples of vulnerabilities include:</t>
  </si>
  <si>
    <t>This category refers to Home Fire Safety Visits carried out with a person that is both elderly and disabled</t>
  </si>
  <si>
    <t>This category refers to Home Fire Safety Visits with households occupied by at least one person 65 years of age or over.</t>
  </si>
  <si>
    <t>(3) Putting together an escape plan in case a fire does break out and ensuring the householder has working smoke alarms. The HFSV can include installing a smoke alarm(s) where appropriate.</t>
  </si>
  <si>
    <t>A virtual or telephone check is defined as one where FRS personnel, or a partner organisation on behalf of the FRS, contacted an individual via video or phone call to conduct a HFSV.</t>
  </si>
  <si>
    <t>Method of HFSV</t>
  </si>
  <si>
    <t>Home Fire Safety Visits (HFSVs) carried out by FRSs and partners in England, by fire and rescue authority</t>
  </si>
  <si>
    <t>Home Fire Safety Visits (HFSVs) carried out by FRS personnel and partners in England, by fire and rescue authority</t>
  </si>
  <si>
    <t>Total number of Home Fire Safety Visits carried out by FRS personnel and partners</t>
  </si>
  <si>
    <t xml:space="preserve">It is noted that for several FRSs in previous years, the number of staff carrying out HFSVs are fewer that the number of visits. </t>
  </si>
  <si>
    <t>The number of staff carrying out HFSVs in the series could not be accurately reported for Staffordshire.</t>
  </si>
  <si>
    <t>Number of Home Fire Safety Visits carried out by FRS</t>
  </si>
  <si>
    <t>Number of Home Fire Safety Visits carried out by Partners</t>
  </si>
  <si>
    <t>The data presented in this table reflects the current state of data collection efforts by the Home Office, capturing the number of HFSVs and SWV. With evolving fire prevention activities, there has been a shift towards incorporating HFSVs and SWVs into a more comprehensive framework of Home Fire Safety Visits (HFSVs), as outlined under the Person Centred Framework.</t>
  </si>
  <si>
    <t>These can also be called Home Fire Safety Visits (HFSVs) and Home Fire Risk Checks (HFRCs).  However, in the Home Office published statistics, the checks are referred to as Home Fire Safety Visits (HFSVs). These comprise:</t>
  </si>
  <si>
    <t>Home Fire Safety Visit (HFSV):</t>
  </si>
  <si>
    <t>FIRE STATISTICS TABLE 1201 (Historical): Home Fire Safety Visits (HFSVs) carried out by FRSs and partners, by fire and rescue authority</t>
  </si>
  <si>
    <t>2. Prior to 2016/17 data supplied by Greater London FRS did not account for multiple personnel attending Home Fire Safety Visits and therefore are likely to be under-reported.</t>
  </si>
  <si>
    <t>Number of HFSVs carried out by FRS: People aged 65 years and over</t>
  </si>
  <si>
    <t>Number of HFSVs carried out by FRS: Disabled People</t>
  </si>
  <si>
    <t>Number of HFSVs carried out by Partners</t>
  </si>
  <si>
    <t>Raw data for FIRE 1201b</t>
  </si>
  <si>
    <t>FIRE1201b</t>
  </si>
  <si>
    <t>Staff carrying out HFSVs in England by fifre and rescue authority</t>
  </si>
  <si>
    <t>2023/24</t>
  </si>
  <si>
    <t>all aged under 65 but at least 1 person disabled</t>
  </si>
  <si>
    <t>at least 1 person aged 65+ and one person disabled (can be same person)</t>
  </si>
  <si>
    <t>at least 1 person aged 65+, but no one in household disabled</t>
  </si>
  <si>
    <t>England, year ending March 2024: data tables</t>
  </si>
  <si>
    <t>Crown copyright © 2024</t>
  </si>
  <si>
    <t>2018/19 to 2023/24</t>
  </si>
  <si>
    <t xml:space="preserve">Figures for "Fire Safety Visits carried out by Elderly (65+)", "Fire Safety Visits carried out by Disabled" and "Number of Fire Safety Visits carried out by Partners" </t>
  </si>
  <si>
    <t>The England total hours figures above for "Number of Fire Safety Visits carried out by FRS" include imputed figures to ensure a robust national figure. These imputed figures are:</t>
  </si>
  <si>
    <t>Home fire safety visit</t>
  </si>
  <si>
    <t>Number of staff carrying out Home Fire Safety Visits</t>
  </si>
  <si>
    <t>This data covers staff carrying out virtual visits as well as face to face visits.</t>
  </si>
  <si>
    <t>Published: 22 August 2024</t>
  </si>
  <si>
    <t>Accredited Offical Statistics?</t>
  </si>
  <si>
    <t>Next update: Autumn 2025</t>
  </si>
  <si>
    <r>
      <t>Select a fire and rescue authority</t>
    </r>
    <r>
      <rPr>
        <b/>
        <vertAlign val="superscript"/>
        <sz val="12"/>
        <color theme="1"/>
        <rFont val="Arial"/>
        <family val="2"/>
      </rPr>
      <t>1</t>
    </r>
    <r>
      <rPr>
        <b/>
        <sz val="12"/>
        <color theme="1"/>
        <rFont val="Arial"/>
        <family val="2"/>
      </rPr>
      <t xml:space="preserve"> (or other geographical category) from the drop-down list in the orange box below:</t>
    </r>
  </si>
  <si>
    <r>
      <t>Firefighter(s)</t>
    </r>
    <r>
      <rPr>
        <vertAlign val="superscript"/>
        <sz val="12"/>
        <color rgb="FF000000"/>
        <rFont val="Arial"/>
        <family val="2"/>
      </rPr>
      <t>2</t>
    </r>
  </si>
  <si>
    <t>1 Partners include organisations such as Home Improvement Services, Education, Social Services, the Voluntary Sector and Primary Care Trusts.</t>
  </si>
  <si>
    <t>2 For a list of FRAs and whether they are considered "Metropolitan", "Non Metropolitan", "Predominately Rural", "Significantly Rural" or "Predominantly Urban" please see the FRS geographical categories sheet.</t>
  </si>
  <si>
    <t>3 HFSVs that are carried out with a person that deemed 'vulnerable' , they are categorised in the 'at least 1 vulnerability or risk factor' column. Examples of vulnerabilities include:</t>
  </si>
  <si>
    <t>4 This category refers to HFSVs with households occupied by at least one person 65 years of age or over and at least one disabled person (can be the same person).</t>
  </si>
  <si>
    <t>5 This category refers to HFSVs with households occupied by at least one person aged 65 years and over.</t>
  </si>
  <si>
    <t>6 This category refers to HFSVs with households occupied by a disabled person and those with all members aged 64 years and under.</t>
  </si>
  <si>
    <t>7 This category refers to HFSVs that are not targeted at people deemed ‘vulnerable’ or ‘at risk’.</t>
  </si>
  <si>
    <r>
      <t>Select a fire and rescue authority</t>
    </r>
    <r>
      <rPr>
        <b/>
        <vertAlign val="superscript"/>
        <sz val="12"/>
        <color theme="1"/>
        <rFont val="Arial"/>
        <family val="2"/>
      </rPr>
      <t>2</t>
    </r>
    <r>
      <rPr>
        <b/>
        <sz val="12"/>
        <color theme="1"/>
        <rFont val="Arial"/>
        <family val="2"/>
      </rPr>
      <t xml:space="preserve"> (or other geographical category</t>
    </r>
    <r>
      <rPr>
        <b/>
        <vertAlign val="superscript"/>
        <sz val="12"/>
        <color theme="1"/>
        <rFont val="Arial"/>
        <family val="2"/>
      </rPr>
      <t>2</t>
    </r>
    <r>
      <rPr>
        <b/>
        <sz val="12"/>
        <color theme="1"/>
        <rFont val="Arial"/>
        <family val="2"/>
      </rPr>
      <t>) from the drop-down list in the orange box below:</t>
    </r>
  </si>
  <si>
    <t>There was a large reduction in the number of Home Fire Safety Visits (HFSVs) in year ending March 2021, due to lockdowns and social restrictions in response to COVID-19.</t>
  </si>
  <si>
    <t>Average number of staff per HFSV</t>
  </si>
  <si>
    <r>
      <t>Urban/Rural category</t>
    </r>
    <r>
      <rPr>
        <b/>
        <vertAlign val="superscript"/>
        <sz val="12"/>
        <color theme="1"/>
        <rFont val="Arial"/>
        <family val="2"/>
      </rPr>
      <t>1</t>
    </r>
  </si>
  <si>
    <r>
      <t>Dorset and Wiltshire</t>
    </r>
    <r>
      <rPr>
        <vertAlign val="superscript"/>
        <sz val="12"/>
        <color theme="1"/>
        <rFont val="Arial"/>
        <family val="2"/>
      </rPr>
      <t>1</t>
    </r>
  </si>
  <si>
    <r>
      <t>Greater London</t>
    </r>
    <r>
      <rPr>
        <vertAlign val="superscript"/>
        <sz val="12"/>
        <color theme="1"/>
        <rFont val="Arial"/>
        <family val="2"/>
      </rPr>
      <t>2</t>
    </r>
  </si>
  <si>
    <r>
      <t>at least 1 person with at least 1 vulnerability or risk factor</t>
    </r>
    <r>
      <rPr>
        <vertAlign val="superscript"/>
        <sz val="12"/>
        <rFont val="Arial"/>
        <family val="2"/>
      </rPr>
      <t>3</t>
    </r>
  </si>
  <si>
    <r>
      <t>At least 1 person aged 65 years and over and one person disabled (can be same person)</t>
    </r>
    <r>
      <rPr>
        <vertAlign val="superscript"/>
        <sz val="12"/>
        <color theme="1"/>
        <rFont val="Arial"/>
        <family val="2"/>
      </rPr>
      <t>4</t>
    </r>
  </si>
  <si>
    <r>
      <t>At least 1 person aged 65 years and over, but no one in household disabled</t>
    </r>
    <r>
      <rPr>
        <vertAlign val="superscript"/>
        <sz val="12"/>
        <color theme="1"/>
        <rFont val="Arial"/>
        <family val="2"/>
      </rPr>
      <t>5</t>
    </r>
  </si>
  <si>
    <r>
      <t>All aged 65 years and under but at least 1 person disabled</t>
    </r>
    <r>
      <rPr>
        <vertAlign val="superscript"/>
        <sz val="12"/>
        <color theme="1"/>
        <rFont val="Arial"/>
        <family val="2"/>
      </rPr>
      <t>6</t>
    </r>
  </si>
  <si>
    <r>
      <t>Non targeted</t>
    </r>
    <r>
      <rPr>
        <vertAlign val="superscript"/>
        <sz val="12"/>
        <color theme="1"/>
        <rFont val="Arial"/>
        <family val="2"/>
      </rPr>
      <t>7</t>
    </r>
  </si>
  <si>
    <r>
      <t>Non targeted</t>
    </r>
    <r>
      <rPr>
        <vertAlign val="superscript"/>
        <sz val="12"/>
        <rFont val="Arial"/>
        <family val="2"/>
      </rPr>
      <t>7</t>
    </r>
  </si>
  <si>
    <r>
      <t>FIRE STATISTICS TABLE 1201a: Home Fire Safety Visits carried out by FRS personnel and partners</t>
    </r>
    <r>
      <rPr>
        <b/>
        <vertAlign val="superscript"/>
        <sz val="12"/>
        <color theme="1"/>
        <rFont val="Arial Black"/>
        <family val="2"/>
      </rPr>
      <t>1</t>
    </r>
    <r>
      <rPr>
        <b/>
        <sz val="12"/>
        <color theme="1"/>
        <rFont val="Arial Black"/>
        <family val="2"/>
      </rPr>
      <t>, in England, by fire and rescue authority</t>
    </r>
  </si>
  <si>
    <r>
      <t>FIRE STATISTICS TABLE 1201b: Number of staff carrying out Home Fire Safety Visits,</t>
    </r>
    <r>
      <rPr>
        <b/>
        <vertAlign val="superscript"/>
        <sz val="12"/>
        <color rgb="FF000000"/>
        <rFont val="Arial Black"/>
        <family val="2"/>
      </rPr>
      <t xml:space="preserve"> </t>
    </r>
    <r>
      <rPr>
        <b/>
        <sz val="12"/>
        <color rgb="FF000000"/>
        <rFont val="Arial Black"/>
        <family val="2"/>
      </rPr>
      <t>in England,</t>
    </r>
    <r>
      <rPr>
        <b/>
        <vertAlign val="superscript"/>
        <sz val="12"/>
        <color rgb="FF000000"/>
        <rFont val="Arial Black"/>
        <family val="2"/>
      </rPr>
      <t xml:space="preserve"> </t>
    </r>
    <r>
      <rPr>
        <b/>
        <sz val="12"/>
        <color rgb="FF000000"/>
        <rFont val="Arial Black"/>
        <family val="2"/>
      </rPr>
      <t>by staff role type and fire and rescue authority</t>
    </r>
  </si>
  <si>
    <t>Publication Date: 22 August 2024</t>
  </si>
  <si>
    <t>HFSVs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</si>
</sst>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0.0"/>
    <numFmt numFmtId="165" formatCode="0.0%"/>
    <numFmt numFmtId="166" formatCode="#,##0.0"/>
  </numFmts>
  <fonts count="57" x14ac:knownFonts="1">
    <font>
      <sz val="11"/>
      <color theme="1"/>
      <name val="Calibri"/>
      <family val="2"/>
      <scheme val="minor"/>
    </font>
    <font>
      <sz val="11"/>
      <color theme="1"/>
      <name val="Calibri"/>
      <family val="2"/>
      <scheme val="minor"/>
    </font>
    <font>
      <b/>
      <sz val="11"/>
      <color theme="1"/>
      <name val="Calibri"/>
      <family val="2"/>
      <scheme val="minor"/>
    </font>
    <font>
      <u/>
      <sz val="11"/>
      <color theme="10"/>
      <name val="Calibri"/>
      <family val="2"/>
      <scheme val="minor"/>
    </font>
    <font>
      <sz val="12"/>
      <color rgb="FF000000"/>
      <name val="Arial"/>
      <family val="2"/>
    </font>
    <font>
      <sz val="10"/>
      <color rgb="FF000000"/>
      <name val="Arial"/>
      <family val="2"/>
    </font>
    <font>
      <u/>
      <sz val="12"/>
      <color theme="10"/>
      <name val="Arial"/>
      <family val="2"/>
    </font>
    <font>
      <sz val="11"/>
      <color rgb="FF000000"/>
      <name val="Calibri"/>
      <family val="2"/>
    </font>
    <font>
      <b/>
      <sz val="12"/>
      <color rgb="FF000000"/>
      <name val="Arial"/>
      <family val="2"/>
    </font>
    <font>
      <u/>
      <sz val="10"/>
      <color rgb="FF0000FF"/>
      <name val="Arial"/>
      <family val="2"/>
    </font>
    <font>
      <u/>
      <sz val="12"/>
      <color rgb="FF0000FF"/>
      <name val="Arial"/>
      <family val="2"/>
    </font>
    <font>
      <u/>
      <sz val="11"/>
      <color rgb="FF0563C1"/>
      <name val="Calibri"/>
      <family val="2"/>
    </font>
    <font>
      <u/>
      <sz val="12"/>
      <color rgb="FF0563C1"/>
      <name val="Arial"/>
      <family val="2"/>
    </font>
    <font>
      <sz val="11"/>
      <color rgb="FF000000"/>
      <name val="Arial"/>
      <family val="2"/>
    </font>
    <font>
      <b/>
      <sz val="14"/>
      <color rgb="FF000000"/>
      <name val="Arial"/>
      <family val="2"/>
    </font>
    <font>
      <sz val="12"/>
      <color theme="1"/>
      <name val="Arial"/>
      <family val="2"/>
    </font>
    <font>
      <b/>
      <sz val="11"/>
      <name val="Calibri"/>
      <family val="2"/>
      <scheme val="minor"/>
    </font>
    <font>
      <sz val="11"/>
      <name val="Calibri"/>
      <family val="2"/>
      <scheme val="minor"/>
    </font>
    <font>
      <b/>
      <sz val="11"/>
      <color rgb="FF000000"/>
      <name val="Calibri"/>
      <family val="2"/>
    </font>
    <font>
      <sz val="11"/>
      <color rgb="FF000000"/>
      <name val="Calibri"/>
      <family val="2"/>
      <scheme val="minor"/>
    </font>
    <font>
      <b/>
      <sz val="11"/>
      <color rgb="FF000000"/>
      <name val="Arial"/>
      <family val="2"/>
    </font>
    <font>
      <b/>
      <sz val="11"/>
      <color rgb="FF000000"/>
      <name val="Calibri"/>
      <family val="2"/>
      <scheme val="minor"/>
    </font>
    <font>
      <b/>
      <sz val="14"/>
      <color rgb="FF000000"/>
      <name val="Arial Black"/>
      <family val="2"/>
    </font>
    <font>
      <sz val="11"/>
      <color rgb="FF000000"/>
      <name val="Arial Black"/>
      <family val="2"/>
    </font>
    <font>
      <sz val="8"/>
      <name val="Calibri"/>
      <family val="2"/>
      <scheme val="minor"/>
    </font>
    <font>
      <b/>
      <sz val="11"/>
      <color rgb="FFFFFFFF"/>
      <name val="Arial Black"/>
      <family val="2"/>
    </font>
    <font>
      <sz val="10"/>
      <name val="MS Sans Serif"/>
      <family val="2"/>
    </font>
    <font>
      <b/>
      <sz val="8"/>
      <color indexed="43"/>
      <name val="Arial"/>
      <family val="2"/>
    </font>
    <font>
      <sz val="8"/>
      <color theme="1"/>
      <name val="Calibri"/>
      <family val="2"/>
      <scheme val="minor"/>
    </font>
    <font>
      <sz val="10"/>
      <name val="Arial"/>
      <family val="2"/>
    </font>
    <font>
      <sz val="8"/>
      <name val="Arial"/>
      <family val="2"/>
    </font>
    <font>
      <b/>
      <sz val="8"/>
      <name val="Arial"/>
      <family val="2"/>
    </font>
    <font>
      <b/>
      <sz val="8"/>
      <name val="MS Sans Serif"/>
      <family val="2"/>
    </font>
    <font>
      <b/>
      <sz val="8"/>
      <color theme="1"/>
      <name val="Calibri"/>
      <family val="2"/>
      <scheme val="minor"/>
    </font>
    <font>
      <sz val="11"/>
      <color rgb="FFFF0000"/>
      <name val="Calibri"/>
      <family val="2"/>
      <scheme val="minor"/>
    </font>
    <font>
      <u/>
      <sz val="11"/>
      <color theme="10"/>
      <name val="Arial"/>
      <family val="2"/>
    </font>
    <font>
      <b/>
      <sz val="12"/>
      <color theme="1"/>
      <name val="Arial"/>
      <family val="2"/>
    </font>
    <font>
      <sz val="12"/>
      <name val="Arial"/>
      <family val="2"/>
    </font>
    <font>
      <sz val="11"/>
      <color theme="1"/>
      <name val="Arial"/>
      <family val="2"/>
    </font>
    <font>
      <b/>
      <vertAlign val="superscript"/>
      <sz val="12"/>
      <color theme="1"/>
      <name val="Arial"/>
      <family val="2"/>
    </font>
    <font>
      <vertAlign val="superscript"/>
      <sz val="12"/>
      <color rgb="FF000000"/>
      <name val="Arial"/>
      <family val="2"/>
    </font>
    <font>
      <b/>
      <sz val="12"/>
      <name val="Arial"/>
      <family val="2"/>
    </font>
    <font>
      <sz val="12"/>
      <color theme="0"/>
      <name val="Arial"/>
      <family val="2"/>
    </font>
    <font>
      <sz val="12"/>
      <color rgb="FF0000FF"/>
      <name val="Arial"/>
      <family val="2"/>
    </font>
    <font>
      <b/>
      <sz val="12"/>
      <color rgb="FF0000FF"/>
      <name val="Arial"/>
      <family val="2"/>
    </font>
    <font>
      <b/>
      <sz val="12"/>
      <color rgb="FFFFFFFF"/>
      <name val="Arial"/>
      <family val="2"/>
    </font>
    <font>
      <vertAlign val="superscript"/>
      <sz val="12"/>
      <color theme="1"/>
      <name val="Arial"/>
      <family val="2"/>
    </font>
    <font>
      <vertAlign val="superscript"/>
      <sz val="12"/>
      <name val="Arial"/>
      <family val="2"/>
    </font>
    <font>
      <sz val="18"/>
      <color rgb="FF0000FF"/>
      <name val="Arial"/>
      <family val="2"/>
    </font>
    <font>
      <sz val="22"/>
      <color rgb="FF0000FF"/>
      <name val="Arial"/>
      <family val="2"/>
    </font>
    <font>
      <sz val="14"/>
      <color rgb="FF000000"/>
      <name val="Arial"/>
      <family val="2"/>
    </font>
    <font>
      <b/>
      <sz val="12"/>
      <color theme="1"/>
      <name val="Arial Black"/>
      <family val="2"/>
    </font>
    <font>
      <b/>
      <vertAlign val="superscript"/>
      <sz val="12"/>
      <color theme="1"/>
      <name val="Arial Black"/>
      <family val="2"/>
    </font>
    <font>
      <b/>
      <sz val="12"/>
      <name val="Arial Black"/>
      <family val="2"/>
    </font>
    <font>
      <b/>
      <sz val="12"/>
      <color rgb="FFFFFFFF"/>
      <name val="Arial Black"/>
      <family val="2"/>
    </font>
    <font>
      <b/>
      <sz val="12"/>
      <color rgb="FF000000"/>
      <name val="Arial Black"/>
      <family val="2"/>
    </font>
    <font>
      <b/>
      <vertAlign val="superscript"/>
      <sz val="12"/>
      <color rgb="FF000000"/>
      <name val="Arial Black"/>
      <family val="2"/>
    </font>
  </fonts>
  <fills count="10">
    <fill>
      <patternFill patternType="none"/>
    </fill>
    <fill>
      <patternFill patternType="gray125"/>
    </fill>
    <fill>
      <patternFill patternType="solid">
        <fgColor rgb="FFFFFFFF"/>
        <bgColor rgb="FFFFFFFF"/>
      </patternFill>
    </fill>
    <fill>
      <patternFill patternType="solid">
        <fgColor theme="0"/>
        <bgColor rgb="FFFFFFFF"/>
      </patternFill>
    </fill>
    <fill>
      <patternFill patternType="solid">
        <fgColor theme="0"/>
        <bgColor indexed="64"/>
      </patternFill>
    </fill>
    <fill>
      <patternFill patternType="solid">
        <fgColor rgb="FFFF0000"/>
        <bgColor indexed="64"/>
      </patternFill>
    </fill>
    <fill>
      <patternFill patternType="solid">
        <fgColor rgb="FFFFC000"/>
        <bgColor indexed="64"/>
      </patternFill>
    </fill>
    <fill>
      <patternFill patternType="solid">
        <fgColor theme="0"/>
        <bgColor rgb="FFFF0000"/>
      </patternFill>
    </fill>
    <fill>
      <patternFill patternType="solid">
        <fgColor rgb="FFFFC000"/>
        <bgColor rgb="FFFFC000"/>
      </patternFill>
    </fill>
    <fill>
      <patternFill patternType="solid">
        <fgColor indexed="10"/>
        <bgColor indexed="64"/>
      </patternFill>
    </fill>
  </fills>
  <borders count="8">
    <border>
      <left/>
      <right/>
      <top/>
      <bottom/>
      <diagonal/>
    </border>
    <border>
      <left/>
      <right/>
      <top/>
      <bottom style="medium">
        <color rgb="FFFF0000"/>
      </bottom>
      <diagonal/>
    </border>
    <border>
      <left/>
      <right/>
      <top style="medium">
        <color rgb="FFFF0000"/>
      </top>
      <bottom style="medium">
        <color rgb="FFFF0000"/>
      </bottom>
      <diagonal/>
    </border>
    <border>
      <left/>
      <right/>
      <top style="medium">
        <color rgb="FFFF0000"/>
      </top>
      <bottom/>
      <diagonal/>
    </border>
    <border>
      <left/>
      <right/>
      <top/>
      <bottom style="medium">
        <color auto="1"/>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s>
  <cellStyleXfs count="19">
    <xf numFmtId="0" fontId="0" fillId="0" borderId="0"/>
    <xf numFmtId="0" fontId="3" fillId="0" borderId="0" applyNumberFormat="0" applyFill="0" applyBorder="0" applyAlignment="0" applyProtection="0"/>
    <xf numFmtId="0" fontId="4" fillId="0" borderId="0" applyNumberFormat="0" applyBorder="0" applyProtection="0"/>
    <xf numFmtId="0" fontId="5" fillId="0" borderId="0" applyNumberFormat="0" applyBorder="0" applyProtection="0"/>
    <xf numFmtId="0" fontId="3" fillId="0" borderId="0" applyNumberFormat="0" applyFill="0" applyBorder="0" applyAlignment="0" applyProtection="0"/>
    <xf numFmtId="0" fontId="7" fillId="0" borderId="0" applyNumberFormat="0" applyFont="0" applyBorder="0" applyProtection="0"/>
    <xf numFmtId="0" fontId="9" fillId="0" borderId="0" applyNumberFormat="0" applyFill="0" applyBorder="0" applyAlignment="0" applyProtection="0"/>
    <xf numFmtId="0" fontId="11" fillId="0" borderId="0" applyNumberFormat="0" applyFill="0" applyBorder="0" applyAlignment="0" applyProtection="0"/>
    <xf numFmtId="0" fontId="1" fillId="0" borderId="0"/>
    <xf numFmtId="0" fontId="9" fillId="0" borderId="0" applyNumberFormat="0" applyFill="0" applyBorder="0" applyAlignment="0" applyProtection="0"/>
    <xf numFmtId="0" fontId="7" fillId="0" borderId="0"/>
    <xf numFmtId="0" fontId="7" fillId="0" borderId="0" applyNumberFormat="0" applyFont="0" applyBorder="0" applyProtection="0"/>
    <xf numFmtId="0" fontId="1" fillId="0" borderId="0"/>
    <xf numFmtId="0" fontId="1" fillId="0" borderId="0"/>
    <xf numFmtId="0" fontId="19" fillId="0" borderId="0"/>
    <xf numFmtId="0" fontId="7" fillId="0" borderId="0"/>
    <xf numFmtId="0" fontId="26" fillId="0" borderId="0"/>
    <xf numFmtId="0" fontId="29" fillId="0" borderId="0"/>
    <xf numFmtId="9" fontId="1" fillId="0" borderId="0" applyFont="0" applyFill="0" applyBorder="0" applyAlignment="0" applyProtection="0"/>
  </cellStyleXfs>
  <cellXfs count="254">
    <xf numFmtId="0" fontId="0" fillId="0" borderId="0" xfId="0"/>
    <xf numFmtId="0" fontId="6" fillId="2" borderId="0" xfId="4" applyFont="1" applyFill="1" applyAlignment="1"/>
    <xf numFmtId="0" fontId="4" fillId="2" borderId="0" xfId="5" applyFont="1" applyFill="1"/>
    <xf numFmtId="0" fontId="10" fillId="2" borderId="0" xfId="6" applyFont="1" applyFill="1" applyAlignment="1"/>
    <xf numFmtId="0" fontId="6" fillId="2" borderId="0" xfId="1" applyFont="1" applyFill="1"/>
    <xf numFmtId="0" fontId="12" fillId="2" borderId="0" xfId="7" applyFont="1" applyFill="1" applyAlignment="1"/>
    <xf numFmtId="0" fontId="8" fillId="2" borderId="0" xfId="3" applyFont="1" applyFill="1"/>
    <xf numFmtId="0" fontId="4" fillId="2" borderId="0" xfId="3" applyFont="1" applyFill="1"/>
    <xf numFmtId="0" fontId="4" fillId="3" borderId="0" xfId="3" applyFont="1" applyFill="1" applyAlignment="1">
      <alignment horizontal="left"/>
    </xf>
    <xf numFmtId="0" fontId="4" fillId="2" borderId="0" xfId="3" applyFont="1" applyFill="1" applyAlignment="1">
      <alignment horizontal="left"/>
    </xf>
    <xf numFmtId="0" fontId="10" fillId="2" borderId="0" xfId="9" applyFont="1" applyFill="1" applyAlignment="1"/>
    <xf numFmtId="0" fontId="8" fillId="2" borderId="0" xfId="8" applyFont="1" applyFill="1" applyAlignment="1">
      <alignment wrapText="1"/>
    </xf>
    <xf numFmtId="0" fontId="8" fillId="3" borderId="0" xfId="8" applyFont="1" applyFill="1" applyAlignment="1">
      <alignment wrapText="1"/>
    </xf>
    <xf numFmtId="0" fontId="8" fillId="2" borderId="0" xfId="8" applyFont="1" applyFill="1" applyAlignment="1">
      <alignment horizontal="left" wrapText="1"/>
    </xf>
    <xf numFmtId="0" fontId="4" fillId="2" borderId="0" xfId="11" applyFont="1" applyFill="1" applyAlignment="1">
      <alignment horizontal="left" wrapText="1"/>
    </xf>
    <xf numFmtId="1" fontId="4" fillId="2" borderId="0" xfId="11" applyNumberFormat="1" applyFont="1" applyFill="1" applyAlignment="1">
      <alignment horizontal="left"/>
    </xf>
    <xf numFmtId="3" fontId="2" fillId="0" borderId="0" xfId="13" applyNumberFormat="1" applyFont="1" applyAlignment="1">
      <alignment horizontal="center" vertical="center"/>
    </xf>
    <xf numFmtId="3" fontId="0" fillId="0" borderId="0" xfId="13" applyNumberFormat="1" applyFont="1" applyAlignment="1">
      <alignment horizontal="center" vertical="center"/>
    </xf>
    <xf numFmtId="3" fontId="0" fillId="0" borderId="0" xfId="13" applyNumberFormat="1" applyFont="1" applyAlignment="1">
      <alignment horizontal="right"/>
    </xf>
    <xf numFmtId="3" fontId="0" fillId="0" borderId="0" xfId="0" applyNumberFormat="1"/>
    <xf numFmtId="3" fontId="0" fillId="0" borderId="0" xfId="0" applyNumberFormat="1" applyAlignment="1">
      <alignment horizontal="center"/>
    </xf>
    <xf numFmtId="3" fontId="0" fillId="0" borderId="0" xfId="13" applyNumberFormat="1" applyFont="1" applyAlignment="1">
      <alignment wrapText="1"/>
    </xf>
    <xf numFmtId="3" fontId="2" fillId="0" borderId="0" xfId="13" applyNumberFormat="1" applyFont="1" applyAlignment="1">
      <alignment horizontal="center" vertical="center" wrapText="1"/>
    </xf>
    <xf numFmtId="3" fontId="1" fillId="0" borderId="0" xfId="13" applyNumberFormat="1" applyAlignment="1">
      <alignment horizontal="center" vertical="center" wrapText="1"/>
    </xf>
    <xf numFmtId="3" fontId="0" fillId="0" borderId="0" xfId="0" applyNumberFormat="1" applyAlignment="1">
      <alignment wrapText="1"/>
    </xf>
    <xf numFmtId="3" fontId="0" fillId="0" borderId="0" xfId="13" applyNumberFormat="1" applyFont="1"/>
    <xf numFmtId="3" fontId="17" fillId="0" borderId="0" xfId="0" applyNumberFormat="1" applyFont="1"/>
    <xf numFmtId="3" fontId="17" fillId="0" borderId="0" xfId="0" applyNumberFormat="1" applyFont="1" applyAlignment="1">
      <alignment horizontal="center"/>
    </xf>
    <xf numFmtId="0" fontId="0" fillId="0" borderId="0" xfId="0" applyAlignment="1">
      <alignment horizontal="center" vertical="center"/>
    </xf>
    <xf numFmtId="3" fontId="19" fillId="0" borderId="0" xfId="0" applyNumberFormat="1" applyFont="1" applyAlignment="1">
      <alignment horizontal="right"/>
    </xf>
    <xf numFmtId="3" fontId="13" fillId="0" borderId="0" xfId="0" applyNumberFormat="1" applyFont="1" applyAlignment="1">
      <alignment horizontal="right"/>
    </xf>
    <xf numFmtId="0" fontId="23" fillId="0" borderId="0" xfId="0" applyFont="1"/>
    <xf numFmtId="0" fontId="2" fillId="0" borderId="0" xfId="0" applyFont="1"/>
    <xf numFmtId="0" fontId="14" fillId="0" borderId="0" xfId="0" applyFont="1"/>
    <xf numFmtId="0" fontId="13" fillId="0" borderId="0" xfId="0" applyFont="1"/>
    <xf numFmtId="0" fontId="18" fillId="0" borderId="0" xfId="0" applyFont="1"/>
    <xf numFmtId="0" fontId="0" fillId="0" borderId="0" xfId="0" applyAlignment="1">
      <alignment horizontal="center" vertical="center" wrapText="1"/>
    </xf>
    <xf numFmtId="0" fontId="2" fillId="0" borderId="0" xfId="0" applyFont="1" applyAlignment="1">
      <alignment horizontal="center" vertical="center" wrapText="1"/>
    </xf>
    <xf numFmtId="0" fontId="21" fillId="0" borderId="0" xfId="0" applyFont="1" applyAlignment="1">
      <alignment horizontal="center" vertical="center" wrapText="1"/>
    </xf>
    <xf numFmtId="0" fontId="19" fillId="0" borderId="0" xfId="0" applyFont="1" applyAlignment="1">
      <alignment horizontal="center" vertical="center" wrapText="1"/>
    </xf>
    <xf numFmtId="0" fontId="20" fillId="0" borderId="0" xfId="0" applyFont="1" applyAlignment="1">
      <alignment wrapText="1"/>
    </xf>
    <xf numFmtId="0" fontId="7" fillId="0" borderId="0" xfId="0" applyFont="1"/>
    <xf numFmtId="3" fontId="1" fillId="0" borderId="0" xfId="13" applyNumberFormat="1" applyAlignment="1">
      <alignment horizontal="center" vertical="center"/>
    </xf>
    <xf numFmtId="0" fontId="20" fillId="0" borderId="0" xfId="0" applyFont="1"/>
    <xf numFmtId="3" fontId="16" fillId="0" borderId="0" xfId="0" applyNumberFormat="1" applyFont="1"/>
    <xf numFmtId="3" fontId="17" fillId="0" borderId="0" xfId="13" applyNumberFormat="1" applyFont="1" applyAlignment="1">
      <alignment horizontal="center" vertical="center" wrapText="1"/>
    </xf>
    <xf numFmtId="3" fontId="2" fillId="0" borderId="0" xfId="0" applyNumberFormat="1" applyFont="1"/>
    <xf numFmtId="3" fontId="0" fillId="0" borderId="0" xfId="0" applyNumberFormat="1" applyAlignment="1">
      <alignment horizontal="center" vertical="center" wrapText="1"/>
    </xf>
    <xf numFmtId="3" fontId="2" fillId="0" borderId="0" xfId="13" applyNumberFormat="1" applyFont="1" applyAlignment="1">
      <alignment vertical="center" wrapText="1"/>
    </xf>
    <xf numFmtId="3" fontId="17" fillId="0" borderId="0" xfId="13" applyNumberFormat="1" applyFont="1" applyAlignment="1">
      <alignment vertical="center" wrapText="1"/>
    </xf>
    <xf numFmtId="3" fontId="2" fillId="0" borderId="0" xfId="13" applyNumberFormat="1" applyFont="1" applyAlignment="1">
      <alignment horizontal="center"/>
    </xf>
    <xf numFmtId="3" fontId="16" fillId="0" borderId="0" xfId="0" applyNumberFormat="1" applyFont="1" applyAlignment="1">
      <alignment horizontal="center"/>
    </xf>
    <xf numFmtId="0" fontId="1" fillId="3" borderId="0" xfId="13" applyFill="1" applyAlignment="1">
      <alignment wrapText="1"/>
    </xf>
    <xf numFmtId="0" fontId="1" fillId="4" borderId="0" xfId="13" applyFill="1" applyAlignment="1">
      <alignment wrapText="1"/>
    </xf>
    <xf numFmtId="0" fontId="18" fillId="3" borderId="0" xfId="15" applyFont="1" applyFill="1" applyAlignment="1">
      <alignment vertical="center"/>
    </xf>
    <xf numFmtId="0" fontId="7" fillId="4" borderId="0" xfId="15" applyFill="1"/>
    <xf numFmtId="0" fontId="1" fillId="3" borderId="0" xfId="13" applyFill="1"/>
    <xf numFmtId="0" fontId="1" fillId="4" borderId="0" xfId="13" applyFill="1"/>
    <xf numFmtId="0" fontId="1" fillId="4" borderId="0" xfId="13" applyFill="1" applyAlignment="1">
      <alignment horizontal="center" wrapText="1"/>
    </xf>
    <xf numFmtId="0" fontId="1" fillId="3" borderId="0" xfId="13" applyFill="1" applyAlignment="1">
      <alignment horizontal="right" vertical="center" wrapText="1"/>
    </xf>
    <xf numFmtId="0" fontId="2" fillId="3" borderId="3" xfId="13" applyFont="1" applyFill="1" applyBorder="1"/>
    <xf numFmtId="3" fontId="2" fillId="4" borderId="0" xfId="13" applyNumberFormat="1" applyFont="1" applyFill="1" applyAlignment="1">
      <alignment horizontal="right"/>
    </xf>
    <xf numFmtId="1" fontId="1" fillId="3" borderId="0" xfId="13" applyNumberFormat="1" applyFill="1"/>
    <xf numFmtId="164" fontId="1" fillId="4" borderId="0" xfId="13" applyNumberFormat="1" applyFill="1"/>
    <xf numFmtId="0" fontId="2" fillId="3" borderId="0" xfId="13" applyFont="1" applyFill="1"/>
    <xf numFmtId="1" fontId="1" fillId="4" borderId="0" xfId="13" applyNumberFormat="1" applyFill="1"/>
    <xf numFmtId="3" fontId="1" fillId="4" borderId="0" xfId="13" applyNumberFormat="1" applyFill="1" applyAlignment="1">
      <alignment horizontal="right"/>
    </xf>
    <xf numFmtId="3" fontId="1" fillId="3" borderId="0" xfId="13" applyNumberFormat="1" applyFill="1"/>
    <xf numFmtId="0" fontId="1" fillId="3" borderId="0" xfId="13" applyFill="1" applyAlignment="1">
      <alignment horizontal="left" wrapText="1"/>
    </xf>
    <xf numFmtId="0" fontId="18" fillId="3" borderId="0" xfId="13" applyFont="1" applyFill="1"/>
    <xf numFmtId="0" fontId="1" fillId="3" borderId="0" xfId="13" applyFill="1" applyAlignment="1">
      <alignment horizontal="right"/>
    </xf>
    <xf numFmtId="0" fontId="11" fillId="3" borderId="0" xfId="7" applyFill="1"/>
    <xf numFmtId="0" fontId="1" fillId="3" borderId="1" xfId="13" applyFill="1" applyBorder="1" applyAlignment="1">
      <alignment horizontal="center"/>
    </xf>
    <xf numFmtId="0" fontId="1" fillId="4" borderId="0" xfId="13" applyFill="1" applyAlignment="1">
      <alignment horizontal="center"/>
    </xf>
    <xf numFmtId="0" fontId="1" fillId="3" borderId="1" xfId="13" applyFill="1" applyBorder="1" applyAlignment="1">
      <alignment horizontal="left" vertical="center" wrapText="1"/>
    </xf>
    <xf numFmtId="0" fontId="1" fillId="3" borderId="1" xfId="13" applyFill="1" applyBorder="1" applyAlignment="1">
      <alignment horizontal="center" vertical="center" wrapText="1"/>
    </xf>
    <xf numFmtId="1" fontId="1" fillId="3" borderId="0" xfId="13" quotePrefix="1" applyNumberFormat="1" applyFill="1"/>
    <xf numFmtId="0" fontId="1" fillId="4" borderId="0" xfId="13" quotePrefix="1" applyFill="1"/>
    <xf numFmtId="0" fontId="28" fillId="0" borderId="0" xfId="13" applyFont="1"/>
    <xf numFmtId="0" fontId="30" fillId="0" borderId="5" xfId="17" applyFont="1" applyBorder="1" applyAlignment="1">
      <alignment vertical="center"/>
    </xf>
    <xf numFmtId="0" fontId="30" fillId="0" borderId="7" xfId="17" applyFont="1" applyBorder="1" applyAlignment="1">
      <alignment vertical="center"/>
    </xf>
    <xf numFmtId="0" fontId="31" fillId="0" borderId="6" xfId="17" applyFont="1" applyBorder="1" applyAlignment="1">
      <alignment horizontal="right" vertical="center" wrapText="1"/>
    </xf>
    <xf numFmtId="0" fontId="33" fillId="0" borderId="0" xfId="13" applyFont="1"/>
    <xf numFmtId="3" fontId="33" fillId="0" borderId="0" xfId="13" applyNumberFormat="1" applyFont="1"/>
    <xf numFmtId="3" fontId="28" fillId="0" borderId="0" xfId="13" applyNumberFormat="1" applyFont="1" applyAlignment="1">
      <alignment horizontal="right"/>
    </xf>
    <xf numFmtId="3" fontId="28" fillId="0" borderId="0" xfId="13" applyNumberFormat="1" applyFont="1"/>
    <xf numFmtId="0" fontId="15" fillId="4" borderId="0" xfId="12" applyFont="1" applyFill="1"/>
    <xf numFmtId="3" fontId="34" fillId="0" borderId="0" xfId="0" applyNumberFormat="1" applyFont="1" applyAlignment="1">
      <alignment horizontal="center"/>
    </xf>
    <xf numFmtId="3" fontId="34" fillId="0" borderId="0" xfId="13" applyNumberFormat="1" applyFont="1" applyAlignment="1">
      <alignment horizontal="center"/>
    </xf>
    <xf numFmtId="0" fontId="6" fillId="2" borderId="0" xfId="1" applyFont="1" applyFill="1" applyAlignment="1">
      <alignment wrapText="1"/>
    </xf>
    <xf numFmtId="0" fontId="4" fillId="2" borderId="0" xfId="8" applyFont="1" applyFill="1" applyAlignment="1">
      <alignment wrapText="1"/>
    </xf>
    <xf numFmtId="9" fontId="34" fillId="0" borderId="0" xfId="18" applyFont="1" applyFill="1" applyBorder="1" applyAlignment="1">
      <alignment horizontal="center"/>
    </xf>
    <xf numFmtId="165" fontId="34" fillId="0" borderId="0" xfId="18" applyNumberFormat="1" applyFont="1" applyFill="1" applyBorder="1" applyAlignment="1">
      <alignment horizontal="center"/>
    </xf>
    <xf numFmtId="9" fontId="0" fillId="0" borderId="0" xfId="18" applyFont="1" applyFill="1" applyBorder="1"/>
    <xf numFmtId="166" fontId="1" fillId="0" borderId="0" xfId="13" applyNumberFormat="1" applyAlignment="1">
      <alignment horizontal="center" vertical="center"/>
    </xf>
    <xf numFmtId="0" fontId="36" fillId="0" borderId="0" xfId="0" applyFont="1"/>
    <xf numFmtId="0" fontId="15" fillId="0" borderId="0" xfId="0" applyFont="1"/>
    <xf numFmtId="0" fontId="15" fillId="0" borderId="0" xfId="0" applyFont="1" applyAlignment="1">
      <alignment wrapText="1"/>
    </xf>
    <xf numFmtId="0" fontId="15" fillId="0" borderId="0" xfId="0" applyFont="1" applyAlignment="1">
      <alignment horizontal="left"/>
    </xf>
    <xf numFmtId="0" fontId="37" fillId="4" borderId="0" xfId="0" applyFont="1" applyFill="1" applyAlignment="1">
      <alignment horizontal="justify" vertical="top" wrapText="1"/>
    </xf>
    <xf numFmtId="0" fontId="37" fillId="4" borderId="0" xfId="0" applyFont="1" applyFill="1" applyAlignment="1">
      <alignment vertical="top" wrapText="1"/>
    </xf>
    <xf numFmtId="0" fontId="6" fillId="0" borderId="0" xfId="1" applyFont="1"/>
    <xf numFmtId="165" fontId="0" fillId="0" borderId="0" xfId="18" applyNumberFormat="1" applyFont="1" applyFill="1" applyBorder="1" applyAlignment="1">
      <alignment horizontal="right"/>
    </xf>
    <xf numFmtId="0" fontId="2" fillId="0" borderId="0" xfId="13" applyFont="1" applyAlignment="1">
      <alignment horizontal="center" vertical="center"/>
    </xf>
    <xf numFmtId="0" fontId="8" fillId="5" borderId="0" xfId="0" applyFont="1" applyFill="1"/>
    <xf numFmtId="0" fontId="4" fillId="5" borderId="0" xfId="0" applyFont="1" applyFill="1"/>
    <xf numFmtId="0" fontId="4" fillId="0" borderId="0" xfId="0" applyFont="1"/>
    <xf numFmtId="0" fontId="36" fillId="4" borderId="0" xfId="0" applyFont="1" applyFill="1"/>
    <xf numFmtId="0" fontId="8" fillId="0" borderId="0" xfId="0" applyFont="1"/>
    <xf numFmtId="3" fontId="15" fillId="0" borderId="0" xfId="0" applyNumberFormat="1" applyFont="1"/>
    <xf numFmtId="0" fontId="8" fillId="6" borderId="0" xfId="0" applyFont="1" applyFill="1"/>
    <xf numFmtId="0" fontId="15" fillId="0" borderId="0" xfId="0" applyFont="1" applyAlignment="1">
      <alignment horizontal="center" vertical="center"/>
    </xf>
    <xf numFmtId="3" fontId="4" fillId="0" borderId="0" xfId="0" applyNumberFormat="1" applyFont="1" applyAlignment="1">
      <alignment horizontal="right"/>
    </xf>
    <xf numFmtId="0" fontId="15" fillId="4" borderId="1" xfId="0" applyFont="1" applyFill="1" applyBorder="1"/>
    <xf numFmtId="0" fontId="8" fillId="0" borderId="0" xfId="0" applyFont="1" applyAlignment="1">
      <alignment wrapText="1"/>
    </xf>
    <xf numFmtId="3" fontId="15" fillId="0" borderId="0" xfId="0" applyNumberFormat="1" applyFont="1" applyAlignment="1">
      <alignment wrapText="1"/>
    </xf>
    <xf numFmtId="3" fontId="15" fillId="4" borderId="0" xfId="13" applyNumberFormat="1" applyFont="1" applyFill="1" applyAlignment="1">
      <alignment horizontal="center" vertical="center"/>
    </xf>
    <xf numFmtId="3" fontId="36" fillId="4" borderId="0" xfId="13" applyNumberFormat="1" applyFont="1" applyFill="1" applyAlignment="1">
      <alignment horizontal="center" vertical="center"/>
    </xf>
    <xf numFmtId="0" fontId="4" fillId="0" borderId="1" xfId="0" applyFont="1" applyBorder="1"/>
    <xf numFmtId="0" fontId="12" fillId="0" borderId="0" xfId="7" applyFont="1" applyFill="1"/>
    <xf numFmtId="0" fontId="4" fillId="0" borderId="0" xfId="0" quotePrefix="1" applyFont="1"/>
    <xf numFmtId="0" fontId="41" fillId="0" borderId="0" xfId="7" applyFont="1" applyFill="1"/>
    <xf numFmtId="0" fontId="37" fillId="0" borderId="0" xfId="7" applyFont="1" applyFill="1"/>
    <xf numFmtId="2" fontId="4" fillId="0" borderId="0" xfId="0" applyNumberFormat="1" applyFont="1" applyAlignment="1">
      <alignment horizontal="right"/>
    </xf>
    <xf numFmtId="0" fontId="37" fillId="0" borderId="0" xfId="0" applyFont="1"/>
    <xf numFmtId="0" fontId="12" fillId="0" borderId="0" xfId="7" applyFont="1" applyFill="1" applyAlignment="1"/>
    <xf numFmtId="0" fontId="42" fillId="0" borderId="0" xfId="0" applyFont="1"/>
    <xf numFmtId="3" fontId="15" fillId="4" borderId="0" xfId="0" applyNumberFormat="1" applyFont="1" applyFill="1"/>
    <xf numFmtId="3" fontId="36" fillId="5" borderId="0" xfId="0" applyNumberFormat="1" applyFont="1" applyFill="1"/>
    <xf numFmtId="3" fontId="36" fillId="0" borderId="0" xfId="0" applyNumberFormat="1" applyFont="1"/>
    <xf numFmtId="3" fontId="36" fillId="6" borderId="0" xfId="0" applyNumberFormat="1" applyFont="1" applyFill="1"/>
    <xf numFmtId="3" fontId="36" fillId="6" borderId="1" xfId="0" applyNumberFormat="1" applyFont="1" applyFill="1" applyBorder="1"/>
    <xf numFmtId="3" fontId="15" fillId="0" borderId="1" xfId="0" applyNumberFormat="1" applyFont="1" applyBorder="1"/>
    <xf numFmtId="3" fontId="15" fillId="0" borderId="0" xfId="13" applyNumberFormat="1" applyFont="1" applyAlignment="1">
      <alignment wrapText="1"/>
    </xf>
    <xf numFmtId="3" fontId="15" fillId="0" borderId="3" xfId="13" applyNumberFormat="1" applyFont="1" applyBorder="1" applyAlignment="1">
      <alignment horizontal="center" vertical="center" wrapText="1"/>
    </xf>
    <xf numFmtId="3" fontId="15" fillId="0" borderId="0" xfId="13" applyNumberFormat="1" applyFont="1"/>
    <xf numFmtId="3" fontId="36" fillId="0" borderId="0" xfId="0" applyNumberFormat="1" applyFont="1" applyAlignment="1">
      <alignment horizontal="right" vertical="center"/>
    </xf>
    <xf numFmtId="3" fontId="36" fillId="0" borderId="3" xfId="0" applyNumberFormat="1" applyFont="1" applyBorder="1" applyAlignment="1">
      <alignment horizontal="right" vertical="center"/>
    </xf>
    <xf numFmtId="0" fontId="15" fillId="0" borderId="0" xfId="13" applyFont="1"/>
    <xf numFmtId="0" fontId="15" fillId="0" borderId="1" xfId="13" applyFont="1" applyBorder="1"/>
    <xf numFmtId="3" fontId="36" fillId="0" borderId="1" xfId="0" applyNumberFormat="1" applyFont="1" applyBorder="1" applyAlignment="1">
      <alignment horizontal="right" vertical="center"/>
    </xf>
    <xf numFmtId="0" fontId="8" fillId="4" borderId="0" xfId="0" applyFont="1" applyFill="1"/>
    <xf numFmtId="3" fontId="36" fillId="0" borderId="0" xfId="13" applyNumberFormat="1" applyFont="1" applyAlignment="1">
      <alignment horizontal="right"/>
    </xf>
    <xf numFmtId="3" fontId="36" fillId="0" borderId="0" xfId="13" applyNumberFormat="1" applyFont="1" applyAlignment="1">
      <alignment horizontal="center" vertical="center"/>
    </xf>
    <xf numFmtId="0" fontId="4" fillId="4" borderId="0" xfId="0" applyFont="1" applyFill="1"/>
    <xf numFmtId="3" fontId="15" fillId="0" borderId="0" xfId="13" applyNumberFormat="1" applyFont="1" applyAlignment="1">
      <alignment horizontal="right"/>
    </xf>
    <xf numFmtId="3" fontId="15" fillId="0" borderId="0" xfId="13" applyNumberFormat="1" applyFont="1" applyAlignment="1">
      <alignment horizontal="center" vertical="center"/>
    </xf>
    <xf numFmtId="0" fontId="12" fillId="4" borderId="0" xfId="7" applyFont="1" applyFill="1"/>
    <xf numFmtId="3" fontId="15" fillId="0" borderId="0" xfId="13" applyNumberFormat="1" applyFont="1" applyAlignment="1">
      <alignment horizontal="center" vertical="center" wrapText="1"/>
    </xf>
    <xf numFmtId="3" fontId="36" fillId="0" borderId="0" xfId="13" applyNumberFormat="1" applyFont="1" applyAlignment="1">
      <alignment vertical="center" wrapText="1"/>
    </xf>
    <xf numFmtId="0" fontId="37" fillId="0" borderId="0" xfId="0" applyFont="1" applyAlignment="1">
      <alignment vertical="top"/>
    </xf>
    <xf numFmtId="3" fontId="15" fillId="0" borderId="0" xfId="13" applyNumberFormat="1" applyFont="1" applyAlignment="1">
      <alignment vertical="center" wrapText="1"/>
    </xf>
    <xf numFmtId="0" fontId="8" fillId="4" borderId="0" xfId="14" applyFont="1" applyFill="1"/>
    <xf numFmtId="0" fontId="4" fillId="4" borderId="0" xfId="14" applyFont="1" applyFill="1"/>
    <xf numFmtId="0" fontId="6" fillId="4" borderId="0" xfId="1" applyFont="1" applyFill="1"/>
    <xf numFmtId="0" fontId="12" fillId="4" borderId="0" xfId="7" applyFont="1" applyFill="1" applyAlignment="1"/>
    <xf numFmtId="3" fontId="42" fillId="0" borderId="0" xfId="13" quotePrefix="1" applyNumberFormat="1" applyFont="1" applyAlignment="1">
      <alignment horizontal="center" vertical="center"/>
    </xf>
    <xf numFmtId="3" fontId="15" fillId="6" borderId="0" xfId="0" applyNumberFormat="1" applyFont="1" applyFill="1"/>
    <xf numFmtId="3" fontId="36" fillId="4" borderId="3" xfId="13" applyNumberFormat="1" applyFont="1" applyFill="1" applyBorder="1" applyAlignment="1">
      <alignment horizontal="right" vertical="center"/>
    </xf>
    <xf numFmtId="3" fontId="15" fillId="4" borderId="3" xfId="13" applyNumberFormat="1" applyFont="1" applyFill="1" applyBorder="1" applyAlignment="1">
      <alignment horizontal="right" vertical="center"/>
    </xf>
    <xf numFmtId="3" fontId="36" fillId="4" borderId="0" xfId="13" applyNumberFormat="1" applyFont="1" applyFill="1" applyAlignment="1">
      <alignment horizontal="right" vertical="center"/>
    </xf>
    <xf numFmtId="3" fontId="15" fillId="4" borderId="0" xfId="13" applyNumberFormat="1" applyFont="1" applyFill="1" applyAlignment="1">
      <alignment horizontal="right" vertical="center"/>
    </xf>
    <xf numFmtId="3" fontId="36" fillId="4" borderId="1" xfId="13" applyNumberFormat="1" applyFont="1" applyFill="1" applyBorder="1" applyAlignment="1">
      <alignment horizontal="right" vertical="center"/>
    </xf>
    <xf numFmtId="3" fontId="15" fillId="4" borderId="1" xfId="13" applyNumberFormat="1" applyFont="1" applyFill="1" applyBorder="1" applyAlignment="1">
      <alignment horizontal="right" vertical="center"/>
    </xf>
    <xf numFmtId="0" fontId="38" fillId="4" borderId="0" xfId="8" applyFont="1" applyFill="1"/>
    <xf numFmtId="0" fontId="35" fillId="4" borderId="0" xfId="4" applyFont="1" applyFill="1" applyAlignment="1"/>
    <xf numFmtId="166" fontId="2" fillId="0" borderId="0" xfId="13" applyNumberFormat="1" applyFont="1" applyAlignment="1">
      <alignment horizontal="center" vertical="center"/>
    </xf>
    <xf numFmtId="166" fontId="15" fillId="4" borderId="3" xfId="13" applyNumberFormat="1" applyFont="1" applyFill="1" applyBorder="1" applyAlignment="1">
      <alignment horizontal="right" vertical="center"/>
    </xf>
    <xf numFmtId="166" fontId="15" fillId="4" borderId="0" xfId="13" applyNumberFormat="1" applyFont="1" applyFill="1" applyAlignment="1">
      <alignment horizontal="right" vertical="center"/>
    </xf>
    <xf numFmtId="166" fontId="15" fillId="4" borderId="1" xfId="13" applyNumberFormat="1" applyFont="1" applyFill="1" applyBorder="1" applyAlignment="1">
      <alignment horizontal="right" vertical="center"/>
    </xf>
    <xf numFmtId="0" fontId="36" fillId="4" borderId="1" xfId="8" applyFont="1" applyFill="1" applyBorder="1"/>
    <xf numFmtId="0" fontId="15" fillId="4" borderId="0" xfId="8" applyFont="1" applyFill="1"/>
    <xf numFmtId="0" fontId="37" fillId="4" borderId="0" xfId="8" applyFont="1" applyFill="1"/>
    <xf numFmtId="0" fontId="15" fillId="4" borderId="4" xfId="8" applyFont="1" applyFill="1" applyBorder="1"/>
    <xf numFmtId="0" fontId="6" fillId="4" borderId="0" xfId="4" applyFont="1" applyFill="1" applyAlignment="1"/>
    <xf numFmtId="0" fontId="37" fillId="4" borderId="0" xfId="8" applyFont="1" applyFill="1" applyAlignment="1">
      <alignment horizontal="left"/>
    </xf>
    <xf numFmtId="0" fontId="4" fillId="2" borderId="0" xfId="2" applyFill="1"/>
    <xf numFmtId="0" fontId="44" fillId="0" borderId="0" xfId="3" applyFont="1" applyAlignment="1">
      <alignment vertical="center"/>
    </xf>
    <xf numFmtId="0" fontId="43" fillId="0" borderId="0" xfId="2" applyFont="1"/>
    <xf numFmtId="0" fontId="4" fillId="2" borderId="0" xfId="8" applyFont="1" applyFill="1"/>
    <xf numFmtId="0" fontId="4" fillId="2" borderId="0" xfId="8" applyFont="1" applyFill="1" applyAlignment="1">
      <alignment horizontal="left"/>
    </xf>
    <xf numFmtId="0" fontId="6" fillId="2" borderId="0" xfId="1" applyFont="1" applyFill="1" applyAlignment="1"/>
    <xf numFmtId="0" fontId="4" fillId="2" borderId="0" xfId="10" applyFont="1" applyFill="1"/>
    <xf numFmtId="0" fontId="4" fillId="2" borderId="0" xfId="10" applyFont="1" applyFill="1" applyAlignment="1">
      <alignment wrapText="1"/>
    </xf>
    <xf numFmtId="0" fontId="45" fillId="0" borderId="0" xfId="13" applyFont="1" applyAlignment="1">
      <alignment wrapText="1"/>
    </xf>
    <xf numFmtId="0" fontId="45" fillId="7" borderId="0" xfId="13" applyFont="1" applyFill="1" applyAlignment="1">
      <alignment wrapText="1"/>
    </xf>
    <xf numFmtId="0" fontId="15" fillId="3" borderId="0" xfId="13" applyFont="1" applyFill="1" applyAlignment="1">
      <alignment wrapText="1"/>
    </xf>
    <xf numFmtId="0" fontId="15" fillId="4" borderId="0" xfId="13" applyFont="1" applyFill="1" applyAlignment="1">
      <alignment wrapText="1"/>
    </xf>
    <xf numFmtId="0" fontId="8" fillId="3" borderId="0" xfId="15" applyFont="1" applyFill="1" applyAlignment="1">
      <alignment vertical="center"/>
    </xf>
    <xf numFmtId="0" fontId="4" fillId="4" borderId="0" xfId="15" applyFont="1" applyFill="1"/>
    <xf numFmtId="0" fontId="15" fillId="3" borderId="0" xfId="13" applyFont="1" applyFill="1"/>
    <xf numFmtId="0" fontId="15" fillId="4" borderId="0" xfId="13" applyFont="1" applyFill="1"/>
    <xf numFmtId="0" fontId="8" fillId="8" borderId="0" xfId="15" applyFont="1" applyFill="1" applyAlignment="1">
      <alignment vertical="center"/>
    </xf>
    <xf numFmtId="0" fontId="15" fillId="3" borderId="3" xfId="13" applyFont="1" applyFill="1" applyBorder="1" applyAlignment="1">
      <alignment horizontal="center" wrapText="1"/>
    </xf>
    <xf numFmtId="0" fontId="15" fillId="4" borderId="0" xfId="13" applyFont="1" applyFill="1" applyAlignment="1">
      <alignment horizontal="center" wrapText="1"/>
    </xf>
    <xf numFmtId="0" fontId="15" fillId="3" borderId="1" xfId="13" applyFont="1" applyFill="1" applyBorder="1" applyAlignment="1">
      <alignment horizontal="left" wrapText="1"/>
    </xf>
    <xf numFmtId="0" fontId="15" fillId="3" borderId="1" xfId="13" applyFont="1" applyFill="1" applyBorder="1" applyAlignment="1">
      <alignment horizontal="right" wrapText="1"/>
    </xf>
    <xf numFmtId="0" fontId="15" fillId="3" borderId="0" xfId="13" applyFont="1" applyFill="1" applyAlignment="1">
      <alignment horizontal="right" vertical="center" wrapText="1"/>
    </xf>
    <xf numFmtId="0" fontId="36" fillId="3" borderId="3" xfId="13" applyFont="1" applyFill="1" applyBorder="1"/>
    <xf numFmtId="3" fontId="36" fillId="4" borderId="0" xfId="13" applyNumberFormat="1" applyFont="1" applyFill="1" applyAlignment="1">
      <alignment horizontal="right"/>
    </xf>
    <xf numFmtId="1" fontId="15" fillId="3" borderId="0" xfId="13" applyNumberFormat="1" applyFont="1" applyFill="1"/>
    <xf numFmtId="164" fontId="15" fillId="4" borderId="0" xfId="13" applyNumberFormat="1" applyFont="1" applyFill="1"/>
    <xf numFmtId="0" fontId="36" fillId="3" borderId="0" xfId="13" applyFont="1" applyFill="1"/>
    <xf numFmtId="1" fontId="15" fillId="4" borderId="0" xfId="13" applyNumberFormat="1" applyFont="1" applyFill="1"/>
    <xf numFmtId="3" fontId="15" fillId="4" borderId="0" xfId="13" applyNumberFormat="1" applyFont="1" applyFill="1" applyAlignment="1">
      <alignment horizontal="right"/>
    </xf>
    <xf numFmtId="3" fontId="15" fillId="3" borderId="0" xfId="13" applyNumberFormat="1" applyFont="1" applyFill="1"/>
    <xf numFmtId="0" fontId="15" fillId="3" borderId="1" xfId="13" applyFont="1" applyFill="1" applyBorder="1"/>
    <xf numFmtId="3" fontId="15" fillId="4" borderId="1" xfId="13" applyNumberFormat="1" applyFont="1" applyFill="1" applyBorder="1" applyAlignment="1">
      <alignment horizontal="right"/>
    </xf>
    <xf numFmtId="0" fontId="36" fillId="3" borderId="0" xfId="13" applyFont="1" applyFill="1" applyAlignment="1">
      <alignment horizontal="left" wrapText="1"/>
    </xf>
    <xf numFmtId="0" fontId="15" fillId="3" borderId="0" xfId="13" applyFont="1" applyFill="1" applyAlignment="1">
      <alignment horizontal="left" wrapText="1"/>
    </xf>
    <xf numFmtId="0" fontId="15" fillId="3" borderId="0" xfId="13" applyFont="1" applyFill="1" applyAlignment="1">
      <alignment horizontal="left"/>
    </xf>
    <xf numFmtId="0" fontId="8" fillId="3" borderId="0" xfId="13" applyFont="1" applyFill="1"/>
    <xf numFmtId="0" fontId="12" fillId="3" borderId="0" xfId="7" applyFont="1" applyFill="1" applyAlignment="1"/>
    <xf numFmtId="0" fontId="15" fillId="3" borderId="0" xfId="13" applyFont="1" applyFill="1" applyAlignment="1">
      <alignment horizontal="right"/>
    </xf>
    <xf numFmtId="0" fontId="12" fillId="3" borderId="0" xfId="7" applyFont="1" applyFill="1"/>
    <xf numFmtId="0" fontId="42" fillId="3" borderId="0" xfId="13" applyFont="1" applyFill="1"/>
    <xf numFmtId="3" fontId="15" fillId="0" borderId="1" xfId="13" applyNumberFormat="1" applyFont="1" applyBorder="1" applyAlignment="1">
      <alignment horizontal="left" wrapText="1"/>
    </xf>
    <xf numFmtId="3" fontId="36" fillId="0" borderId="2" xfId="13" applyNumberFormat="1" applyFont="1" applyBorder="1" applyAlignment="1">
      <alignment horizontal="right" wrapText="1"/>
    </xf>
    <xf numFmtId="3" fontId="37" fillId="0" borderId="2" xfId="13" applyNumberFormat="1" applyFont="1" applyBorder="1" applyAlignment="1">
      <alignment horizontal="right" wrapText="1"/>
    </xf>
    <xf numFmtId="3" fontId="15" fillId="0" borderId="2" xfId="13" applyNumberFormat="1" applyFont="1" applyBorder="1" applyAlignment="1">
      <alignment horizontal="right" wrapText="1"/>
    </xf>
    <xf numFmtId="3" fontId="15" fillId="0" borderId="0" xfId="13" applyNumberFormat="1" applyFont="1" applyAlignment="1">
      <alignment horizontal="right" wrapText="1"/>
    </xf>
    <xf numFmtId="3" fontId="15" fillId="0" borderId="0" xfId="0" applyNumberFormat="1" applyFont="1" applyAlignment="1">
      <alignment horizontal="right"/>
    </xf>
    <xf numFmtId="3" fontId="15" fillId="0" borderId="0" xfId="0" applyNumberFormat="1" applyFont="1" applyAlignment="1">
      <alignment horizontal="right" wrapText="1"/>
    </xf>
    <xf numFmtId="0" fontId="15" fillId="0" borderId="0" xfId="0" applyFont="1" applyAlignment="1">
      <alignment horizontal="left" vertical="center"/>
    </xf>
    <xf numFmtId="0" fontId="15" fillId="0" borderId="0" xfId="13" applyFont="1" applyAlignment="1">
      <alignment horizontal="left" vertical="center"/>
    </xf>
    <xf numFmtId="0" fontId="49" fillId="2" borderId="0" xfId="2" applyFont="1" applyFill="1"/>
    <xf numFmtId="0" fontId="48" fillId="2" borderId="0" xfId="3" applyFont="1" applyFill="1" applyAlignment="1">
      <alignment vertical="center"/>
    </xf>
    <xf numFmtId="0" fontId="50" fillId="2" borderId="0" xfId="2" applyFont="1" applyFill="1"/>
    <xf numFmtId="3" fontId="51" fillId="5" borderId="0" xfId="0" applyNumberFormat="1" applyFont="1" applyFill="1"/>
    <xf numFmtId="0" fontId="53" fillId="0" borderId="0" xfId="13" applyFont="1"/>
    <xf numFmtId="0" fontId="54" fillId="0" borderId="0" xfId="13" applyFont="1"/>
    <xf numFmtId="0" fontId="55" fillId="5" borderId="0" xfId="0" applyFont="1" applyFill="1"/>
    <xf numFmtId="0" fontId="8" fillId="0" borderId="1" xfId="0" applyFont="1" applyBorder="1" applyAlignment="1">
      <alignment horizontal="right" wrapText="1"/>
    </xf>
    <xf numFmtId="0" fontId="4" fillId="0" borderId="1" xfId="0" applyFont="1" applyBorder="1" applyAlignment="1">
      <alignment horizontal="right" wrapText="1"/>
    </xf>
    <xf numFmtId="0" fontId="4" fillId="0" borderId="0" xfId="0" applyFont="1" applyAlignment="1">
      <alignment horizontal="right" wrapText="1"/>
    </xf>
    <xf numFmtId="0" fontId="36" fillId="0" borderId="0" xfId="0" applyFont="1" applyAlignment="1">
      <alignment horizontal="center" vertical="center" wrapText="1"/>
    </xf>
    <xf numFmtId="0" fontId="15" fillId="0" borderId="3" xfId="0" applyFont="1" applyBorder="1" applyAlignment="1">
      <alignment horizontal="center" vertical="center"/>
    </xf>
    <xf numFmtId="0" fontId="15" fillId="0" borderId="3" xfId="0" applyFont="1" applyBorder="1" applyAlignment="1">
      <alignment horizontal="center" vertical="center" wrapText="1"/>
    </xf>
    <xf numFmtId="0" fontId="31" fillId="0" borderId="5" xfId="17" applyFont="1" applyBorder="1" applyAlignment="1">
      <alignment horizontal="center" vertical="center" wrapText="1"/>
    </xf>
    <xf numFmtId="0" fontId="32" fillId="0" borderId="5" xfId="16" applyFont="1" applyBorder="1" applyAlignment="1">
      <alignment horizontal="center" vertical="center"/>
    </xf>
    <xf numFmtId="0" fontId="32" fillId="0" borderId="6" xfId="16" applyFont="1" applyBorder="1" applyAlignment="1">
      <alignment horizontal="center" vertical="center"/>
    </xf>
    <xf numFmtId="0" fontId="27" fillId="9" borderId="0" xfId="16" applyFont="1" applyFill="1" applyAlignment="1">
      <alignment vertical="center" wrapText="1"/>
    </xf>
    <xf numFmtId="0" fontId="30" fillId="0" borderId="5" xfId="17" applyFont="1" applyBorder="1" applyAlignment="1">
      <alignment vertical="center"/>
    </xf>
    <xf numFmtId="0" fontId="30" fillId="0" borderId="7" xfId="17" applyFont="1" applyBorder="1" applyAlignment="1">
      <alignment vertical="center"/>
    </xf>
    <xf numFmtId="0" fontId="1" fillId="3" borderId="0" xfId="13" applyFill="1" applyAlignment="1">
      <alignment horizontal="left" wrapText="1"/>
    </xf>
    <xf numFmtId="0" fontId="1" fillId="3" borderId="0" xfId="13" applyFill="1" applyAlignment="1">
      <alignment horizontal="left"/>
    </xf>
    <xf numFmtId="0" fontId="25" fillId="7" borderId="0" xfId="13" applyFont="1" applyFill="1" applyAlignment="1">
      <alignment horizontal="left" wrapText="1"/>
    </xf>
    <xf numFmtId="0" fontId="18" fillId="8" borderId="0" xfId="15" applyFont="1" applyFill="1" applyAlignment="1">
      <alignment horizontal="center" vertical="center"/>
    </xf>
    <xf numFmtId="0" fontId="1" fillId="3" borderId="1" xfId="13" applyFill="1" applyBorder="1" applyAlignment="1">
      <alignment horizontal="center"/>
    </xf>
    <xf numFmtId="0" fontId="1" fillId="3" borderId="2" xfId="13" applyFill="1" applyBorder="1" applyAlignment="1">
      <alignment horizontal="center" wrapText="1"/>
    </xf>
    <xf numFmtId="0" fontId="15" fillId="3" borderId="2" xfId="13" applyFont="1" applyFill="1" applyBorder="1" applyAlignment="1">
      <alignment horizontal="center" vertical="center" wrapText="1"/>
    </xf>
    <xf numFmtId="3" fontId="15" fillId="0" borderId="2" xfId="13" applyNumberFormat="1" applyFont="1" applyBorder="1" applyAlignment="1">
      <alignment horizontal="center" vertical="center" wrapText="1"/>
    </xf>
    <xf numFmtId="0" fontId="22" fillId="0" borderId="0" xfId="0" applyFont="1"/>
    <xf numFmtId="0" fontId="36" fillId="0" borderId="2" xfId="0" applyFont="1" applyBorder="1" applyAlignment="1">
      <alignment horizontal="center" vertical="center" wrapText="1"/>
    </xf>
  </cellXfs>
  <cellStyles count="19">
    <cellStyle name="Hyperlink" xfId="1" builtinId="8"/>
    <cellStyle name="Hyperlink 2" xfId="4" xr:uid="{229CCCA7-2AF9-4130-8218-3E6A384CC950}"/>
    <cellStyle name="Hyperlink 2 2" xfId="6" xr:uid="{D0B8B2EE-392B-470A-806D-437C3BD043A2}"/>
    <cellStyle name="Hyperlink 2 2 2" xfId="9" xr:uid="{781804EC-05F4-4C8D-9E9A-AC80A96EDDCD}"/>
    <cellStyle name="Hyperlink 3" xfId="7" xr:uid="{F3EB1BDC-7444-488C-872E-8C2FF723FB87}"/>
    <cellStyle name="Normal" xfId="0" builtinId="0"/>
    <cellStyle name="Normal 2 2" xfId="15" xr:uid="{8F13A0A4-0474-4EB6-9B2A-306A75695CF5}"/>
    <cellStyle name="Normal 2 2 2" xfId="3" xr:uid="{F34BB7A5-ABC1-4FF7-AAFC-88747734AF20}"/>
    <cellStyle name="Normal 2 3" xfId="8" xr:uid="{883880E2-9C01-47C8-BC84-4247F8EC38E0}"/>
    <cellStyle name="Normal 2 4" xfId="11" xr:uid="{E664DFA3-203D-44B4-BF64-C4536CE59A08}"/>
    <cellStyle name="Normal 3 2" xfId="16" xr:uid="{474E2204-673A-40B4-BE56-826DC3DAD8F7}"/>
    <cellStyle name="Normal 4" xfId="14" xr:uid="{6E113B8C-57DA-42CB-94DA-26D437F9D4C8}"/>
    <cellStyle name="Normal 5 2" xfId="10" xr:uid="{0B0EA0EC-903B-4775-84E7-73ECE66914D7}"/>
    <cellStyle name="Normal 6" xfId="13" xr:uid="{29246B9C-FC1D-4D48-9618-2B3A54719857}"/>
    <cellStyle name="Normal 6 2" xfId="2" xr:uid="{5C3B234D-D911-4AC0-B4B0-8ADCC2CEEF8C}"/>
    <cellStyle name="Normal 7 2" xfId="5" xr:uid="{BC053892-19D9-42C6-BE1E-DCF902E1F005}"/>
    <cellStyle name="Normal 8 3" xfId="12" xr:uid="{D658883A-4CD0-4EAC-B9C5-351B0D276374}"/>
    <cellStyle name="Normal_Operational Activities" xfId="17" xr:uid="{FD2571C9-A0DE-40E3-8D6E-72EDD8B24EB0}"/>
    <cellStyle name="Per cent" xfId="18"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ustomXml" Target="../customXml/item1.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eetMetadata" Target="metadata.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aredStrings" Target="sharedStrings.xml"/><Relationship Id="rId28"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 Id="rId27"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0</xdr:col>
      <xdr:colOff>129543</xdr:colOff>
      <xdr:row>0</xdr:row>
      <xdr:rowOff>161925</xdr:rowOff>
    </xdr:from>
    <xdr:ext cx="1638303" cy="771442"/>
    <xdr:pic>
      <xdr:nvPicPr>
        <xdr:cNvPr id="2" name="Picture 1">
          <a:extLst>
            <a:ext uri="{FF2B5EF4-FFF2-40B4-BE49-F238E27FC236}">
              <a16:creationId xmlns:a16="http://schemas.microsoft.com/office/drawing/2014/main" id="{B0DB63E4-A6C8-49D4-AF09-5D384F0F2288}"/>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1"/>
        <a:srcRect/>
        <a:stretch>
          <a:fillRect/>
        </a:stretch>
      </xdr:blipFill>
      <xdr:spPr>
        <a:xfrm>
          <a:off x="129543" y="161925"/>
          <a:ext cx="1638303" cy="771442"/>
        </a:xfrm>
        <a:prstGeom prst="rect">
          <a:avLst/>
        </a:prstGeom>
        <a:noFill/>
        <a:ln cap="flat">
          <a:noFill/>
        </a:ln>
      </xdr:spPr>
    </xdr:pic>
    <xdr:clientData/>
  </xdr:oneCellAnchor>
</xdr:wsDr>
</file>

<file path=xl/drawings/drawing2.xml><?xml version="1.0" encoding="utf-8"?>
<xdr:wsDr xmlns:xdr="http://schemas.openxmlformats.org/drawingml/2006/spreadsheetDrawing" xmlns:a="http://schemas.openxmlformats.org/drawingml/2006/main">
  <xdr:oneCellAnchor>
    <xdr:from>
      <xdr:col>3</xdr:col>
      <xdr:colOff>678448</xdr:colOff>
      <xdr:row>0</xdr:row>
      <xdr:rowOff>190496</xdr:rowOff>
    </xdr:from>
    <xdr:ext cx="1113062" cy="572222"/>
    <xdr:pic>
      <xdr:nvPicPr>
        <xdr:cNvPr id="2" name="Picture 4">
          <a:extLst>
            <a:ext uri="{FF2B5EF4-FFF2-40B4-BE49-F238E27FC236}">
              <a16:creationId xmlns:a16="http://schemas.microsoft.com/office/drawing/2014/main" id="{E22D6C28-683B-465C-9E17-2247AB67C31B}"/>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1"/>
        <a:srcRect/>
        <a:stretch>
          <a:fillRect/>
        </a:stretch>
      </xdr:blipFill>
      <xdr:spPr>
        <a:xfrm>
          <a:off x="13505448" y="190496"/>
          <a:ext cx="1113062" cy="572222"/>
        </a:xfrm>
        <a:prstGeom prst="rect">
          <a:avLst/>
        </a:prstGeom>
        <a:noFill/>
        <a:ln cap="flat">
          <a:noFill/>
        </a:ln>
      </xdr:spPr>
    </xdr:pic>
    <xdr:clientData/>
  </xdr:oneCellAnchor>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www.gov.uk/government/collections/fire-prevention-and-protection-statistics" TargetMode="External"/><Relationship Id="rId2" Type="http://schemas.openxmlformats.org/officeDocument/2006/relationships/hyperlink" Target="mailto:firestatistics@homeoffice.gov.uk" TargetMode="External"/><Relationship Id="rId1" Type="http://schemas.openxmlformats.org/officeDocument/2006/relationships/hyperlink" Target="mailto:firestatistics@homeoffice.gov.uk" TargetMode="External"/><Relationship Id="rId6" Type="http://schemas.openxmlformats.org/officeDocument/2006/relationships/drawing" Target="../drawings/drawing1.xml"/><Relationship Id="rId5" Type="http://schemas.openxmlformats.org/officeDocument/2006/relationships/printerSettings" Target="../printerSettings/printerSettings1.bin"/><Relationship Id="rId4" Type="http://schemas.openxmlformats.org/officeDocument/2006/relationships/hyperlink" Target="https://www.gov.uk/search/research-and-statistics?content_store_document_type=upcoming_statistics&amp;keywords=fire&amp;level_one_taxon=&amp;organisations%5B%5D=home-office&amp;public_timestamp%5Bfrom%5D=&amp;public_timestamp%5Bto%5D=" TargetMode="Externa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3" Type="http://schemas.openxmlformats.org/officeDocument/2006/relationships/printerSettings" Target="../printerSettings/printerSettings13.bin"/><Relationship Id="rId2" Type="http://schemas.openxmlformats.org/officeDocument/2006/relationships/hyperlink" Target="mailto:firestatistics@homeoffice.gov.uk" TargetMode="External"/><Relationship Id="rId1" Type="http://schemas.openxmlformats.org/officeDocument/2006/relationships/hyperlink" Target="https://www.gov.uk/government/collections/fire-statistics" TargetMode="External"/></Relationships>
</file>

<file path=xl/worksheets/_rels/sheet14.xml.rels><?xml version="1.0" encoding="UTF-8" standalone="yes"?>
<Relationships xmlns="http://schemas.openxmlformats.org/package/2006/relationships"><Relationship Id="rId3" Type="http://schemas.openxmlformats.org/officeDocument/2006/relationships/hyperlink" Target="https://www.ukfrs.com/prevention/standard-data-requirement-person-centred-framework" TargetMode="External"/><Relationship Id="rId2" Type="http://schemas.openxmlformats.org/officeDocument/2006/relationships/hyperlink" Target="mailto:firestatistics@homeoffice.gov.uk" TargetMode="External"/><Relationship Id="rId1" Type="http://schemas.openxmlformats.org/officeDocument/2006/relationships/hyperlink" Target="https://www.gov.uk/government/collections/fire-statistics" TargetMode="External"/><Relationship Id="rId4"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3" Type="http://schemas.openxmlformats.org/officeDocument/2006/relationships/printerSettings" Target="../printerSettings/printerSettings17.bin"/><Relationship Id="rId2" Type="http://schemas.openxmlformats.org/officeDocument/2006/relationships/hyperlink" Target="mailto:firestatistics@homeoffice.gov.uk" TargetMode="External"/><Relationship Id="rId1" Type="http://schemas.openxmlformats.org/officeDocument/2006/relationships/hyperlink" Target="https://www.gov.uk/government/collections/fire-statistics" TargetMode="External"/></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printerSettings" Target="../printerSettings/printerSettings20.bin"/><Relationship Id="rId1" Type="http://schemas.openxmlformats.org/officeDocument/2006/relationships/hyperlink" Target="https://www.gov.uk/government/statistics/2011-rural-urban-classification-of-local-authority-and-other-higher-level-geographies-for-statistical-purposes" TargetMode="External"/></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hyperlink" Target="https://www.ukfrs.com/index.php/guidance/person-centred-framework" TargetMode="Externa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251A02-B6C0-4D79-9D61-9839BDDFBC33}">
  <dimension ref="A1:K14"/>
  <sheetViews>
    <sheetView tabSelected="1" zoomScaleNormal="100" workbookViewId="0">
      <selection activeCell="B1" sqref="B1"/>
    </sheetView>
  </sheetViews>
  <sheetFormatPr defaultRowHeight="15.5" x14ac:dyDescent="0.35"/>
  <cols>
    <col min="1" max="1" width="74" style="176" bestFit="1" customWidth="1"/>
    <col min="2" max="255" width="9.453125" style="176" customWidth="1"/>
    <col min="256" max="256" width="2.81640625" style="176" customWidth="1"/>
    <col min="257" max="257" width="74" style="176" bestFit="1" customWidth="1"/>
    <col min="258" max="511" width="9.453125" style="176" customWidth="1"/>
    <col min="512" max="512" width="2.81640625" style="176" customWidth="1"/>
    <col min="513" max="513" width="74" style="176" bestFit="1" customWidth="1"/>
    <col min="514" max="767" width="9.453125" style="176" customWidth="1"/>
    <col min="768" max="768" width="2.81640625" style="176" customWidth="1"/>
    <col min="769" max="769" width="74" style="176" bestFit="1" customWidth="1"/>
    <col min="770" max="1023" width="9.453125" style="176" customWidth="1"/>
    <col min="1024" max="1024" width="2.81640625" style="176" customWidth="1"/>
    <col min="1025" max="1025" width="74" style="176" bestFit="1" customWidth="1"/>
    <col min="1026" max="1279" width="9.453125" style="176" customWidth="1"/>
    <col min="1280" max="1280" width="2.81640625" style="176" customWidth="1"/>
    <col min="1281" max="1281" width="74" style="176" bestFit="1" customWidth="1"/>
    <col min="1282" max="1535" width="9.453125" style="176" customWidth="1"/>
    <col min="1536" max="1536" width="2.81640625" style="176" customWidth="1"/>
    <col min="1537" max="1537" width="74" style="176" bestFit="1" customWidth="1"/>
    <col min="1538" max="1791" width="9.453125" style="176" customWidth="1"/>
    <col min="1792" max="1792" width="2.81640625" style="176" customWidth="1"/>
    <col min="1793" max="1793" width="74" style="176" bestFit="1" customWidth="1"/>
    <col min="1794" max="2047" width="9.453125" style="176" customWidth="1"/>
    <col min="2048" max="2048" width="2.81640625" style="176" customWidth="1"/>
    <col min="2049" max="2049" width="74" style="176" bestFit="1" customWidth="1"/>
    <col min="2050" max="2303" width="9.453125" style="176" customWidth="1"/>
    <col min="2304" max="2304" width="2.81640625" style="176" customWidth="1"/>
    <col min="2305" max="2305" width="74" style="176" bestFit="1" customWidth="1"/>
    <col min="2306" max="2559" width="9.453125" style="176" customWidth="1"/>
    <col min="2560" max="2560" width="2.81640625" style="176" customWidth="1"/>
    <col min="2561" max="2561" width="74" style="176" bestFit="1" customWidth="1"/>
    <col min="2562" max="2815" width="9.453125" style="176" customWidth="1"/>
    <col min="2816" max="2816" width="2.81640625" style="176" customWidth="1"/>
    <col min="2817" max="2817" width="74" style="176" bestFit="1" customWidth="1"/>
    <col min="2818" max="3071" width="9.453125" style="176" customWidth="1"/>
    <col min="3072" max="3072" width="2.81640625" style="176" customWidth="1"/>
    <col min="3073" max="3073" width="74" style="176" bestFit="1" customWidth="1"/>
    <col min="3074" max="3327" width="9.453125" style="176" customWidth="1"/>
    <col min="3328" max="3328" width="2.81640625" style="176" customWidth="1"/>
    <col min="3329" max="3329" width="74" style="176" bestFit="1" customWidth="1"/>
    <col min="3330" max="3583" width="9.453125" style="176" customWidth="1"/>
    <col min="3584" max="3584" width="2.81640625" style="176" customWidth="1"/>
    <col min="3585" max="3585" width="74" style="176" bestFit="1" customWidth="1"/>
    <col min="3586" max="3839" width="9.453125" style="176" customWidth="1"/>
    <col min="3840" max="3840" width="2.81640625" style="176" customWidth="1"/>
    <col min="3841" max="3841" width="74" style="176" bestFit="1" customWidth="1"/>
    <col min="3842" max="4095" width="9.453125" style="176" customWidth="1"/>
    <col min="4096" max="4096" width="2.81640625" style="176" customWidth="1"/>
    <col min="4097" max="4097" width="74" style="176" bestFit="1" customWidth="1"/>
    <col min="4098" max="4351" width="9.453125" style="176" customWidth="1"/>
    <col min="4352" max="4352" width="2.81640625" style="176" customWidth="1"/>
    <col min="4353" max="4353" width="74" style="176" bestFit="1" customWidth="1"/>
    <col min="4354" max="4607" width="9.453125" style="176" customWidth="1"/>
    <col min="4608" max="4608" width="2.81640625" style="176" customWidth="1"/>
    <col min="4609" max="4609" width="74" style="176" bestFit="1" customWidth="1"/>
    <col min="4610" max="4863" width="9.453125" style="176" customWidth="1"/>
    <col min="4864" max="4864" width="2.81640625" style="176" customWidth="1"/>
    <col min="4865" max="4865" width="74" style="176" bestFit="1" customWidth="1"/>
    <col min="4866" max="5119" width="9.453125" style="176" customWidth="1"/>
    <col min="5120" max="5120" width="2.81640625" style="176" customWidth="1"/>
    <col min="5121" max="5121" width="74" style="176" bestFit="1" customWidth="1"/>
    <col min="5122" max="5375" width="9.453125" style="176" customWidth="1"/>
    <col min="5376" max="5376" width="2.81640625" style="176" customWidth="1"/>
    <col min="5377" max="5377" width="74" style="176" bestFit="1" customWidth="1"/>
    <col min="5378" max="5631" width="9.453125" style="176" customWidth="1"/>
    <col min="5632" max="5632" width="2.81640625" style="176" customWidth="1"/>
    <col min="5633" max="5633" width="74" style="176" bestFit="1" customWidth="1"/>
    <col min="5634" max="5887" width="9.453125" style="176" customWidth="1"/>
    <col min="5888" max="5888" width="2.81640625" style="176" customWidth="1"/>
    <col min="5889" max="5889" width="74" style="176" bestFit="1" customWidth="1"/>
    <col min="5890" max="6143" width="9.453125" style="176" customWidth="1"/>
    <col min="6144" max="6144" width="2.81640625" style="176" customWidth="1"/>
    <col min="6145" max="6145" width="74" style="176" bestFit="1" customWidth="1"/>
    <col min="6146" max="6399" width="9.453125" style="176" customWidth="1"/>
    <col min="6400" max="6400" width="2.81640625" style="176" customWidth="1"/>
    <col min="6401" max="6401" width="74" style="176" bestFit="1" customWidth="1"/>
    <col min="6402" max="6655" width="9.453125" style="176" customWidth="1"/>
    <col min="6656" max="6656" width="2.81640625" style="176" customWidth="1"/>
    <col min="6657" max="6657" width="74" style="176" bestFit="1" customWidth="1"/>
    <col min="6658" max="6911" width="9.453125" style="176" customWidth="1"/>
    <col min="6912" max="6912" width="2.81640625" style="176" customWidth="1"/>
    <col min="6913" max="6913" width="74" style="176" bestFit="1" customWidth="1"/>
    <col min="6914" max="7167" width="9.453125" style="176" customWidth="1"/>
    <col min="7168" max="7168" width="2.81640625" style="176" customWidth="1"/>
    <col min="7169" max="7169" width="74" style="176" bestFit="1" customWidth="1"/>
    <col min="7170" max="7423" width="9.453125" style="176" customWidth="1"/>
    <col min="7424" max="7424" width="2.81640625" style="176" customWidth="1"/>
    <col min="7425" max="7425" width="74" style="176" bestFit="1" customWidth="1"/>
    <col min="7426" max="7679" width="9.453125" style="176" customWidth="1"/>
    <col min="7680" max="7680" width="2.81640625" style="176" customWidth="1"/>
    <col min="7681" max="7681" width="74" style="176" bestFit="1" customWidth="1"/>
    <col min="7682" max="7935" width="9.453125" style="176" customWidth="1"/>
    <col min="7936" max="7936" width="2.81640625" style="176" customWidth="1"/>
    <col min="7937" max="7937" width="74" style="176" bestFit="1" customWidth="1"/>
    <col min="7938" max="8191" width="9.453125" style="176" customWidth="1"/>
    <col min="8192" max="8192" width="2.81640625" style="176" customWidth="1"/>
    <col min="8193" max="8193" width="74" style="176" bestFit="1" customWidth="1"/>
    <col min="8194" max="8447" width="9.453125" style="176" customWidth="1"/>
    <col min="8448" max="8448" width="2.81640625" style="176" customWidth="1"/>
    <col min="8449" max="8449" width="74" style="176" bestFit="1" customWidth="1"/>
    <col min="8450" max="8703" width="9.453125" style="176" customWidth="1"/>
    <col min="8704" max="8704" width="2.81640625" style="176" customWidth="1"/>
    <col min="8705" max="8705" width="74" style="176" bestFit="1" customWidth="1"/>
    <col min="8706" max="8959" width="9.453125" style="176" customWidth="1"/>
    <col min="8960" max="8960" width="2.81640625" style="176" customWidth="1"/>
    <col min="8961" max="8961" width="74" style="176" bestFit="1" customWidth="1"/>
    <col min="8962" max="9215" width="9.453125" style="176" customWidth="1"/>
    <col min="9216" max="9216" width="2.81640625" style="176" customWidth="1"/>
    <col min="9217" max="9217" width="74" style="176" bestFit="1" customWidth="1"/>
    <col min="9218" max="9471" width="9.453125" style="176" customWidth="1"/>
    <col min="9472" max="9472" width="2.81640625" style="176" customWidth="1"/>
    <col min="9473" max="9473" width="74" style="176" bestFit="1" customWidth="1"/>
    <col min="9474" max="9727" width="9.453125" style="176" customWidth="1"/>
    <col min="9728" max="9728" width="2.81640625" style="176" customWidth="1"/>
    <col min="9729" max="9729" width="74" style="176" bestFit="1" customWidth="1"/>
    <col min="9730" max="9983" width="9.453125" style="176" customWidth="1"/>
    <col min="9984" max="9984" width="2.81640625" style="176" customWidth="1"/>
    <col min="9985" max="9985" width="74" style="176" bestFit="1" customWidth="1"/>
    <col min="9986" max="10239" width="9.453125" style="176" customWidth="1"/>
    <col min="10240" max="10240" width="2.81640625" style="176" customWidth="1"/>
    <col min="10241" max="10241" width="74" style="176" bestFit="1" customWidth="1"/>
    <col min="10242" max="10495" width="9.453125" style="176" customWidth="1"/>
    <col min="10496" max="10496" width="2.81640625" style="176" customWidth="1"/>
    <col min="10497" max="10497" width="74" style="176" bestFit="1" customWidth="1"/>
    <col min="10498" max="10751" width="9.453125" style="176" customWidth="1"/>
    <col min="10752" max="10752" width="2.81640625" style="176" customWidth="1"/>
    <col min="10753" max="10753" width="74" style="176" bestFit="1" customWidth="1"/>
    <col min="10754" max="11007" width="9.453125" style="176" customWidth="1"/>
    <col min="11008" max="11008" width="2.81640625" style="176" customWidth="1"/>
    <col min="11009" max="11009" width="74" style="176" bestFit="1" customWidth="1"/>
    <col min="11010" max="11263" width="9.453125" style="176" customWidth="1"/>
    <col min="11264" max="11264" width="2.81640625" style="176" customWidth="1"/>
    <col min="11265" max="11265" width="74" style="176" bestFit="1" customWidth="1"/>
    <col min="11266" max="11519" width="9.453125" style="176" customWidth="1"/>
    <col min="11520" max="11520" width="2.81640625" style="176" customWidth="1"/>
    <col min="11521" max="11521" width="74" style="176" bestFit="1" customWidth="1"/>
    <col min="11522" max="11775" width="9.453125" style="176" customWidth="1"/>
    <col min="11776" max="11776" width="2.81640625" style="176" customWidth="1"/>
    <col min="11777" max="11777" width="74" style="176" bestFit="1" customWidth="1"/>
    <col min="11778" max="12031" width="9.453125" style="176" customWidth="1"/>
    <col min="12032" max="12032" width="2.81640625" style="176" customWidth="1"/>
    <col min="12033" max="12033" width="74" style="176" bestFit="1" customWidth="1"/>
    <col min="12034" max="12287" width="9.453125" style="176" customWidth="1"/>
    <col min="12288" max="12288" width="2.81640625" style="176" customWidth="1"/>
    <col min="12289" max="12289" width="74" style="176" bestFit="1" customWidth="1"/>
    <col min="12290" max="12543" width="9.453125" style="176" customWidth="1"/>
    <col min="12544" max="12544" width="2.81640625" style="176" customWidth="1"/>
    <col min="12545" max="12545" width="74" style="176" bestFit="1" customWidth="1"/>
    <col min="12546" max="12799" width="9.453125" style="176" customWidth="1"/>
    <col min="12800" max="12800" width="2.81640625" style="176" customWidth="1"/>
    <col min="12801" max="12801" width="74" style="176" bestFit="1" customWidth="1"/>
    <col min="12802" max="13055" width="9.453125" style="176" customWidth="1"/>
    <col min="13056" max="13056" width="2.81640625" style="176" customWidth="1"/>
    <col min="13057" max="13057" width="74" style="176" bestFit="1" customWidth="1"/>
    <col min="13058" max="13311" width="9.453125" style="176" customWidth="1"/>
    <col min="13312" max="13312" width="2.81640625" style="176" customWidth="1"/>
    <col min="13313" max="13313" width="74" style="176" bestFit="1" customWidth="1"/>
    <col min="13314" max="13567" width="9.453125" style="176" customWidth="1"/>
    <col min="13568" max="13568" width="2.81640625" style="176" customWidth="1"/>
    <col min="13569" max="13569" width="74" style="176" bestFit="1" customWidth="1"/>
    <col min="13570" max="13823" width="9.453125" style="176" customWidth="1"/>
    <col min="13824" max="13824" width="2.81640625" style="176" customWidth="1"/>
    <col min="13825" max="13825" width="74" style="176" bestFit="1" customWidth="1"/>
    <col min="13826" max="14079" width="9.453125" style="176" customWidth="1"/>
    <col min="14080" max="14080" width="2.81640625" style="176" customWidth="1"/>
    <col min="14081" max="14081" width="74" style="176" bestFit="1" customWidth="1"/>
    <col min="14082" max="14335" width="9.453125" style="176" customWidth="1"/>
    <col min="14336" max="14336" width="2.81640625" style="176" customWidth="1"/>
    <col min="14337" max="14337" width="74" style="176" bestFit="1" customWidth="1"/>
    <col min="14338" max="14591" width="9.453125" style="176" customWidth="1"/>
    <col min="14592" max="14592" width="2.81640625" style="176" customWidth="1"/>
    <col min="14593" max="14593" width="74" style="176" bestFit="1" customWidth="1"/>
    <col min="14594" max="14847" width="9.453125" style="176" customWidth="1"/>
    <col min="14848" max="14848" width="2.81640625" style="176" customWidth="1"/>
    <col min="14849" max="14849" width="74" style="176" bestFit="1" customWidth="1"/>
    <col min="14850" max="15103" width="9.453125" style="176" customWidth="1"/>
    <col min="15104" max="15104" width="2.81640625" style="176" customWidth="1"/>
    <col min="15105" max="15105" width="74" style="176" bestFit="1" customWidth="1"/>
    <col min="15106" max="15359" width="9.453125" style="176" customWidth="1"/>
    <col min="15360" max="15360" width="2.81640625" style="176" customWidth="1"/>
    <col min="15361" max="15361" width="74" style="176" bestFit="1" customWidth="1"/>
    <col min="15362" max="15615" width="9.453125" style="176" customWidth="1"/>
    <col min="15616" max="15616" width="2.81640625" style="176" customWidth="1"/>
    <col min="15617" max="15617" width="74" style="176" bestFit="1" customWidth="1"/>
    <col min="15618" max="15871" width="9.453125" style="176" customWidth="1"/>
    <col min="15872" max="15872" width="2.81640625" style="176" customWidth="1"/>
    <col min="15873" max="15873" width="74" style="176" bestFit="1" customWidth="1"/>
    <col min="15874" max="16127" width="9.453125" style="176" customWidth="1"/>
    <col min="16128" max="16128" width="2.81640625" style="176" customWidth="1"/>
    <col min="16129" max="16129" width="74" style="176" bestFit="1" customWidth="1"/>
    <col min="16130" max="16384" width="9.453125" style="176" customWidth="1"/>
  </cols>
  <sheetData>
    <row r="1" spans="1:11" ht="84" customHeight="1" x14ac:dyDescent="0.35"/>
    <row r="2" spans="1:11" ht="27.5" x14ac:dyDescent="0.55000000000000004">
      <c r="A2" s="225" t="s">
        <v>57</v>
      </c>
    </row>
    <row r="3" spans="1:11" ht="22.5" x14ac:dyDescent="0.35">
      <c r="A3" s="226" t="s">
        <v>251</v>
      </c>
    </row>
    <row r="4" spans="1:11" ht="45" customHeight="1" x14ac:dyDescent="0.35">
      <c r="A4" s="227" t="s">
        <v>179</v>
      </c>
      <c r="C4" s="177"/>
      <c r="K4" s="178"/>
    </row>
    <row r="5" spans="1:11" ht="32.25" customHeight="1" x14ac:dyDescent="0.35">
      <c r="A5" s="176" t="s">
        <v>58</v>
      </c>
    </row>
    <row r="6" spans="1:11" x14ac:dyDescent="0.35">
      <c r="A6" s="1" t="s">
        <v>59</v>
      </c>
    </row>
    <row r="7" spans="1:11" x14ac:dyDescent="0.35">
      <c r="A7" s="2" t="s">
        <v>60</v>
      </c>
      <c r="B7" s="3"/>
    </row>
    <row r="8" spans="1:11" ht="28.5" customHeight="1" x14ac:dyDescent="0.35">
      <c r="A8" s="4" t="s">
        <v>259</v>
      </c>
      <c r="B8" s="2"/>
    </row>
    <row r="9" spans="1:11" x14ac:dyDescent="0.35">
      <c r="A9" s="4" t="s">
        <v>261</v>
      </c>
      <c r="B9" s="2"/>
    </row>
    <row r="10" spans="1:11" ht="30" customHeight="1" x14ac:dyDescent="0.35">
      <c r="A10" s="176" t="s">
        <v>252</v>
      </c>
    </row>
    <row r="11" spans="1:11" x14ac:dyDescent="0.35">
      <c r="A11" s="5" t="s">
        <v>61</v>
      </c>
    </row>
    <row r="12" spans="1:11" ht="26.25" customHeight="1" x14ac:dyDescent="0.35">
      <c r="A12" s="176" t="s">
        <v>62</v>
      </c>
    </row>
    <row r="13" spans="1:11" x14ac:dyDescent="0.35">
      <c r="A13" s="176" t="s">
        <v>63</v>
      </c>
    </row>
    <row r="14" spans="1:11" x14ac:dyDescent="0.35">
      <c r="A14" s="1" t="s">
        <v>64</v>
      </c>
    </row>
  </sheetData>
  <hyperlinks>
    <hyperlink ref="A6" r:id="rId1" xr:uid="{6597C1C4-0A71-4216-A69E-0EC657BAB34E}"/>
    <hyperlink ref="A11" location="Contents!A1" display="Contents" xr:uid="{8A275BBE-8F64-41B5-90D7-2CC6D6093E36}"/>
    <hyperlink ref="A14" r:id="rId2" display="If you find any problems, or have any feedback, relating to accessibility please email us at firestatistics@homeoffice.gov.uk" xr:uid="{6904175C-09AE-487C-939B-38ED2C338255}"/>
    <hyperlink ref="A8" r:id="rId3" display="Published: 1 September 2022" xr:uid="{0ABFCBFA-233F-4826-BDD1-98EEB3C92787}"/>
    <hyperlink ref="A9" r:id="rId4" display="Next update: Autumn 2023" xr:uid="{CD59BE11-1A7D-4F73-B79A-A994C49FD8CB}"/>
  </hyperlinks>
  <pageMargins left="0.70000000000000007" right="0.70000000000000007" top="0.75" bottom="0.75" header="0.30000000000000004" footer="0.30000000000000004"/>
  <pageSetup paperSize="9" fitToWidth="0" fitToHeight="0" orientation="landscape" r:id="rId5"/>
  <headerFooter>
    <oddHeader>&amp;C&amp;"Aptos"&amp;10&amp;K000000 OFFICIAL&amp;1#_x000D_</oddHeader>
    <oddFooter>&amp;C_x000D_&amp;1#&amp;"Aptos"&amp;10&amp;K000000 OFFICIAL</oddFooter>
  </headerFooter>
  <drawing r:id="rId6"/>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10B45D-C5B6-43AF-BD16-E52EB83D68E8}">
  <sheetPr>
    <tabColor theme="9" tint="0.79998168889431442"/>
  </sheetPr>
  <dimension ref="A1:V68"/>
  <sheetViews>
    <sheetView workbookViewId="0">
      <selection activeCell="L18" sqref="L18"/>
    </sheetView>
  </sheetViews>
  <sheetFormatPr defaultColWidth="8.81640625" defaultRowHeight="10.5" x14ac:dyDescent="0.25"/>
  <cols>
    <col min="1" max="1" width="21" style="78" bestFit="1" customWidth="1"/>
    <col min="2" max="2" width="4.453125" style="78" customWidth="1"/>
    <col min="3" max="10" width="8.81640625" style="78"/>
    <col min="11" max="11" width="18.453125" style="78" bestFit="1" customWidth="1"/>
    <col min="12" max="12" width="15.81640625" style="78" bestFit="1" customWidth="1"/>
    <col min="13" max="13" width="8.81640625" style="78"/>
    <col min="14" max="14" width="19.54296875" style="78" bestFit="1" customWidth="1"/>
    <col min="15" max="16384" width="8.81640625" style="78"/>
  </cols>
  <sheetData>
    <row r="1" spans="1:22" ht="41.9" customHeight="1" x14ac:dyDescent="0.25">
      <c r="A1" s="241"/>
      <c r="B1" s="241"/>
      <c r="C1" s="241"/>
      <c r="D1" s="241"/>
      <c r="E1" s="241"/>
      <c r="F1" s="241"/>
      <c r="G1" s="241"/>
      <c r="H1" s="241"/>
      <c r="I1" s="241"/>
      <c r="J1" s="241"/>
    </row>
    <row r="2" spans="1:22" ht="36.65" customHeight="1" x14ac:dyDescent="0.25">
      <c r="A2" s="242"/>
      <c r="B2" s="79"/>
      <c r="C2" s="238" t="s">
        <v>150</v>
      </c>
      <c r="D2" s="239"/>
      <c r="E2" s="240" t="s">
        <v>151</v>
      </c>
      <c r="F2" s="240"/>
      <c r="G2" s="240" t="s">
        <v>152</v>
      </c>
      <c r="H2" s="240"/>
      <c r="I2" s="238" t="s">
        <v>153</v>
      </c>
      <c r="J2" s="239"/>
    </row>
    <row r="3" spans="1:22" ht="27.65" customHeight="1" x14ac:dyDescent="0.25">
      <c r="A3" s="243"/>
      <c r="B3" s="80"/>
      <c r="C3" s="81" t="s">
        <v>127</v>
      </c>
      <c r="D3" s="81" t="s">
        <v>128</v>
      </c>
      <c r="E3" s="81" t="s">
        <v>127</v>
      </c>
      <c r="F3" s="81" t="s">
        <v>128</v>
      </c>
      <c r="G3" s="81" t="s">
        <v>127</v>
      </c>
      <c r="H3" s="81" t="s">
        <v>128</v>
      </c>
      <c r="I3" s="81" t="s">
        <v>127</v>
      </c>
      <c r="J3" s="81" t="s">
        <v>128</v>
      </c>
    </row>
    <row r="4" spans="1:22" x14ac:dyDescent="0.25">
      <c r="O4" s="238" t="s">
        <v>150</v>
      </c>
      <c r="P4" s="239"/>
      <c r="Q4" s="240" t="s">
        <v>151</v>
      </c>
      <c r="R4" s="240"/>
      <c r="S4" s="240" t="s">
        <v>152</v>
      </c>
      <c r="T4" s="240"/>
      <c r="U4" s="238" t="s">
        <v>153</v>
      </c>
      <c r="V4" s="239"/>
    </row>
    <row r="5" spans="1:22" x14ac:dyDescent="0.25">
      <c r="O5" s="81" t="s">
        <v>127</v>
      </c>
      <c r="P5" s="81" t="s">
        <v>128</v>
      </c>
      <c r="Q5" s="81" t="s">
        <v>127</v>
      </c>
      <c r="R5" s="81" t="s">
        <v>128</v>
      </c>
      <c r="S5" s="81" t="s">
        <v>127</v>
      </c>
      <c r="T5" s="81" t="s">
        <v>128</v>
      </c>
      <c r="U5" s="81" t="s">
        <v>127</v>
      </c>
      <c r="V5" s="81" t="s">
        <v>128</v>
      </c>
    </row>
    <row r="6" spans="1:22" x14ac:dyDescent="0.25">
      <c r="A6" s="82" t="s">
        <v>76</v>
      </c>
      <c r="B6" s="82"/>
      <c r="C6" s="83">
        <f t="shared" ref="C6:J6" si="0">SUM(C12:C60)</f>
        <v>588565</v>
      </c>
      <c r="D6" s="83">
        <f t="shared" si="0"/>
        <v>879633.67431547225</v>
      </c>
      <c r="E6" s="83">
        <f t="shared" si="0"/>
        <v>313757</v>
      </c>
      <c r="F6" s="83">
        <f t="shared" si="0"/>
        <v>439917.33999999997</v>
      </c>
      <c r="G6" s="83">
        <f t="shared" si="0"/>
        <v>140808</v>
      </c>
      <c r="H6" s="83">
        <f t="shared" si="0"/>
        <v>246456.33333333331</v>
      </c>
      <c r="I6" s="83">
        <f t="shared" si="0"/>
        <v>26677</v>
      </c>
      <c r="J6" s="83">
        <f t="shared" si="0"/>
        <v>27569.48333333333</v>
      </c>
      <c r="N6" s="78" t="s">
        <v>82</v>
      </c>
      <c r="O6" s="78">
        <v>6256</v>
      </c>
      <c r="P6" s="78">
        <v>8356</v>
      </c>
      <c r="Q6" s="78">
        <v>3643</v>
      </c>
      <c r="R6" s="78">
        <v>1214.83</v>
      </c>
      <c r="S6" s="78" t="s">
        <v>163</v>
      </c>
      <c r="T6" s="78" t="s">
        <v>163</v>
      </c>
      <c r="U6" s="78">
        <v>215</v>
      </c>
      <c r="V6" s="78">
        <v>71.599999999999994</v>
      </c>
    </row>
    <row r="7" spans="1:22" x14ac:dyDescent="0.25">
      <c r="A7" s="82" t="s">
        <v>88</v>
      </c>
      <c r="B7" s="82"/>
      <c r="C7" s="83">
        <f t="shared" ref="C7:J8" si="1">SUMIF($L$12:$L$60,$A7,C$12:C$60)</f>
        <v>303959</v>
      </c>
      <c r="D7" s="83">
        <f t="shared" si="1"/>
        <v>418891.17431547231</v>
      </c>
      <c r="E7" s="83">
        <f t="shared" si="1"/>
        <v>180309</v>
      </c>
      <c r="F7" s="83">
        <f t="shared" si="1"/>
        <v>215337.59</v>
      </c>
      <c r="G7" s="83">
        <f t="shared" si="1"/>
        <v>60654</v>
      </c>
      <c r="H7" s="83">
        <f t="shared" si="1"/>
        <v>83422.899999999994</v>
      </c>
      <c r="I7" s="83">
        <f t="shared" si="1"/>
        <v>16630</v>
      </c>
      <c r="J7" s="83">
        <f t="shared" si="1"/>
        <v>21029.149999999998</v>
      </c>
      <c r="N7" s="78" t="s">
        <v>83</v>
      </c>
      <c r="O7" s="78">
        <v>777</v>
      </c>
      <c r="P7" s="78">
        <v>651</v>
      </c>
      <c r="Q7" s="78">
        <v>641</v>
      </c>
      <c r="R7" s="78">
        <v>537</v>
      </c>
      <c r="S7" s="78" t="s">
        <v>163</v>
      </c>
      <c r="T7" s="78" t="s">
        <v>163</v>
      </c>
      <c r="U7" s="78">
        <v>261</v>
      </c>
      <c r="V7" s="78">
        <v>196</v>
      </c>
    </row>
    <row r="8" spans="1:22" x14ac:dyDescent="0.25">
      <c r="A8" s="82" t="s">
        <v>92</v>
      </c>
      <c r="B8" s="82"/>
      <c r="C8" s="83">
        <f t="shared" si="1"/>
        <v>284606</v>
      </c>
      <c r="D8" s="83">
        <f t="shared" si="1"/>
        <v>460742.5</v>
      </c>
      <c r="E8" s="83">
        <f t="shared" si="1"/>
        <v>133448</v>
      </c>
      <c r="F8" s="83">
        <f t="shared" si="1"/>
        <v>224579.75</v>
      </c>
      <c r="G8" s="83">
        <f t="shared" si="1"/>
        <v>80154</v>
      </c>
      <c r="H8" s="83">
        <f t="shared" si="1"/>
        <v>163033.43333333335</v>
      </c>
      <c r="I8" s="83">
        <f t="shared" si="1"/>
        <v>10047</v>
      </c>
      <c r="J8" s="83">
        <f t="shared" si="1"/>
        <v>6540.333333333333</v>
      </c>
      <c r="N8" s="78" t="s">
        <v>93</v>
      </c>
      <c r="O8" s="78">
        <f>SUM(O6:O7)</f>
        <v>7033</v>
      </c>
      <c r="P8" s="78">
        <f t="shared" ref="P8:V8" si="2">SUM(P6:P7)</f>
        <v>9007</v>
      </c>
      <c r="Q8" s="78">
        <f t="shared" si="2"/>
        <v>4284</v>
      </c>
      <c r="R8" s="78">
        <f t="shared" si="2"/>
        <v>1751.83</v>
      </c>
      <c r="S8" s="78">
        <f t="shared" si="2"/>
        <v>0</v>
      </c>
      <c r="T8" s="78">
        <f t="shared" si="2"/>
        <v>0</v>
      </c>
      <c r="U8" s="78">
        <f t="shared" si="2"/>
        <v>476</v>
      </c>
      <c r="V8" s="78">
        <f t="shared" si="2"/>
        <v>267.60000000000002</v>
      </c>
    </row>
    <row r="9" spans="1:22" x14ac:dyDescent="0.25">
      <c r="A9" s="82" t="s">
        <v>87</v>
      </c>
      <c r="B9" s="82"/>
      <c r="C9" s="83">
        <f t="shared" ref="C9:J11" si="3">SUMIF($K$12:$K$60,$A9,C$12:C$60)</f>
        <v>343412</v>
      </c>
      <c r="D9" s="83">
        <f t="shared" si="3"/>
        <v>608289.5</v>
      </c>
      <c r="E9" s="83">
        <f t="shared" si="3"/>
        <v>168449</v>
      </c>
      <c r="F9" s="83">
        <f t="shared" si="3"/>
        <v>311803.75</v>
      </c>
      <c r="G9" s="83">
        <f t="shared" si="3"/>
        <v>94065</v>
      </c>
      <c r="H9" s="83">
        <f t="shared" si="3"/>
        <v>193660.43333333335</v>
      </c>
      <c r="I9" s="83">
        <f t="shared" si="3"/>
        <v>16492</v>
      </c>
      <c r="J9" s="83">
        <f t="shared" si="3"/>
        <v>19072.333333333332</v>
      </c>
    </row>
    <row r="10" spans="1:22" x14ac:dyDescent="0.25">
      <c r="A10" s="82" t="s">
        <v>90</v>
      </c>
      <c r="B10" s="82"/>
      <c r="C10" s="83">
        <f t="shared" si="3"/>
        <v>171379</v>
      </c>
      <c r="D10" s="83">
        <f t="shared" si="3"/>
        <v>197027.59431547232</v>
      </c>
      <c r="E10" s="83">
        <f t="shared" si="3"/>
        <v>111656</v>
      </c>
      <c r="F10" s="83">
        <f t="shared" si="3"/>
        <v>88021.09</v>
      </c>
      <c r="G10" s="83">
        <f t="shared" si="3"/>
        <v>36734</v>
      </c>
      <c r="H10" s="83">
        <f t="shared" si="3"/>
        <v>40491</v>
      </c>
      <c r="I10" s="83">
        <f t="shared" si="3"/>
        <v>7817</v>
      </c>
      <c r="J10" s="83">
        <f t="shared" si="3"/>
        <v>7234.6</v>
      </c>
    </row>
    <row r="11" spans="1:22" x14ac:dyDescent="0.25">
      <c r="A11" s="82" t="s">
        <v>91</v>
      </c>
      <c r="B11" s="82"/>
      <c r="C11" s="83">
        <f t="shared" si="3"/>
        <v>73774</v>
      </c>
      <c r="D11" s="83">
        <f t="shared" si="3"/>
        <v>74316.58</v>
      </c>
      <c r="E11" s="83">
        <f t="shared" si="3"/>
        <v>33652</v>
      </c>
      <c r="F11" s="83">
        <f t="shared" si="3"/>
        <v>40092.5</v>
      </c>
      <c r="G11" s="83">
        <f t="shared" si="3"/>
        <v>10009</v>
      </c>
      <c r="H11" s="83">
        <f t="shared" si="3"/>
        <v>12304.9</v>
      </c>
      <c r="I11" s="83">
        <f t="shared" si="3"/>
        <v>2368</v>
      </c>
      <c r="J11" s="83">
        <f t="shared" si="3"/>
        <v>1262.55</v>
      </c>
    </row>
    <row r="12" spans="1:22" x14ac:dyDescent="0.25">
      <c r="A12" s="78" t="s">
        <v>8</v>
      </c>
      <c r="C12" s="84">
        <v>7377</v>
      </c>
      <c r="D12" s="84">
        <v>7365</v>
      </c>
      <c r="E12" s="84">
        <v>4321</v>
      </c>
      <c r="F12" s="84">
        <v>4354</v>
      </c>
      <c r="G12" s="84">
        <v>2882</v>
      </c>
      <c r="H12" s="84">
        <v>2905</v>
      </c>
      <c r="I12" s="84">
        <v>939</v>
      </c>
      <c r="J12" s="84">
        <v>454</v>
      </c>
      <c r="K12" s="78" t="s">
        <v>87</v>
      </c>
      <c r="L12" s="78" t="s">
        <v>88</v>
      </c>
    </row>
    <row r="13" spans="1:22" x14ac:dyDescent="0.25">
      <c r="A13" s="78" t="s">
        <v>11</v>
      </c>
      <c r="C13" s="84">
        <v>3299</v>
      </c>
      <c r="D13" s="84">
        <v>3994</v>
      </c>
      <c r="E13" s="84">
        <v>550</v>
      </c>
      <c r="F13" s="84">
        <v>729</v>
      </c>
      <c r="G13" s="84" t="s">
        <v>163</v>
      </c>
      <c r="H13" s="84" t="s">
        <v>163</v>
      </c>
      <c r="I13" s="84">
        <v>1017</v>
      </c>
      <c r="J13" s="84" t="s">
        <v>163</v>
      </c>
      <c r="K13" s="78" t="s">
        <v>90</v>
      </c>
      <c r="L13" s="78" t="s">
        <v>88</v>
      </c>
    </row>
    <row r="14" spans="1:22" x14ac:dyDescent="0.25">
      <c r="A14" s="78" t="s">
        <v>12</v>
      </c>
      <c r="C14" s="84">
        <v>7634</v>
      </c>
      <c r="D14" s="84">
        <v>19898</v>
      </c>
      <c r="E14" s="84">
        <v>6889</v>
      </c>
      <c r="F14" s="84">
        <v>13778</v>
      </c>
      <c r="G14" s="84">
        <v>2448</v>
      </c>
      <c r="H14" s="84">
        <v>6120</v>
      </c>
      <c r="I14" s="84">
        <v>0</v>
      </c>
      <c r="J14" s="84">
        <v>0</v>
      </c>
      <c r="K14" s="78" t="s">
        <v>87</v>
      </c>
      <c r="L14" s="78" t="s">
        <v>88</v>
      </c>
    </row>
    <row r="15" spans="1:22" x14ac:dyDescent="0.25">
      <c r="A15" s="78" t="s">
        <v>13</v>
      </c>
      <c r="C15" s="84">
        <v>3768</v>
      </c>
      <c r="D15" s="84">
        <v>5652</v>
      </c>
      <c r="E15" s="84">
        <v>1139</v>
      </c>
      <c r="F15" s="84">
        <v>636</v>
      </c>
      <c r="G15" s="84">
        <v>403</v>
      </c>
      <c r="H15" s="84">
        <v>230</v>
      </c>
      <c r="I15" s="84">
        <v>0</v>
      </c>
      <c r="J15" s="84">
        <v>0</v>
      </c>
      <c r="K15" s="78" t="s">
        <v>90</v>
      </c>
      <c r="L15" s="78" t="s">
        <v>88</v>
      </c>
    </row>
    <row r="16" spans="1:22" x14ac:dyDescent="0.25">
      <c r="A16" s="78" t="s">
        <v>14</v>
      </c>
      <c r="C16" s="84">
        <v>4422</v>
      </c>
      <c r="D16" s="84">
        <v>4681</v>
      </c>
      <c r="E16" s="84">
        <v>3185</v>
      </c>
      <c r="F16" s="84">
        <v>3482</v>
      </c>
      <c r="G16" s="84">
        <v>1903</v>
      </c>
      <c r="H16" s="84">
        <v>2340.9</v>
      </c>
      <c r="I16" s="84">
        <v>845</v>
      </c>
      <c r="J16" s="84">
        <v>843</v>
      </c>
      <c r="K16" s="78" t="s">
        <v>91</v>
      </c>
      <c r="L16" s="78" t="s">
        <v>88</v>
      </c>
    </row>
    <row r="17" spans="1:12" x14ac:dyDescent="0.25">
      <c r="A17" s="78" t="s">
        <v>15</v>
      </c>
      <c r="C17" s="84">
        <v>39862</v>
      </c>
      <c r="D17" s="84">
        <v>16041</v>
      </c>
      <c r="E17" s="84">
        <v>35131</v>
      </c>
      <c r="F17" s="84">
        <v>13987</v>
      </c>
      <c r="G17" s="84">
        <v>8243</v>
      </c>
      <c r="H17" s="84">
        <v>4056</v>
      </c>
      <c r="I17" s="84">
        <v>0</v>
      </c>
      <c r="J17" s="84">
        <v>0</v>
      </c>
      <c r="K17" s="78" t="s">
        <v>90</v>
      </c>
      <c r="L17" s="78" t="s">
        <v>88</v>
      </c>
    </row>
    <row r="18" spans="1:12" x14ac:dyDescent="0.25">
      <c r="A18" s="78" t="s">
        <v>16</v>
      </c>
      <c r="C18" s="84">
        <v>17964</v>
      </c>
      <c r="D18" s="84">
        <v>74171</v>
      </c>
      <c r="E18" s="84">
        <v>11465</v>
      </c>
      <c r="F18" s="84">
        <v>48890</v>
      </c>
      <c r="G18" s="84">
        <v>3331</v>
      </c>
      <c r="H18" s="84">
        <v>11892</v>
      </c>
      <c r="I18" s="84">
        <v>2295</v>
      </c>
      <c r="J18" s="84">
        <v>6773</v>
      </c>
      <c r="K18" s="78" t="s">
        <v>87</v>
      </c>
      <c r="L18" s="78" t="s">
        <v>88</v>
      </c>
    </row>
    <row r="19" spans="1:12" x14ac:dyDescent="0.25">
      <c r="A19" s="78" t="s">
        <v>17</v>
      </c>
      <c r="C19" s="84">
        <v>4509</v>
      </c>
      <c r="D19" s="84">
        <v>3575</v>
      </c>
      <c r="E19" s="84">
        <v>1908</v>
      </c>
      <c r="F19" s="84">
        <v>1696</v>
      </c>
      <c r="G19" s="84">
        <v>1355</v>
      </c>
      <c r="H19" s="84">
        <v>1246</v>
      </c>
      <c r="I19" s="84">
        <v>743</v>
      </c>
      <c r="J19" s="84">
        <v>228</v>
      </c>
      <c r="K19" s="78" t="s">
        <v>91</v>
      </c>
      <c r="L19" s="78" t="s">
        <v>88</v>
      </c>
    </row>
    <row r="20" spans="1:12" x14ac:dyDescent="0.25">
      <c r="A20" s="78" t="s">
        <v>18</v>
      </c>
      <c r="C20" s="84">
        <v>8777</v>
      </c>
      <c r="D20" s="84">
        <v>6381</v>
      </c>
      <c r="E20" s="84">
        <v>1679</v>
      </c>
      <c r="F20" s="84">
        <v>2432</v>
      </c>
      <c r="G20" s="84">
        <v>456</v>
      </c>
      <c r="H20" s="84">
        <v>646</v>
      </c>
      <c r="I20" s="84">
        <v>0</v>
      </c>
      <c r="J20" s="84">
        <v>0</v>
      </c>
      <c r="K20" s="78" t="s">
        <v>91</v>
      </c>
      <c r="L20" s="78" t="s">
        <v>88</v>
      </c>
    </row>
    <row r="21" spans="1:12" x14ac:dyDescent="0.25">
      <c r="A21" s="85" t="s">
        <v>19</v>
      </c>
      <c r="C21" s="84">
        <v>10658</v>
      </c>
      <c r="D21" s="84">
        <v>18073.599999999999</v>
      </c>
      <c r="E21" s="84">
        <v>8374</v>
      </c>
      <c r="F21" s="84">
        <v>13977.76</v>
      </c>
      <c r="G21" s="84">
        <v>3537</v>
      </c>
      <c r="H21" s="84">
        <v>6545</v>
      </c>
      <c r="I21" s="84">
        <v>4131</v>
      </c>
      <c r="J21" s="84">
        <v>5023</v>
      </c>
      <c r="K21" s="78" t="s">
        <v>90</v>
      </c>
      <c r="L21" s="78" t="s">
        <v>88</v>
      </c>
    </row>
    <row r="22" spans="1:12" x14ac:dyDescent="0.25">
      <c r="A22" s="85" t="s">
        <v>20</v>
      </c>
      <c r="C22" s="84">
        <v>8774</v>
      </c>
      <c r="D22" s="84">
        <v>10832</v>
      </c>
      <c r="E22" s="84">
        <v>5789</v>
      </c>
      <c r="F22" s="84">
        <v>7497</v>
      </c>
      <c r="G22" s="84">
        <v>1476</v>
      </c>
      <c r="H22" s="84">
        <v>1744</v>
      </c>
      <c r="I22" s="84">
        <v>0</v>
      </c>
      <c r="J22" s="84">
        <v>0</v>
      </c>
      <c r="K22" s="78" t="s">
        <v>91</v>
      </c>
      <c r="L22" s="78" t="s">
        <v>88</v>
      </c>
    </row>
    <row r="23" spans="1:12" x14ac:dyDescent="0.25">
      <c r="A23" s="85" t="s">
        <v>21</v>
      </c>
      <c r="C23" s="84">
        <v>12371</v>
      </c>
      <c r="D23" s="84">
        <v>16547</v>
      </c>
      <c r="E23" s="84">
        <v>7980</v>
      </c>
      <c r="F23" s="84">
        <v>11000</v>
      </c>
      <c r="G23" s="84" t="s">
        <v>163</v>
      </c>
      <c r="H23" s="84" t="s">
        <v>163</v>
      </c>
      <c r="I23" s="84">
        <v>88</v>
      </c>
      <c r="J23" s="84">
        <v>48</v>
      </c>
      <c r="K23" s="78" t="s">
        <v>90</v>
      </c>
      <c r="L23" s="78" t="s">
        <v>88</v>
      </c>
    </row>
    <row r="24" spans="1:12" x14ac:dyDescent="0.25">
      <c r="A24" s="78" t="s">
        <v>22</v>
      </c>
      <c r="C24" s="84">
        <v>18915</v>
      </c>
      <c r="D24" s="84">
        <v>14964</v>
      </c>
      <c r="E24" s="84">
        <v>7136</v>
      </c>
      <c r="F24" s="84">
        <v>5994</v>
      </c>
      <c r="G24" s="84">
        <v>1086</v>
      </c>
      <c r="H24" s="84">
        <v>1146</v>
      </c>
      <c r="I24" s="84">
        <v>0</v>
      </c>
      <c r="J24" s="84">
        <v>0</v>
      </c>
      <c r="K24" s="78" t="s">
        <v>91</v>
      </c>
      <c r="L24" s="78" t="s">
        <v>88</v>
      </c>
    </row>
    <row r="25" spans="1:12" x14ac:dyDescent="0.25">
      <c r="A25" s="78" t="s">
        <v>23</v>
      </c>
      <c r="C25" s="84">
        <v>9240</v>
      </c>
      <c r="D25" s="84">
        <v>17057</v>
      </c>
      <c r="E25" s="84">
        <v>6226</v>
      </c>
      <c r="F25" s="84">
        <v>10447</v>
      </c>
      <c r="G25" s="84">
        <v>5015</v>
      </c>
      <c r="H25" s="84">
        <v>7954.5</v>
      </c>
      <c r="I25" s="84">
        <v>0</v>
      </c>
      <c r="J25" s="84">
        <v>0</v>
      </c>
      <c r="K25" s="78" t="s">
        <v>90</v>
      </c>
      <c r="L25" s="78" t="s">
        <v>88</v>
      </c>
    </row>
    <row r="26" spans="1:12" x14ac:dyDescent="0.25">
      <c r="A26" s="78" t="s">
        <v>24</v>
      </c>
      <c r="C26" s="84">
        <v>9488</v>
      </c>
      <c r="D26" s="84">
        <v>8169</v>
      </c>
      <c r="E26" s="84">
        <v>5461</v>
      </c>
      <c r="F26" s="84" t="s">
        <v>163</v>
      </c>
      <c r="G26" s="84">
        <v>2343</v>
      </c>
      <c r="H26" s="84" t="s">
        <v>163</v>
      </c>
      <c r="I26" s="84">
        <v>999</v>
      </c>
      <c r="J26" s="84">
        <v>839</v>
      </c>
      <c r="K26" s="78" t="s">
        <v>90</v>
      </c>
      <c r="L26" s="78" t="s">
        <v>88</v>
      </c>
    </row>
    <row r="27" spans="1:12" x14ac:dyDescent="0.25">
      <c r="A27" s="78" t="s">
        <v>25</v>
      </c>
      <c r="C27" s="84">
        <v>7147</v>
      </c>
      <c r="D27" s="84">
        <v>10720</v>
      </c>
      <c r="E27" s="84">
        <v>3782</v>
      </c>
      <c r="F27" s="84">
        <v>5673</v>
      </c>
      <c r="G27" s="84">
        <v>2220</v>
      </c>
      <c r="H27" s="84">
        <v>3330</v>
      </c>
      <c r="I27" s="84">
        <v>0</v>
      </c>
      <c r="J27" s="84">
        <v>0</v>
      </c>
      <c r="K27" s="78" t="s">
        <v>90</v>
      </c>
      <c r="L27" s="78" t="s">
        <v>88</v>
      </c>
    </row>
    <row r="28" spans="1:12" x14ac:dyDescent="0.25">
      <c r="A28" s="78" t="s">
        <v>26</v>
      </c>
      <c r="C28" s="84">
        <v>84891</v>
      </c>
      <c r="D28" s="84">
        <v>158704</v>
      </c>
      <c r="E28" s="84">
        <v>36050</v>
      </c>
      <c r="F28" s="84">
        <v>70981</v>
      </c>
      <c r="G28" s="84">
        <v>30334</v>
      </c>
      <c r="H28" s="84">
        <v>61253</v>
      </c>
      <c r="I28" s="84">
        <v>2276</v>
      </c>
      <c r="J28" s="84" t="s">
        <v>163</v>
      </c>
      <c r="K28" s="78" t="s">
        <v>87</v>
      </c>
      <c r="L28" s="78" t="s">
        <v>92</v>
      </c>
    </row>
    <row r="29" spans="1:12" x14ac:dyDescent="0.25">
      <c r="A29" s="78" t="s">
        <v>27</v>
      </c>
      <c r="C29" s="84">
        <v>27796</v>
      </c>
      <c r="D29" s="84">
        <v>35713</v>
      </c>
      <c r="E29" s="84">
        <v>10206</v>
      </c>
      <c r="F29" s="84">
        <v>14718</v>
      </c>
      <c r="G29" s="84">
        <v>5401</v>
      </c>
      <c r="H29" s="84">
        <v>11213.5</v>
      </c>
      <c r="I29" s="84">
        <v>117</v>
      </c>
      <c r="J29" s="84">
        <v>117</v>
      </c>
      <c r="K29" s="78" t="s">
        <v>87</v>
      </c>
      <c r="L29" s="78" t="s">
        <v>92</v>
      </c>
    </row>
    <row r="30" spans="1:12" x14ac:dyDescent="0.25">
      <c r="A30" s="78" t="s">
        <v>93</v>
      </c>
      <c r="C30" s="84">
        <v>7033</v>
      </c>
      <c r="D30" s="84">
        <v>9007</v>
      </c>
      <c r="E30" s="84">
        <v>4284</v>
      </c>
      <c r="F30" s="84">
        <v>1751.83</v>
      </c>
      <c r="G30" s="84">
        <v>0</v>
      </c>
      <c r="H30" s="84">
        <v>0</v>
      </c>
      <c r="I30" s="84">
        <v>476</v>
      </c>
      <c r="J30" s="84">
        <v>267.60000000000002</v>
      </c>
      <c r="K30" s="78" t="s">
        <v>90</v>
      </c>
      <c r="L30" s="78" t="s">
        <v>88</v>
      </c>
    </row>
    <row r="31" spans="1:12" x14ac:dyDescent="0.25">
      <c r="A31" s="78" t="s">
        <v>28</v>
      </c>
      <c r="C31" s="84">
        <v>4232</v>
      </c>
      <c r="D31" s="84">
        <v>4884</v>
      </c>
      <c r="E31" s="84">
        <v>2388</v>
      </c>
      <c r="F31" s="84">
        <v>3002</v>
      </c>
      <c r="G31" s="84">
        <v>1648</v>
      </c>
      <c r="H31" s="84">
        <v>2071</v>
      </c>
      <c r="I31" s="84">
        <v>0</v>
      </c>
      <c r="J31" s="84">
        <v>0</v>
      </c>
      <c r="K31" s="78" t="s">
        <v>90</v>
      </c>
      <c r="L31" s="78" t="s">
        <v>88</v>
      </c>
    </row>
    <row r="32" spans="1:12" x14ac:dyDescent="0.25">
      <c r="A32" s="78" t="s">
        <v>29</v>
      </c>
      <c r="C32" s="84">
        <v>4852</v>
      </c>
      <c r="D32" s="84">
        <v>9704</v>
      </c>
      <c r="E32" s="84">
        <v>1794</v>
      </c>
      <c r="F32" s="84">
        <v>3588</v>
      </c>
      <c r="G32" s="84">
        <v>617</v>
      </c>
      <c r="H32" s="84">
        <v>1234</v>
      </c>
      <c r="I32" s="84">
        <v>1865</v>
      </c>
      <c r="J32" s="84">
        <v>3730</v>
      </c>
      <c r="K32" s="78" t="s">
        <v>87</v>
      </c>
      <c r="L32" s="78" t="s">
        <v>88</v>
      </c>
    </row>
    <row r="33" spans="1:12" x14ac:dyDescent="0.25">
      <c r="A33" s="78" t="s">
        <v>30</v>
      </c>
      <c r="C33" s="84">
        <v>6300</v>
      </c>
      <c r="D33" s="84">
        <v>5240</v>
      </c>
      <c r="E33" s="84">
        <v>2640</v>
      </c>
      <c r="F33" s="84">
        <v>2026</v>
      </c>
      <c r="G33" s="84">
        <v>1293</v>
      </c>
      <c r="H33" s="84">
        <v>1224</v>
      </c>
      <c r="I33" s="84">
        <v>0</v>
      </c>
      <c r="J33" s="84">
        <v>0</v>
      </c>
      <c r="K33" s="78" t="s">
        <v>90</v>
      </c>
      <c r="L33" s="78" t="s">
        <v>88</v>
      </c>
    </row>
    <row r="34" spans="1:12" x14ac:dyDescent="0.25">
      <c r="A34" s="78" t="s">
        <v>94</v>
      </c>
      <c r="C34" s="84">
        <v>72</v>
      </c>
      <c r="D34" s="84">
        <v>24</v>
      </c>
      <c r="E34" s="84">
        <v>55</v>
      </c>
      <c r="F34" s="84">
        <v>18</v>
      </c>
      <c r="G34" s="84">
        <v>0</v>
      </c>
      <c r="H34" s="84">
        <v>0</v>
      </c>
      <c r="I34" s="84">
        <v>0</v>
      </c>
      <c r="J34" s="84">
        <v>0</v>
      </c>
      <c r="K34" s="78" t="s">
        <v>91</v>
      </c>
      <c r="L34" s="78" t="s">
        <v>88</v>
      </c>
    </row>
    <row r="35" spans="1:12" x14ac:dyDescent="0.25">
      <c r="A35" s="78" t="s">
        <v>32</v>
      </c>
      <c r="C35" s="84">
        <v>9000</v>
      </c>
      <c r="D35" s="84">
        <v>13500</v>
      </c>
      <c r="E35" s="84">
        <v>5049</v>
      </c>
      <c r="F35" s="84">
        <v>7573.5</v>
      </c>
      <c r="G35" s="84">
        <v>4973</v>
      </c>
      <c r="H35" s="84">
        <v>7459.5</v>
      </c>
      <c r="I35" s="84">
        <v>0</v>
      </c>
      <c r="J35" s="84">
        <v>0</v>
      </c>
      <c r="K35" s="78" t="s">
        <v>90</v>
      </c>
      <c r="L35" s="78" t="s">
        <v>88</v>
      </c>
    </row>
    <row r="36" spans="1:12" x14ac:dyDescent="0.25">
      <c r="A36" s="78" t="s">
        <v>33</v>
      </c>
      <c r="C36" s="84">
        <v>11948</v>
      </c>
      <c r="D36" s="84">
        <v>17600</v>
      </c>
      <c r="E36" s="84">
        <v>6825</v>
      </c>
      <c r="F36" s="84">
        <v>8798</v>
      </c>
      <c r="G36" s="84">
        <v>1464</v>
      </c>
      <c r="H36" s="84">
        <v>1888</v>
      </c>
      <c r="I36" s="84">
        <v>0</v>
      </c>
      <c r="J36" s="84">
        <v>0</v>
      </c>
      <c r="K36" s="78" t="s">
        <v>87</v>
      </c>
      <c r="L36" s="78" t="s">
        <v>88</v>
      </c>
    </row>
    <row r="37" spans="1:12" x14ac:dyDescent="0.25">
      <c r="A37" s="78" t="s">
        <v>34</v>
      </c>
      <c r="C37" s="84">
        <v>8624</v>
      </c>
      <c r="D37" s="84">
        <v>15092</v>
      </c>
      <c r="E37" s="84">
        <v>4104</v>
      </c>
      <c r="F37" s="84">
        <v>7182</v>
      </c>
      <c r="G37" s="84">
        <v>2071</v>
      </c>
      <c r="H37" s="84">
        <v>3624</v>
      </c>
      <c r="I37" s="84">
        <v>463</v>
      </c>
      <c r="J37" s="84">
        <v>810</v>
      </c>
      <c r="K37" s="78" t="s">
        <v>90</v>
      </c>
      <c r="L37" s="78" t="s">
        <v>88</v>
      </c>
    </row>
    <row r="38" spans="1:12" x14ac:dyDescent="0.25">
      <c r="A38" s="78" t="s">
        <v>35</v>
      </c>
      <c r="C38" s="84">
        <v>6232</v>
      </c>
      <c r="D38" s="84">
        <v>5491</v>
      </c>
      <c r="E38" s="84">
        <v>2188</v>
      </c>
      <c r="F38" s="84">
        <v>2744</v>
      </c>
      <c r="G38" s="84">
        <v>2195</v>
      </c>
      <c r="H38" s="84">
        <v>2918</v>
      </c>
      <c r="I38" s="84">
        <v>26</v>
      </c>
      <c r="J38" s="84">
        <v>39</v>
      </c>
      <c r="K38" s="78" t="s">
        <v>91</v>
      </c>
      <c r="L38" s="78" t="s">
        <v>88</v>
      </c>
    </row>
    <row r="39" spans="1:12" x14ac:dyDescent="0.25">
      <c r="A39" s="78" t="s">
        <v>36</v>
      </c>
      <c r="C39" s="84">
        <v>57679</v>
      </c>
      <c r="D39" s="84">
        <v>91709</v>
      </c>
      <c r="E39" s="84">
        <v>34870</v>
      </c>
      <c r="F39" s="84">
        <v>55443</v>
      </c>
      <c r="G39" s="84">
        <v>8008</v>
      </c>
      <c r="H39" s="84">
        <v>12732</v>
      </c>
      <c r="I39" s="84">
        <v>3214</v>
      </c>
      <c r="J39" s="84">
        <v>5110</v>
      </c>
      <c r="K39" s="78" t="s">
        <v>87</v>
      </c>
      <c r="L39" s="78" t="s">
        <v>92</v>
      </c>
    </row>
    <row r="40" spans="1:12" x14ac:dyDescent="0.25">
      <c r="A40" s="78" t="s">
        <v>37</v>
      </c>
      <c r="C40" s="84">
        <v>3291</v>
      </c>
      <c r="D40" s="84">
        <v>3437.33</v>
      </c>
      <c r="E40" s="84">
        <v>1802</v>
      </c>
      <c r="F40" s="84">
        <v>1880</v>
      </c>
      <c r="G40" s="84" t="s">
        <v>163</v>
      </c>
      <c r="H40" s="84" t="s">
        <v>163</v>
      </c>
      <c r="I40" s="84">
        <v>2</v>
      </c>
      <c r="J40" s="84">
        <v>2.2999999999999998</v>
      </c>
      <c r="K40" s="78" t="s">
        <v>91</v>
      </c>
      <c r="L40" s="78" t="s">
        <v>88</v>
      </c>
    </row>
    <row r="41" spans="1:12" x14ac:dyDescent="0.25">
      <c r="A41" s="78" t="s">
        <v>38</v>
      </c>
      <c r="C41" s="84">
        <v>2536</v>
      </c>
      <c r="D41" s="84">
        <v>3595</v>
      </c>
      <c r="E41" s="84">
        <v>1580</v>
      </c>
      <c r="F41" s="84">
        <v>2240</v>
      </c>
      <c r="G41" s="84" t="s">
        <v>163</v>
      </c>
      <c r="H41" s="84" t="s">
        <v>163</v>
      </c>
      <c r="I41" s="84">
        <v>8</v>
      </c>
      <c r="J41" s="84">
        <v>3</v>
      </c>
      <c r="K41" s="78" t="s">
        <v>91</v>
      </c>
      <c r="L41" s="78" t="s">
        <v>88</v>
      </c>
    </row>
    <row r="42" spans="1:12" x14ac:dyDescent="0.25">
      <c r="A42" s="78" t="s">
        <v>39</v>
      </c>
      <c r="C42" s="84">
        <v>2217</v>
      </c>
      <c r="D42" s="84">
        <v>1773.17</v>
      </c>
      <c r="E42" s="84">
        <v>938</v>
      </c>
      <c r="F42" s="84">
        <v>938</v>
      </c>
      <c r="G42" s="84">
        <v>498</v>
      </c>
      <c r="H42" s="84">
        <v>498</v>
      </c>
      <c r="I42" s="84">
        <v>48</v>
      </c>
      <c r="J42" s="84">
        <v>48</v>
      </c>
      <c r="K42" s="78" t="s">
        <v>90</v>
      </c>
      <c r="L42" s="78" t="s">
        <v>88</v>
      </c>
    </row>
    <row r="43" spans="1:12" x14ac:dyDescent="0.25">
      <c r="A43" s="78" t="s">
        <v>40</v>
      </c>
      <c r="C43" s="84">
        <v>8616</v>
      </c>
      <c r="D43" s="84">
        <v>8180.25</v>
      </c>
      <c r="E43" s="84">
        <v>4356</v>
      </c>
      <c r="F43" s="84">
        <v>4261.5</v>
      </c>
      <c r="G43" s="84">
        <v>1378</v>
      </c>
      <c r="H43" s="84">
        <v>1620</v>
      </c>
      <c r="I43" s="84">
        <v>176</v>
      </c>
      <c r="J43" s="84">
        <v>89.25</v>
      </c>
      <c r="K43" s="78" t="s">
        <v>91</v>
      </c>
      <c r="L43" s="78" t="s">
        <v>88</v>
      </c>
    </row>
    <row r="44" spans="1:12" x14ac:dyDescent="0.25">
      <c r="A44" s="78" t="s">
        <v>41</v>
      </c>
      <c r="C44" s="84">
        <v>3894</v>
      </c>
      <c r="D44" s="84">
        <v>7751</v>
      </c>
      <c r="E44" s="84">
        <v>1959</v>
      </c>
      <c r="F44" s="84">
        <v>3791</v>
      </c>
      <c r="G44" s="84">
        <v>1645</v>
      </c>
      <c r="H44" s="84">
        <v>3266</v>
      </c>
      <c r="I44" s="84">
        <v>562</v>
      </c>
      <c r="J44" s="84">
        <v>791</v>
      </c>
      <c r="K44" s="78" t="s">
        <v>87</v>
      </c>
      <c r="L44" s="78" t="s">
        <v>88</v>
      </c>
    </row>
    <row r="45" spans="1:12" x14ac:dyDescent="0.25">
      <c r="A45" s="78" t="s">
        <v>42</v>
      </c>
      <c r="C45" s="84">
        <v>3245</v>
      </c>
      <c r="D45" s="84">
        <v>5478</v>
      </c>
      <c r="E45" s="84">
        <v>2099</v>
      </c>
      <c r="F45" s="84">
        <v>4479</v>
      </c>
      <c r="G45" s="84" t="s">
        <v>163</v>
      </c>
      <c r="H45" s="84" t="s">
        <v>163</v>
      </c>
      <c r="I45" s="84">
        <v>58</v>
      </c>
      <c r="J45" s="84">
        <v>58</v>
      </c>
      <c r="K45" s="78" t="s">
        <v>91</v>
      </c>
      <c r="L45" s="78" t="s">
        <v>88</v>
      </c>
    </row>
    <row r="46" spans="1:12" x14ac:dyDescent="0.25">
      <c r="A46" s="78" t="s">
        <v>43</v>
      </c>
      <c r="C46" s="84">
        <v>3031</v>
      </c>
      <c r="D46" s="84">
        <v>3811</v>
      </c>
      <c r="E46" s="84">
        <v>1049</v>
      </c>
      <c r="F46" s="84">
        <v>1161</v>
      </c>
      <c r="G46" s="84" t="s">
        <v>163</v>
      </c>
      <c r="H46" s="84" t="s">
        <v>163</v>
      </c>
      <c r="I46" s="84">
        <v>510</v>
      </c>
      <c r="J46" s="84" t="s">
        <v>163</v>
      </c>
      <c r="K46" s="78" t="s">
        <v>91</v>
      </c>
      <c r="L46" s="78" t="s">
        <v>88</v>
      </c>
    </row>
    <row r="47" spans="1:12" x14ac:dyDescent="0.25">
      <c r="A47" s="78" t="s">
        <v>44</v>
      </c>
      <c r="C47" s="84">
        <v>20893</v>
      </c>
      <c r="D47" s="84">
        <v>21588.5</v>
      </c>
      <c r="E47" s="84">
        <v>8608</v>
      </c>
      <c r="F47" s="84">
        <v>5785.75</v>
      </c>
      <c r="G47" s="84">
        <v>4214</v>
      </c>
      <c r="H47" s="84">
        <v>2933.9333333333334</v>
      </c>
      <c r="I47" s="84">
        <v>378</v>
      </c>
      <c r="J47" s="84">
        <v>243.33333333333334</v>
      </c>
      <c r="K47" s="78" t="s">
        <v>87</v>
      </c>
      <c r="L47" s="78" t="s">
        <v>92</v>
      </c>
    </row>
    <row r="48" spans="1:12" x14ac:dyDescent="0.25">
      <c r="A48" s="78" t="s">
        <v>45</v>
      </c>
      <c r="C48" s="84">
        <v>27491</v>
      </c>
      <c r="D48" s="84" t="s">
        <v>163</v>
      </c>
      <c r="E48" s="84">
        <v>15632</v>
      </c>
      <c r="F48" s="84" t="s">
        <v>163</v>
      </c>
      <c r="G48" s="84">
        <v>2614</v>
      </c>
      <c r="H48" s="84" t="s">
        <v>163</v>
      </c>
      <c r="I48" s="84">
        <v>396</v>
      </c>
      <c r="J48" s="84" t="s">
        <v>163</v>
      </c>
      <c r="K48" s="78" t="s">
        <v>90</v>
      </c>
      <c r="L48" s="78" t="s">
        <v>88</v>
      </c>
    </row>
    <row r="49" spans="1:12" x14ac:dyDescent="0.25">
      <c r="A49" s="78" t="s">
        <v>46</v>
      </c>
      <c r="C49" s="84">
        <v>1354</v>
      </c>
      <c r="D49" s="84">
        <v>3867</v>
      </c>
      <c r="E49" s="84">
        <v>826</v>
      </c>
      <c r="F49" s="84">
        <v>2208</v>
      </c>
      <c r="G49" s="84">
        <v>160</v>
      </c>
      <c r="H49" s="84">
        <v>644</v>
      </c>
      <c r="I49" s="84">
        <v>0</v>
      </c>
      <c r="J49" s="84">
        <v>0</v>
      </c>
      <c r="K49" s="78" t="s">
        <v>91</v>
      </c>
      <c r="L49" s="78" t="s">
        <v>88</v>
      </c>
    </row>
    <row r="50" spans="1:12" x14ac:dyDescent="0.25">
      <c r="A50" s="78" t="s">
        <v>47</v>
      </c>
      <c r="C50" s="84">
        <v>5137</v>
      </c>
      <c r="D50" s="84">
        <v>11058</v>
      </c>
      <c r="E50" s="84">
        <v>1748</v>
      </c>
      <c r="F50" s="84">
        <v>4025</v>
      </c>
      <c r="G50" s="84">
        <v>1524</v>
      </c>
      <c r="H50" s="84">
        <v>3322</v>
      </c>
      <c r="I50" s="84">
        <v>784</v>
      </c>
      <c r="J50" s="84">
        <v>784</v>
      </c>
      <c r="K50" s="78" t="s">
        <v>87</v>
      </c>
      <c r="L50" s="78" t="s">
        <v>88</v>
      </c>
    </row>
    <row r="51" spans="1:12" x14ac:dyDescent="0.25">
      <c r="A51" s="78" t="s">
        <v>48</v>
      </c>
      <c r="C51" s="84">
        <v>29147</v>
      </c>
      <c r="D51" s="84">
        <v>15152</v>
      </c>
      <c r="E51" s="84">
        <v>12706</v>
      </c>
      <c r="F51" s="84">
        <v>7063</v>
      </c>
      <c r="G51" s="84">
        <v>5407</v>
      </c>
      <c r="H51" s="84">
        <v>3361</v>
      </c>
      <c r="I51" s="84">
        <v>4035</v>
      </c>
      <c r="J51" s="84">
        <v>1037</v>
      </c>
      <c r="K51" s="78" t="s">
        <v>87</v>
      </c>
      <c r="L51" s="78" t="s">
        <v>92</v>
      </c>
    </row>
    <row r="52" spans="1:12" x14ac:dyDescent="0.25">
      <c r="A52" s="78" t="s">
        <v>49</v>
      </c>
      <c r="C52" s="84">
        <v>4158</v>
      </c>
      <c r="D52" s="84">
        <v>4158</v>
      </c>
      <c r="E52" s="84">
        <v>2607</v>
      </c>
      <c r="F52" s="84">
        <v>2607</v>
      </c>
      <c r="G52" s="84">
        <v>756</v>
      </c>
      <c r="H52" s="84">
        <v>756</v>
      </c>
      <c r="I52" s="84">
        <v>199</v>
      </c>
      <c r="J52" s="84">
        <v>199</v>
      </c>
      <c r="K52" s="78" t="s">
        <v>90</v>
      </c>
      <c r="L52" s="78" t="s">
        <v>88</v>
      </c>
    </row>
    <row r="53" spans="1:12" x14ac:dyDescent="0.25">
      <c r="A53" s="78" t="s">
        <v>50</v>
      </c>
      <c r="C53" s="84">
        <v>26673</v>
      </c>
      <c r="D53" s="84">
        <v>100697</v>
      </c>
      <c r="E53" s="84">
        <v>14196</v>
      </c>
      <c r="F53" s="84">
        <v>53593</v>
      </c>
      <c r="G53" s="84">
        <v>15701</v>
      </c>
      <c r="H53" s="84">
        <v>59275</v>
      </c>
      <c r="I53" s="84">
        <v>0</v>
      </c>
      <c r="J53" s="84">
        <v>0</v>
      </c>
      <c r="K53" s="78" t="s">
        <v>87</v>
      </c>
      <c r="L53" s="78" t="s">
        <v>92</v>
      </c>
    </row>
    <row r="54" spans="1:12" x14ac:dyDescent="0.25">
      <c r="A54" s="78" t="s">
        <v>51</v>
      </c>
      <c r="C54" s="84">
        <v>6491</v>
      </c>
      <c r="D54" s="84">
        <v>9234</v>
      </c>
      <c r="E54" s="84">
        <v>5371</v>
      </c>
      <c r="F54" s="84">
        <v>6491</v>
      </c>
      <c r="G54" s="84">
        <v>1120</v>
      </c>
      <c r="H54" s="84">
        <v>2743</v>
      </c>
      <c r="I54" s="84">
        <v>0</v>
      </c>
      <c r="J54" s="84">
        <v>0</v>
      </c>
      <c r="K54" s="78" t="s">
        <v>90</v>
      </c>
      <c r="L54" s="78" t="s">
        <v>88</v>
      </c>
    </row>
    <row r="55" spans="1:12" x14ac:dyDescent="0.25">
      <c r="A55" s="78" t="s">
        <v>52</v>
      </c>
      <c r="C55" s="84">
        <v>37527</v>
      </c>
      <c r="D55" s="84">
        <v>37179</v>
      </c>
      <c r="E55" s="84">
        <v>16812</v>
      </c>
      <c r="F55" s="84">
        <v>16996</v>
      </c>
      <c r="G55" s="84">
        <v>11089</v>
      </c>
      <c r="H55" s="84">
        <v>12265</v>
      </c>
      <c r="I55" s="84">
        <v>27</v>
      </c>
      <c r="J55" s="84">
        <v>33</v>
      </c>
      <c r="K55" s="78" t="s">
        <v>87</v>
      </c>
      <c r="L55" s="78" t="s">
        <v>92</v>
      </c>
    </row>
    <row r="56" spans="1:12" x14ac:dyDescent="0.25">
      <c r="C56" s="84"/>
      <c r="D56" s="84"/>
      <c r="E56" s="84"/>
      <c r="F56" s="84"/>
      <c r="G56" s="84"/>
      <c r="H56" s="84"/>
      <c r="I56" s="84"/>
      <c r="J56" s="84"/>
    </row>
    <row r="57" spans="1:12" x14ac:dyDescent="0.25">
      <c r="A57" s="78" t="s">
        <v>164</v>
      </c>
      <c r="C57" s="84"/>
      <c r="D57" s="84"/>
      <c r="E57" s="84"/>
      <c r="F57" s="84"/>
      <c r="G57" s="84"/>
      <c r="H57" s="84"/>
      <c r="I57" s="84"/>
      <c r="J57" s="84"/>
    </row>
    <row r="58" spans="1:12" ht="10.4" customHeight="1" x14ac:dyDescent="0.25">
      <c r="A58" s="78" t="s">
        <v>45</v>
      </c>
      <c r="D58" s="85">
        <v>37885.82431547231</v>
      </c>
      <c r="K58" s="78" t="s">
        <v>90</v>
      </c>
      <c r="L58" s="78" t="s">
        <v>88</v>
      </c>
    </row>
    <row r="59" spans="1:12" ht="10.4" customHeight="1" x14ac:dyDescent="0.25">
      <c r="D59" s="85"/>
    </row>
    <row r="60" spans="1:12" ht="10.4" customHeight="1" x14ac:dyDescent="0.25">
      <c r="D60" s="85"/>
    </row>
    <row r="61" spans="1:12" ht="10.4" customHeight="1" x14ac:dyDescent="0.25"/>
    <row r="62" spans="1:12" ht="10.4" customHeight="1" x14ac:dyDescent="0.25"/>
    <row r="63" spans="1:12" ht="10.4" customHeight="1" x14ac:dyDescent="0.25"/>
    <row r="64" spans="1:12" ht="10.4" customHeight="1" x14ac:dyDescent="0.25"/>
    <row r="65" ht="10.4" customHeight="1" x14ac:dyDescent="0.25"/>
    <row r="66" ht="10.4" customHeight="1" x14ac:dyDescent="0.25"/>
    <row r="67" ht="10.4" customHeight="1" x14ac:dyDescent="0.25"/>
    <row r="68" ht="10.4" customHeight="1" x14ac:dyDescent="0.25"/>
  </sheetData>
  <mergeCells count="10">
    <mergeCell ref="O4:P4"/>
    <mergeCell ref="Q4:R4"/>
    <mergeCell ref="S4:T4"/>
    <mergeCell ref="U4:V4"/>
    <mergeCell ref="A1:J1"/>
    <mergeCell ref="A2:A3"/>
    <mergeCell ref="C2:D2"/>
    <mergeCell ref="E2:F2"/>
    <mergeCell ref="G2:H2"/>
    <mergeCell ref="I2:J2"/>
  </mergeCells>
  <pageMargins left="0.7" right="0.7" top="0.75" bottom="0.75" header="0.3" footer="0.3"/>
  <pageSetup paperSize="9" orientation="portrait" r:id="rId1"/>
  <headerFooter>
    <oddHeader>&amp;C&amp;"Aptos"&amp;10&amp;K000000 OFFICIAL&amp;1#_x000D_</oddHeader>
    <oddFooter>&amp;C_x000D_&amp;1#&amp;"Aptos"&amp;10&amp;K000000 OFFICIAL</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286678-EEB4-45F7-92B4-DAC6E5CA4C90}">
  <sheetPr>
    <tabColor theme="9" tint="0.79998168889431442"/>
  </sheetPr>
  <dimension ref="A1:U68"/>
  <sheetViews>
    <sheetView workbookViewId="0">
      <selection activeCell="L18" sqref="L18"/>
    </sheetView>
  </sheetViews>
  <sheetFormatPr defaultColWidth="8.81640625" defaultRowHeight="10.5" x14ac:dyDescent="0.25"/>
  <cols>
    <col min="1" max="1" width="21" style="78" bestFit="1" customWidth="1"/>
    <col min="2" max="2" width="4.453125" style="78" customWidth="1"/>
    <col min="3" max="10" width="8.81640625" style="78"/>
    <col min="11" max="11" width="18.453125" style="78" bestFit="1" customWidth="1"/>
    <col min="12" max="12" width="15.81640625" style="78" bestFit="1" customWidth="1"/>
    <col min="13" max="13" width="19.54296875" style="78" bestFit="1" customWidth="1"/>
    <col min="14" max="16384" width="8.81640625" style="78"/>
  </cols>
  <sheetData>
    <row r="1" spans="1:21" ht="41.9" customHeight="1" x14ac:dyDescent="0.25">
      <c r="A1" s="241"/>
      <c r="B1" s="241"/>
      <c r="C1" s="241"/>
      <c r="D1" s="241"/>
      <c r="E1" s="241"/>
      <c r="F1" s="241"/>
      <c r="G1" s="241"/>
      <c r="H1" s="241"/>
      <c r="I1" s="241"/>
      <c r="J1" s="241"/>
    </row>
    <row r="2" spans="1:21" ht="36.65" customHeight="1" x14ac:dyDescent="0.25">
      <c r="A2" s="242"/>
      <c r="B2" s="79"/>
      <c r="C2" s="238" t="s">
        <v>150</v>
      </c>
      <c r="D2" s="239"/>
      <c r="E2" s="240" t="s">
        <v>151</v>
      </c>
      <c r="F2" s="240"/>
      <c r="G2" s="240" t="s">
        <v>152</v>
      </c>
      <c r="H2" s="240"/>
      <c r="I2" s="238" t="s">
        <v>153</v>
      </c>
      <c r="J2" s="239"/>
    </row>
    <row r="3" spans="1:21" ht="27.65" customHeight="1" x14ac:dyDescent="0.25">
      <c r="A3" s="243"/>
      <c r="B3" s="80"/>
      <c r="C3" s="81" t="s">
        <v>127</v>
      </c>
      <c r="D3" s="81" t="s">
        <v>128</v>
      </c>
      <c r="E3" s="81" t="s">
        <v>127</v>
      </c>
      <c r="F3" s="81" t="s">
        <v>128</v>
      </c>
      <c r="G3" s="81" t="s">
        <v>127</v>
      </c>
      <c r="H3" s="81" t="s">
        <v>128</v>
      </c>
      <c r="I3" s="81" t="s">
        <v>127</v>
      </c>
      <c r="J3" s="81" t="s">
        <v>128</v>
      </c>
    </row>
    <row r="4" spans="1:21" x14ac:dyDescent="0.25">
      <c r="N4" s="238" t="s">
        <v>150</v>
      </c>
      <c r="O4" s="239"/>
      <c r="P4" s="240" t="s">
        <v>151</v>
      </c>
      <c r="Q4" s="240"/>
      <c r="R4" s="240" t="s">
        <v>152</v>
      </c>
      <c r="S4" s="240"/>
      <c r="T4" s="238" t="s">
        <v>153</v>
      </c>
      <c r="U4" s="239"/>
    </row>
    <row r="5" spans="1:21" x14ac:dyDescent="0.25">
      <c r="N5" s="81" t="s">
        <v>127</v>
      </c>
      <c r="O5" s="81" t="s">
        <v>128</v>
      </c>
      <c r="P5" s="81" t="s">
        <v>127</v>
      </c>
      <c r="Q5" s="81" t="s">
        <v>128</v>
      </c>
      <c r="R5" s="81" t="s">
        <v>127</v>
      </c>
      <c r="S5" s="81" t="s">
        <v>128</v>
      </c>
      <c r="T5" s="81" t="s">
        <v>127</v>
      </c>
      <c r="U5" s="81" t="s">
        <v>128</v>
      </c>
    </row>
    <row r="6" spans="1:21" x14ac:dyDescent="0.25">
      <c r="A6" s="82" t="s">
        <v>76</v>
      </c>
      <c r="B6" s="82"/>
      <c r="C6" s="83">
        <f t="shared" ref="C6:J6" si="0">SUM(C12:C60)</f>
        <v>576077</v>
      </c>
      <c r="D6" s="83">
        <f t="shared" si="0"/>
        <v>994269.56722457125</v>
      </c>
      <c r="E6" s="83">
        <f t="shared" si="0"/>
        <v>316017</v>
      </c>
      <c r="F6" s="83">
        <f t="shared" si="0"/>
        <v>506216.28</v>
      </c>
      <c r="G6" s="83">
        <f t="shared" si="0"/>
        <v>146464</v>
      </c>
      <c r="H6" s="83">
        <f t="shared" si="0"/>
        <v>308836.21999999997</v>
      </c>
      <c r="I6" s="83">
        <f t="shared" si="0"/>
        <v>24284</v>
      </c>
      <c r="J6" s="83">
        <f t="shared" si="0"/>
        <v>23887.84</v>
      </c>
      <c r="M6" s="78" t="s">
        <v>82</v>
      </c>
      <c r="N6" s="78">
        <v>5030</v>
      </c>
      <c r="O6" s="78">
        <v>8593</v>
      </c>
      <c r="P6" s="78">
        <v>3305</v>
      </c>
      <c r="Q6" s="78">
        <v>6917</v>
      </c>
      <c r="R6" s="78">
        <v>17</v>
      </c>
      <c r="S6" s="78">
        <v>60</v>
      </c>
      <c r="T6" s="78">
        <v>133</v>
      </c>
      <c r="U6" s="78">
        <v>68</v>
      </c>
    </row>
    <row r="7" spans="1:21" x14ac:dyDescent="0.25">
      <c r="A7" s="82" t="s">
        <v>88</v>
      </c>
      <c r="B7" s="82"/>
      <c r="C7" s="83">
        <f t="shared" ref="C7:J8" si="1">SUMIF($L$12:$L$60,$A7,C$12:C$60)</f>
        <v>309999</v>
      </c>
      <c r="D7" s="83">
        <f t="shared" si="1"/>
        <v>468630.06722457119</v>
      </c>
      <c r="E7" s="83">
        <f t="shared" si="1"/>
        <v>196507</v>
      </c>
      <c r="F7" s="83">
        <f t="shared" si="1"/>
        <v>263512.28000000003</v>
      </c>
      <c r="G7" s="83">
        <f t="shared" si="1"/>
        <v>67905</v>
      </c>
      <c r="H7" s="83">
        <f t="shared" si="1"/>
        <v>114131.22</v>
      </c>
      <c r="I7" s="83">
        <f t="shared" si="1"/>
        <v>17350</v>
      </c>
      <c r="J7" s="83">
        <f t="shared" si="1"/>
        <v>22551.84</v>
      </c>
      <c r="M7" s="78" t="s">
        <v>83</v>
      </c>
      <c r="N7" s="78">
        <v>647</v>
      </c>
      <c r="O7" s="78">
        <v>467</v>
      </c>
      <c r="P7" s="78">
        <v>480</v>
      </c>
      <c r="Q7" s="78">
        <v>356</v>
      </c>
      <c r="R7" s="78" t="s">
        <v>163</v>
      </c>
      <c r="S7" s="78" t="s">
        <v>163</v>
      </c>
      <c r="T7" s="78">
        <v>230</v>
      </c>
      <c r="U7" s="78">
        <v>163</v>
      </c>
    </row>
    <row r="8" spans="1:21" x14ac:dyDescent="0.25">
      <c r="A8" s="82" t="s">
        <v>92</v>
      </c>
      <c r="B8" s="82"/>
      <c r="C8" s="83">
        <f t="shared" si="1"/>
        <v>266078</v>
      </c>
      <c r="D8" s="83">
        <f t="shared" si="1"/>
        <v>525639.5</v>
      </c>
      <c r="E8" s="83">
        <f t="shared" si="1"/>
        <v>119510</v>
      </c>
      <c r="F8" s="83">
        <f t="shared" si="1"/>
        <v>242704</v>
      </c>
      <c r="G8" s="83">
        <f t="shared" si="1"/>
        <v>78559</v>
      </c>
      <c r="H8" s="83">
        <f t="shared" si="1"/>
        <v>194705</v>
      </c>
      <c r="I8" s="83">
        <f t="shared" si="1"/>
        <v>6934</v>
      </c>
      <c r="J8" s="83">
        <f t="shared" si="1"/>
        <v>1336</v>
      </c>
      <c r="M8" s="78" t="s">
        <v>93</v>
      </c>
      <c r="N8" s="78">
        <f>SUM(N6:N7)</f>
        <v>5677</v>
      </c>
      <c r="O8" s="78">
        <f t="shared" ref="O8:U8" si="2">SUM(O6:O7)</f>
        <v>9060</v>
      </c>
      <c r="P8" s="78">
        <f t="shared" si="2"/>
        <v>3785</v>
      </c>
      <c r="Q8" s="78">
        <f t="shared" si="2"/>
        <v>7273</v>
      </c>
      <c r="R8" s="78">
        <f t="shared" si="2"/>
        <v>17</v>
      </c>
      <c r="S8" s="78">
        <f t="shared" si="2"/>
        <v>60</v>
      </c>
      <c r="T8" s="78">
        <f t="shared" si="2"/>
        <v>363</v>
      </c>
      <c r="U8" s="78">
        <f t="shared" si="2"/>
        <v>231</v>
      </c>
    </row>
    <row r="9" spans="1:21" x14ac:dyDescent="0.25">
      <c r="A9" s="82" t="s">
        <v>87</v>
      </c>
      <c r="B9" s="82"/>
      <c r="C9" s="83">
        <f t="shared" ref="C9:J11" si="3">SUMIF($K$12:$K$60,$A9,C$12:C$60)</f>
        <v>324742</v>
      </c>
      <c r="D9" s="83">
        <f t="shared" si="3"/>
        <v>675123.5</v>
      </c>
      <c r="E9" s="83">
        <f t="shared" si="3"/>
        <v>156944</v>
      </c>
      <c r="F9" s="83">
        <f t="shared" si="3"/>
        <v>328411</v>
      </c>
      <c r="G9" s="83">
        <f t="shared" si="3"/>
        <v>98993</v>
      </c>
      <c r="H9" s="83">
        <f t="shared" si="3"/>
        <v>239265</v>
      </c>
      <c r="I9" s="83">
        <f t="shared" si="3"/>
        <v>15741</v>
      </c>
      <c r="J9" s="83">
        <f t="shared" si="3"/>
        <v>16823</v>
      </c>
    </row>
    <row r="10" spans="1:21" x14ac:dyDescent="0.25">
      <c r="A10" s="82" t="s">
        <v>90</v>
      </c>
      <c r="B10" s="82"/>
      <c r="C10" s="83">
        <f t="shared" si="3"/>
        <v>173524</v>
      </c>
      <c r="D10" s="83">
        <f t="shared" si="3"/>
        <v>229597.2672245712</v>
      </c>
      <c r="E10" s="83">
        <f t="shared" si="3"/>
        <v>117739</v>
      </c>
      <c r="F10" s="83">
        <f t="shared" si="3"/>
        <v>126557.13</v>
      </c>
      <c r="G10" s="83">
        <f t="shared" si="3"/>
        <v>31838</v>
      </c>
      <c r="H10" s="83">
        <f t="shared" si="3"/>
        <v>48720.39</v>
      </c>
      <c r="I10" s="83">
        <f t="shared" si="3"/>
        <v>6190</v>
      </c>
      <c r="J10" s="83">
        <f t="shared" si="3"/>
        <v>6134.99</v>
      </c>
    </row>
    <row r="11" spans="1:21" x14ac:dyDescent="0.25">
      <c r="A11" s="82" t="s">
        <v>91</v>
      </c>
      <c r="B11" s="82"/>
      <c r="C11" s="83">
        <f t="shared" si="3"/>
        <v>77811</v>
      </c>
      <c r="D11" s="83">
        <f t="shared" si="3"/>
        <v>89548.800000000003</v>
      </c>
      <c r="E11" s="83">
        <f t="shared" si="3"/>
        <v>41334</v>
      </c>
      <c r="F11" s="83">
        <f t="shared" si="3"/>
        <v>51248.149999999994</v>
      </c>
      <c r="G11" s="83">
        <f t="shared" si="3"/>
        <v>15633</v>
      </c>
      <c r="H11" s="83">
        <f t="shared" si="3"/>
        <v>20850.830000000002</v>
      </c>
      <c r="I11" s="83">
        <f t="shared" si="3"/>
        <v>2353</v>
      </c>
      <c r="J11" s="83">
        <f t="shared" si="3"/>
        <v>929.85</v>
      </c>
    </row>
    <row r="12" spans="1:21" x14ac:dyDescent="0.25">
      <c r="A12" s="78" t="s">
        <v>8</v>
      </c>
      <c r="C12" s="84">
        <v>8402</v>
      </c>
      <c r="D12" s="84">
        <v>9140</v>
      </c>
      <c r="E12" s="84">
        <v>5426</v>
      </c>
      <c r="F12" s="84">
        <v>6078</v>
      </c>
      <c r="G12" s="84">
        <v>3299</v>
      </c>
      <c r="H12" s="84">
        <v>3604</v>
      </c>
      <c r="I12" s="84">
        <v>1094</v>
      </c>
      <c r="J12" s="84">
        <v>549</v>
      </c>
      <c r="K12" s="78" t="s">
        <v>87</v>
      </c>
      <c r="L12" s="78" t="s">
        <v>88</v>
      </c>
    </row>
    <row r="13" spans="1:21" x14ac:dyDescent="0.25">
      <c r="A13" s="78" t="s">
        <v>11</v>
      </c>
      <c r="C13" s="84">
        <v>2101</v>
      </c>
      <c r="D13" s="84">
        <v>3089</v>
      </c>
      <c r="E13" s="84">
        <v>938</v>
      </c>
      <c r="F13" s="84">
        <v>1668</v>
      </c>
      <c r="G13" s="84" t="s">
        <v>163</v>
      </c>
      <c r="H13" s="84" t="s">
        <v>163</v>
      </c>
      <c r="I13" s="84">
        <v>738</v>
      </c>
      <c r="J13" s="84" t="s">
        <v>163</v>
      </c>
      <c r="K13" s="78" t="s">
        <v>90</v>
      </c>
      <c r="L13" s="78" t="s">
        <v>88</v>
      </c>
    </row>
    <row r="14" spans="1:21" x14ac:dyDescent="0.25">
      <c r="A14" s="78" t="s">
        <v>12</v>
      </c>
      <c r="C14" s="84">
        <v>9203</v>
      </c>
      <c r="D14" s="84">
        <v>10580</v>
      </c>
      <c r="E14" s="84">
        <v>6556</v>
      </c>
      <c r="F14" s="84">
        <v>7512</v>
      </c>
      <c r="G14" s="84">
        <v>2117</v>
      </c>
      <c r="H14" s="84">
        <v>2433</v>
      </c>
      <c r="I14" s="84">
        <v>0</v>
      </c>
      <c r="J14" s="84">
        <v>0</v>
      </c>
      <c r="K14" s="78" t="s">
        <v>87</v>
      </c>
      <c r="L14" s="78" t="s">
        <v>88</v>
      </c>
    </row>
    <row r="15" spans="1:21" x14ac:dyDescent="0.25">
      <c r="A15" s="78" t="s">
        <v>13</v>
      </c>
      <c r="C15" s="84">
        <v>3171</v>
      </c>
      <c r="D15" s="84">
        <v>1754</v>
      </c>
      <c r="E15" s="84">
        <v>1104</v>
      </c>
      <c r="F15" s="84">
        <v>1010</v>
      </c>
      <c r="G15" s="84">
        <v>399</v>
      </c>
      <c r="H15" s="84">
        <v>234</v>
      </c>
      <c r="I15" s="84">
        <v>0</v>
      </c>
      <c r="J15" s="84">
        <v>0</v>
      </c>
      <c r="K15" s="78" t="s">
        <v>90</v>
      </c>
      <c r="L15" s="78" t="s">
        <v>88</v>
      </c>
    </row>
    <row r="16" spans="1:21" x14ac:dyDescent="0.25">
      <c r="A16" s="78" t="s">
        <v>14</v>
      </c>
      <c r="C16" s="84">
        <v>4318</v>
      </c>
      <c r="D16" s="84">
        <v>4581.3</v>
      </c>
      <c r="E16" s="84">
        <v>3399</v>
      </c>
      <c r="F16" s="84">
        <v>3697</v>
      </c>
      <c r="G16" s="84">
        <v>2104</v>
      </c>
      <c r="H16" s="84">
        <v>2490</v>
      </c>
      <c r="I16" s="84">
        <v>952</v>
      </c>
      <c r="J16" s="84">
        <v>682</v>
      </c>
      <c r="K16" s="78" t="s">
        <v>91</v>
      </c>
      <c r="L16" s="78" t="s">
        <v>88</v>
      </c>
    </row>
    <row r="17" spans="1:12" x14ac:dyDescent="0.25">
      <c r="A17" s="78" t="s">
        <v>15</v>
      </c>
      <c r="C17" s="84">
        <v>42395</v>
      </c>
      <c r="D17" s="84">
        <v>21197.5</v>
      </c>
      <c r="E17" s="84">
        <v>36379</v>
      </c>
      <c r="F17" s="84">
        <v>18189.5</v>
      </c>
      <c r="G17" s="84">
        <v>1465</v>
      </c>
      <c r="H17" s="84">
        <v>732.5</v>
      </c>
      <c r="I17" s="84">
        <v>0</v>
      </c>
      <c r="J17" s="84">
        <v>0</v>
      </c>
      <c r="K17" s="78" t="s">
        <v>90</v>
      </c>
      <c r="L17" s="78" t="s">
        <v>88</v>
      </c>
    </row>
    <row r="18" spans="1:12" x14ac:dyDescent="0.25">
      <c r="A18" s="78" t="s">
        <v>16</v>
      </c>
      <c r="C18" s="84">
        <v>18315</v>
      </c>
      <c r="D18" s="84">
        <v>76000</v>
      </c>
      <c r="E18" s="84">
        <v>10760</v>
      </c>
      <c r="F18" s="84">
        <v>40328</v>
      </c>
      <c r="G18" s="84">
        <v>3378</v>
      </c>
      <c r="H18" s="84">
        <v>6777</v>
      </c>
      <c r="I18" s="84">
        <v>3935</v>
      </c>
      <c r="J18" s="84">
        <v>7870</v>
      </c>
      <c r="K18" s="78" t="s">
        <v>87</v>
      </c>
      <c r="L18" s="78" t="s">
        <v>88</v>
      </c>
    </row>
    <row r="19" spans="1:12" x14ac:dyDescent="0.25">
      <c r="A19" s="78" t="s">
        <v>17</v>
      </c>
      <c r="C19" s="84">
        <v>5373</v>
      </c>
      <c r="D19" s="84">
        <v>4622.25</v>
      </c>
      <c r="E19" s="84">
        <v>1279</v>
      </c>
      <c r="F19" s="84">
        <v>1083.2</v>
      </c>
      <c r="G19" s="84">
        <v>3135</v>
      </c>
      <c r="H19" s="84">
        <v>2213.33</v>
      </c>
      <c r="I19" s="84">
        <v>792</v>
      </c>
      <c r="J19" s="84">
        <v>178.6</v>
      </c>
      <c r="K19" s="78" t="s">
        <v>91</v>
      </c>
      <c r="L19" s="78" t="s">
        <v>88</v>
      </c>
    </row>
    <row r="20" spans="1:12" x14ac:dyDescent="0.25">
      <c r="A20" s="78" t="s">
        <v>18</v>
      </c>
      <c r="C20" s="84">
        <v>10070</v>
      </c>
      <c r="D20" s="84">
        <v>20140</v>
      </c>
      <c r="E20" s="84">
        <v>5244</v>
      </c>
      <c r="F20" s="84">
        <v>10488</v>
      </c>
      <c r="G20" s="84">
        <v>3754</v>
      </c>
      <c r="H20" s="84">
        <v>7508</v>
      </c>
      <c r="I20" s="84">
        <v>10</v>
      </c>
      <c r="J20" s="84">
        <v>20</v>
      </c>
      <c r="K20" s="78" t="s">
        <v>91</v>
      </c>
      <c r="L20" s="78" t="s">
        <v>88</v>
      </c>
    </row>
    <row r="21" spans="1:12" x14ac:dyDescent="0.25">
      <c r="A21" s="85" t="s">
        <v>19</v>
      </c>
      <c r="C21" s="84">
        <v>9531</v>
      </c>
      <c r="D21" s="84">
        <v>15371.75</v>
      </c>
      <c r="E21" s="84">
        <v>7384</v>
      </c>
      <c r="F21" s="84">
        <v>11609.63</v>
      </c>
      <c r="G21" s="84">
        <v>3352</v>
      </c>
      <c r="H21" s="84">
        <v>5872.89</v>
      </c>
      <c r="I21" s="84">
        <v>3881</v>
      </c>
      <c r="J21" s="84">
        <v>4836.99</v>
      </c>
      <c r="K21" s="78" t="s">
        <v>90</v>
      </c>
      <c r="L21" s="78" t="s">
        <v>88</v>
      </c>
    </row>
    <row r="22" spans="1:12" x14ac:dyDescent="0.25">
      <c r="A22" s="85" t="s">
        <v>20</v>
      </c>
      <c r="C22" s="84">
        <v>10864</v>
      </c>
      <c r="D22" s="84">
        <v>13164</v>
      </c>
      <c r="E22" s="84">
        <v>7103</v>
      </c>
      <c r="F22" s="84">
        <v>9024</v>
      </c>
      <c r="G22" s="84">
        <v>2217</v>
      </c>
      <c r="H22" s="84">
        <v>2806</v>
      </c>
      <c r="I22" s="84">
        <v>0</v>
      </c>
      <c r="J22" s="84">
        <v>0</v>
      </c>
      <c r="K22" s="78" t="s">
        <v>91</v>
      </c>
      <c r="L22" s="78" t="s">
        <v>88</v>
      </c>
    </row>
    <row r="23" spans="1:12" x14ac:dyDescent="0.25">
      <c r="A23" s="85" t="s">
        <v>21</v>
      </c>
      <c r="C23" s="84">
        <v>11783</v>
      </c>
      <c r="D23" s="84">
        <v>15441</v>
      </c>
      <c r="E23" s="84">
        <v>7779</v>
      </c>
      <c r="F23" s="84">
        <v>10455</v>
      </c>
      <c r="G23" s="84" t="s">
        <v>163</v>
      </c>
      <c r="H23" s="84" t="s">
        <v>163</v>
      </c>
      <c r="I23" s="84">
        <v>366</v>
      </c>
      <c r="J23" s="84">
        <v>183</v>
      </c>
      <c r="K23" s="78" t="s">
        <v>90</v>
      </c>
      <c r="L23" s="78" t="s">
        <v>88</v>
      </c>
    </row>
    <row r="24" spans="1:12" x14ac:dyDescent="0.25">
      <c r="A24" s="78" t="s">
        <v>22</v>
      </c>
      <c r="C24" s="84">
        <v>19545</v>
      </c>
      <c r="D24" s="84">
        <v>14614</v>
      </c>
      <c r="E24" s="84">
        <v>7072</v>
      </c>
      <c r="F24" s="84">
        <v>5621</v>
      </c>
      <c r="G24" s="84">
        <v>1196</v>
      </c>
      <c r="H24" s="84">
        <v>1288</v>
      </c>
      <c r="I24" s="84">
        <v>0</v>
      </c>
      <c r="J24" s="84">
        <v>0</v>
      </c>
      <c r="K24" s="78" t="s">
        <v>91</v>
      </c>
      <c r="L24" s="78" t="s">
        <v>88</v>
      </c>
    </row>
    <row r="25" spans="1:12" x14ac:dyDescent="0.25">
      <c r="A25" s="78" t="s">
        <v>23</v>
      </c>
      <c r="C25" s="84">
        <v>11019</v>
      </c>
      <c r="D25" s="84">
        <v>18750</v>
      </c>
      <c r="E25" s="84">
        <v>6794</v>
      </c>
      <c r="F25" s="84">
        <v>10865</v>
      </c>
      <c r="G25" s="84">
        <v>5441</v>
      </c>
      <c r="H25" s="84">
        <v>8577</v>
      </c>
      <c r="I25" s="84">
        <v>0</v>
      </c>
      <c r="J25" s="84">
        <v>0</v>
      </c>
      <c r="K25" s="78" t="s">
        <v>90</v>
      </c>
      <c r="L25" s="78" t="s">
        <v>88</v>
      </c>
    </row>
    <row r="26" spans="1:12" x14ac:dyDescent="0.25">
      <c r="A26" s="78" t="s">
        <v>24</v>
      </c>
      <c r="C26" s="84">
        <v>8513</v>
      </c>
      <c r="D26" s="84">
        <v>27589</v>
      </c>
      <c r="E26" s="84">
        <v>5003</v>
      </c>
      <c r="F26" s="84">
        <v>16277</v>
      </c>
      <c r="G26" s="84">
        <v>2435</v>
      </c>
      <c r="H26" s="84">
        <v>7725</v>
      </c>
      <c r="I26" s="84">
        <v>0</v>
      </c>
      <c r="J26" s="84">
        <v>0</v>
      </c>
      <c r="K26" s="78" t="s">
        <v>90</v>
      </c>
      <c r="L26" s="78" t="s">
        <v>88</v>
      </c>
    </row>
    <row r="27" spans="1:12" x14ac:dyDescent="0.25">
      <c r="A27" s="78" t="s">
        <v>25</v>
      </c>
      <c r="C27" s="84">
        <v>7649</v>
      </c>
      <c r="D27" s="84">
        <v>13692</v>
      </c>
      <c r="E27" s="84">
        <v>4151</v>
      </c>
      <c r="F27" s="84">
        <v>7430</v>
      </c>
      <c r="G27" s="84">
        <v>2860</v>
      </c>
      <c r="H27" s="84">
        <v>5119</v>
      </c>
      <c r="I27" s="84">
        <v>0</v>
      </c>
      <c r="J27" s="84">
        <v>0</v>
      </c>
      <c r="K27" s="78" t="s">
        <v>90</v>
      </c>
      <c r="L27" s="78" t="s">
        <v>88</v>
      </c>
    </row>
    <row r="28" spans="1:12" x14ac:dyDescent="0.25">
      <c r="A28" s="78" t="s">
        <v>26</v>
      </c>
      <c r="C28" s="84">
        <v>83331</v>
      </c>
      <c r="D28" s="84">
        <v>153044</v>
      </c>
      <c r="E28" s="84">
        <v>29731</v>
      </c>
      <c r="F28" s="84">
        <v>57024</v>
      </c>
      <c r="G28" s="84">
        <v>30672</v>
      </c>
      <c r="H28" s="84">
        <v>60867</v>
      </c>
      <c r="I28" s="84">
        <v>1471</v>
      </c>
      <c r="J28" s="84" t="s">
        <v>163</v>
      </c>
      <c r="K28" s="78" t="s">
        <v>87</v>
      </c>
      <c r="L28" s="78" t="s">
        <v>92</v>
      </c>
    </row>
    <row r="29" spans="1:12" x14ac:dyDescent="0.25">
      <c r="A29" s="78" t="s">
        <v>27</v>
      </c>
      <c r="C29" s="84">
        <v>33418</v>
      </c>
      <c r="D29" s="84">
        <v>39659.5</v>
      </c>
      <c r="E29" s="84">
        <v>11782</v>
      </c>
      <c r="F29" s="84">
        <v>15058</v>
      </c>
      <c r="G29" s="84">
        <v>2660</v>
      </c>
      <c r="H29" s="84">
        <v>7833</v>
      </c>
      <c r="I29" s="84">
        <v>0</v>
      </c>
      <c r="J29" s="84">
        <v>0</v>
      </c>
      <c r="K29" s="78" t="s">
        <v>87</v>
      </c>
      <c r="L29" s="78" t="s">
        <v>92</v>
      </c>
    </row>
    <row r="30" spans="1:12" x14ac:dyDescent="0.25">
      <c r="A30" s="78" t="s">
        <v>93</v>
      </c>
      <c r="C30" s="84">
        <v>5677</v>
      </c>
      <c r="D30" s="84">
        <v>9060</v>
      </c>
      <c r="E30" s="84">
        <v>3785</v>
      </c>
      <c r="F30" s="84">
        <v>7273</v>
      </c>
      <c r="G30" s="84">
        <v>17</v>
      </c>
      <c r="H30" s="84">
        <v>60</v>
      </c>
      <c r="I30" s="84">
        <v>363</v>
      </c>
      <c r="J30" s="84">
        <v>231</v>
      </c>
      <c r="K30" s="78" t="s">
        <v>90</v>
      </c>
      <c r="L30" s="78" t="s">
        <v>88</v>
      </c>
    </row>
    <row r="31" spans="1:12" x14ac:dyDescent="0.25">
      <c r="A31" s="78" t="s">
        <v>28</v>
      </c>
      <c r="C31" s="84">
        <v>4113</v>
      </c>
      <c r="D31" s="84">
        <v>4485</v>
      </c>
      <c r="E31" s="84">
        <v>2546</v>
      </c>
      <c r="F31" s="84">
        <v>2885</v>
      </c>
      <c r="G31" s="84">
        <v>1260</v>
      </c>
      <c r="H31" s="84">
        <v>1537</v>
      </c>
      <c r="I31" s="84">
        <v>0</v>
      </c>
      <c r="J31" s="84">
        <v>0</v>
      </c>
      <c r="K31" s="78" t="s">
        <v>90</v>
      </c>
      <c r="L31" s="78" t="s">
        <v>88</v>
      </c>
    </row>
    <row r="32" spans="1:12" x14ac:dyDescent="0.25">
      <c r="A32" s="78" t="s">
        <v>29</v>
      </c>
      <c r="C32" s="84">
        <v>3512</v>
      </c>
      <c r="D32" s="84">
        <v>2613</v>
      </c>
      <c r="E32" s="84">
        <v>1831</v>
      </c>
      <c r="F32" s="84">
        <v>1430</v>
      </c>
      <c r="G32" s="84">
        <v>444</v>
      </c>
      <c r="H32" s="84">
        <v>384</v>
      </c>
      <c r="I32" s="84">
        <v>2320</v>
      </c>
      <c r="J32" s="84">
        <v>2589</v>
      </c>
      <c r="K32" s="78" t="s">
        <v>87</v>
      </c>
      <c r="L32" s="78" t="s">
        <v>88</v>
      </c>
    </row>
    <row r="33" spans="1:12" x14ac:dyDescent="0.25">
      <c r="A33" s="78" t="s">
        <v>30</v>
      </c>
      <c r="C33" s="84">
        <v>5376</v>
      </c>
      <c r="D33" s="84">
        <v>3982</v>
      </c>
      <c r="E33" s="84">
        <v>2457</v>
      </c>
      <c r="F33" s="84">
        <v>1744</v>
      </c>
      <c r="G33" s="84">
        <v>1035</v>
      </c>
      <c r="H33" s="84">
        <v>817</v>
      </c>
      <c r="I33" s="84">
        <v>0</v>
      </c>
      <c r="J33" s="84">
        <v>0</v>
      </c>
      <c r="K33" s="78" t="s">
        <v>90</v>
      </c>
      <c r="L33" s="78" t="s">
        <v>88</v>
      </c>
    </row>
    <row r="34" spans="1:12" x14ac:dyDescent="0.25">
      <c r="A34" s="78" t="s">
        <v>94</v>
      </c>
      <c r="C34" s="84">
        <v>54</v>
      </c>
      <c r="D34" s="84">
        <v>15</v>
      </c>
      <c r="E34" s="84">
        <v>21</v>
      </c>
      <c r="F34" s="84">
        <v>8</v>
      </c>
      <c r="G34" s="84">
        <v>1</v>
      </c>
      <c r="H34" s="84">
        <v>0.5</v>
      </c>
      <c r="I34" s="84">
        <v>0</v>
      </c>
      <c r="J34" s="84">
        <v>0</v>
      </c>
      <c r="K34" s="78" t="s">
        <v>91</v>
      </c>
      <c r="L34" s="78" t="s">
        <v>88</v>
      </c>
    </row>
    <row r="35" spans="1:12" x14ac:dyDescent="0.25">
      <c r="A35" s="78" t="s">
        <v>32</v>
      </c>
      <c r="C35" s="84">
        <v>15933</v>
      </c>
      <c r="D35" s="84">
        <v>23899.5</v>
      </c>
      <c r="E35" s="84">
        <v>10050</v>
      </c>
      <c r="F35" s="84">
        <v>15075</v>
      </c>
      <c r="G35" s="84">
        <v>6510</v>
      </c>
      <c r="H35" s="84">
        <v>9765</v>
      </c>
      <c r="I35" s="84">
        <v>0</v>
      </c>
      <c r="J35" s="84">
        <v>0</v>
      </c>
      <c r="K35" s="78" t="s">
        <v>90</v>
      </c>
      <c r="L35" s="78" t="s">
        <v>88</v>
      </c>
    </row>
    <row r="36" spans="1:12" x14ac:dyDescent="0.25">
      <c r="A36" s="78" t="s">
        <v>33</v>
      </c>
      <c r="C36" s="84">
        <v>11954</v>
      </c>
      <c r="D36" s="84">
        <v>21959</v>
      </c>
      <c r="E36" s="84">
        <v>8507</v>
      </c>
      <c r="F36" s="84">
        <v>14462</v>
      </c>
      <c r="G36" s="84">
        <v>8131</v>
      </c>
      <c r="H36" s="84">
        <v>13823</v>
      </c>
      <c r="I36" s="84">
        <v>0</v>
      </c>
      <c r="J36" s="84">
        <v>0</v>
      </c>
      <c r="K36" s="78" t="s">
        <v>87</v>
      </c>
      <c r="L36" s="78" t="s">
        <v>88</v>
      </c>
    </row>
    <row r="37" spans="1:12" x14ac:dyDescent="0.25">
      <c r="A37" s="78" t="s">
        <v>34</v>
      </c>
      <c r="C37" s="84">
        <v>7926</v>
      </c>
      <c r="D37" s="84">
        <v>13871</v>
      </c>
      <c r="E37" s="84">
        <v>4743</v>
      </c>
      <c r="F37" s="84">
        <v>8300</v>
      </c>
      <c r="G37" s="84">
        <v>2299</v>
      </c>
      <c r="H37" s="84">
        <v>4023</v>
      </c>
      <c r="I37" s="84">
        <v>480</v>
      </c>
      <c r="J37" s="84">
        <v>840</v>
      </c>
      <c r="K37" s="78" t="s">
        <v>90</v>
      </c>
      <c r="L37" s="78" t="s">
        <v>88</v>
      </c>
    </row>
    <row r="38" spans="1:12" x14ac:dyDescent="0.25">
      <c r="A38" s="78" t="s">
        <v>35</v>
      </c>
      <c r="C38" s="84">
        <v>5274</v>
      </c>
      <c r="D38" s="84">
        <v>4490</v>
      </c>
      <c r="E38" s="84">
        <v>2044</v>
      </c>
      <c r="F38" s="84">
        <v>2594</v>
      </c>
      <c r="G38" s="84">
        <v>2031</v>
      </c>
      <c r="H38" s="84">
        <v>2803</v>
      </c>
      <c r="I38" s="84">
        <v>15</v>
      </c>
      <c r="J38" s="84">
        <v>23</v>
      </c>
      <c r="K38" s="78" t="s">
        <v>91</v>
      </c>
      <c r="L38" s="78" t="s">
        <v>88</v>
      </c>
    </row>
    <row r="39" spans="1:12" x14ac:dyDescent="0.25">
      <c r="A39" s="78" t="s">
        <v>36</v>
      </c>
      <c r="C39" s="84">
        <v>52564</v>
      </c>
      <c r="D39" s="84">
        <v>83577</v>
      </c>
      <c r="E39" s="84">
        <v>30932</v>
      </c>
      <c r="F39" s="84">
        <v>49182</v>
      </c>
      <c r="G39" s="84">
        <v>8745</v>
      </c>
      <c r="H39" s="84">
        <v>13905</v>
      </c>
      <c r="I39" s="84">
        <v>0</v>
      </c>
      <c r="J39" s="84">
        <v>0</v>
      </c>
      <c r="K39" s="78" t="s">
        <v>87</v>
      </c>
      <c r="L39" s="78" t="s">
        <v>92</v>
      </c>
    </row>
    <row r="40" spans="1:12" x14ac:dyDescent="0.25">
      <c r="A40" s="78" t="s">
        <v>37</v>
      </c>
      <c r="C40" s="84">
        <v>3751</v>
      </c>
      <c r="D40" s="84">
        <v>3620.25</v>
      </c>
      <c r="E40" s="84">
        <v>2047</v>
      </c>
      <c r="F40" s="84">
        <v>1965</v>
      </c>
      <c r="G40" s="84" t="s">
        <v>163</v>
      </c>
      <c r="H40" s="84" t="s">
        <v>163</v>
      </c>
      <c r="I40" s="84">
        <v>13</v>
      </c>
      <c r="J40" s="84">
        <v>7.25</v>
      </c>
      <c r="K40" s="78" t="s">
        <v>91</v>
      </c>
      <c r="L40" s="78" t="s">
        <v>88</v>
      </c>
    </row>
    <row r="41" spans="1:12" x14ac:dyDescent="0.25">
      <c r="A41" s="78" t="s">
        <v>38</v>
      </c>
      <c r="C41" s="84">
        <v>2956</v>
      </c>
      <c r="D41" s="84">
        <v>4482</v>
      </c>
      <c r="E41" s="84">
        <v>1905</v>
      </c>
      <c r="F41" s="84">
        <v>2868</v>
      </c>
      <c r="G41" s="84">
        <v>0</v>
      </c>
      <c r="H41" s="84">
        <v>0</v>
      </c>
      <c r="I41" s="84">
        <v>8</v>
      </c>
      <c r="J41" s="84">
        <v>4</v>
      </c>
      <c r="K41" s="78" t="s">
        <v>91</v>
      </c>
      <c r="L41" s="78" t="s">
        <v>88</v>
      </c>
    </row>
    <row r="42" spans="1:12" x14ac:dyDescent="0.25">
      <c r="A42" s="78" t="s">
        <v>39</v>
      </c>
      <c r="C42" s="84">
        <v>2445</v>
      </c>
      <c r="D42" s="84">
        <v>1698</v>
      </c>
      <c r="E42" s="84">
        <v>1390</v>
      </c>
      <c r="F42" s="84">
        <v>926</v>
      </c>
      <c r="G42" s="84">
        <v>412</v>
      </c>
      <c r="H42" s="84">
        <v>274</v>
      </c>
      <c r="I42" s="84">
        <v>44</v>
      </c>
      <c r="J42" s="84">
        <v>44</v>
      </c>
      <c r="K42" s="78" t="s">
        <v>90</v>
      </c>
      <c r="L42" s="78" t="s">
        <v>88</v>
      </c>
    </row>
    <row r="43" spans="1:12" x14ac:dyDescent="0.25">
      <c r="A43" s="78" t="s">
        <v>40</v>
      </c>
      <c r="C43" s="84">
        <v>7839</v>
      </c>
      <c r="D43" s="84">
        <v>7646.5</v>
      </c>
      <c r="E43" s="84">
        <v>4991</v>
      </c>
      <c r="F43" s="84">
        <v>4878</v>
      </c>
      <c r="G43" s="84">
        <v>1030</v>
      </c>
      <c r="H43" s="84">
        <v>1319.25</v>
      </c>
      <c r="I43" s="84">
        <v>4</v>
      </c>
      <c r="J43" s="84">
        <v>2</v>
      </c>
      <c r="K43" s="78" t="s">
        <v>91</v>
      </c>
      <c r="L43" s="78" t="s">
        <v>88</v>
      </c>
    </row>
    <row r="44" spans="1:12" x14ac:dyDescent="0.25">
      <c r="A44" s="78" t="s">
        <v>41</v>
      </c>
      <c r="C44" s="84">
        <v>3757</v>
      </c>
      <c r="D44" s="84">
        <v>11344</v>
      </c>
      <c r="E44" s="84">
        <v>1879</v>
      </c>
      <c r="F44" s="84">
        <v>5715</v>
      </c>
      <c r="G44" s="84">
        <v>1692</v>
      </c>
      <c r="H44" s="84">
        <v>5696</v>
      </c>
      <c r="I44" s="84">
        <v>571</v>
      </c>
      <c r="J44" s="84">
        <v>879</v>
      </c>
      <c r="K44" s="78" t="s">
        <v>87</v>
      </c>
      <c r="L44" s="78" t="s">
        <v>88</v>
      </c>
    </row>
    <row r="45" spans="1:12" x14ac:dyDescent="0.25">
      <c r="A45" s="78" t="s">
        <v>42</v>
      </c>
      <c r="C45" s="84">
        <v>2252</v>
      </c>
      <c r="D45" s="84">
        <v>5593.5</v>
      </c>
      <c r="E45" s="84">
        <v>1916</v>
      </c>
      <c r="F45" s="84">
        <v>3723</v>
      </c>
      <c r="G45" s="84">
        <v>6</v>
      </c>
      <c r="H45" s="84">
        <v>12.75</v>
      </c>
      <c r="I45" s="84">
        <v>13</v>
      </c>
      <c r="J45" s="84">
        <v>13</v>
      </c>
      <c r="K45" s="78" t="s">
        <v>91</v>
      </c>
      <c r="L45" s="78" t="s">
        <v>88</v>
      </c>
    </row>
    <row r="46" spans="1:12" x14ac:dyDescent="0.25">
      <c r="A46" s="78" t="s">
        <v>43</v>
      </c>
      <c r="C46" s="84">
        <v>4205</v>
      </c>
      <c r="D46" s="84">
        <v>3889</v>
      </c>
      <c r="E46" s="84">
        <v>3504</v>
      </c>
      <c r="F46" s="84">
        <v>3419.95</v>
      </c>
      <c r="G46" s="84" t="s">
        <v>163</v>
      </c>
      <c r="H46" s="84" t="s">
        <v>163</v>
      </c>
      <c r="I46" s="84">
        <v>546</v>
      </c>
      <c r="J46" s="84" t="s">
        <v>163</v>
      </c>
      <c r="K46" s="78" t="s">
        <v>91</v>
      </c>
      <c r="L46" s="78" t="s">
        <v>88</v>
      </c>
    </row>
    <row r="47" spans="1:12" x14ac:dyDescent="0.25">
      <c r="A47" s="78" t="s">
        <v>44</v>
      </c>
      <c r="C47" s="84">
        <v>20578</v>
      </c>
      <c r="D47" s="84">
        <v>27368</v>
      </c>
      <c r="E47" s="84">
        <v>7036</v>
      </c>
      <c r="F47" s="84">
        <v>9358</v>
      </c>
      <c r="G47" s="84">
        <v>4019</v>
      </c>
      <c r="H47" s="84">
        <v>5345</v>
      </c>
      <c r="I47" s="84">
        <v>478</v>
      </c>
      <c r="J47" s="84">
        <v>315</v>
      </c>
      <c r="K47" s="78" t="s">
        <v>87</v>
      </c>
      <c r="L47" s="78" t="s">
        <v>92</v>
      </c>
    </row>
    <row r="48" spans="1:12" x14ac:dyDescent="0.25">
      <c r="A48" s="78" t="s">
        <v>45</v>
      </c>
      <c r="C48" s="84">
        <v>25206</v>
      </c>
      <c r="D48" s="84" t="s">
        <v>163</v>
      </c>
      <c r="E48" s="84">
        <v>15199</v>
      </c>
      <c r="F48" s="84" t="s">
        <v>163</v>
      </c>
      <c r="G48" s="84">
        <v>2099</v>
      </c>
      <c r="H48" s="84" t="s">
        <v>163</v>
      </c>
      <c r="I48" s="84">
        <v>318</v>
      </c>
      <c r="J48" s="84" t="s">
        <v>163</v>
      </c>
      <c r="K48" s="78" t="s">
        <v>90</v>
      </c>
      <c r="L48" s="78" t="s">
        <v>88</v>
      </c>
    </row>
    <row r="49" spans="1:12" x14ac:dyDescent="0.25">
      <c r="A49" s="78" t="s">
        <v>46</v>
      </c>
      <c r="C49" s="84">
        <v>1310</v>
      </c>
      <c r="D49" s="84">
        <v>2691</v>
      </c>
      <c r="E49" s="84">
        <v>809</v>
      </c>
      <c r="F49" s="84">
        <v>1879</v>
      </c>
      <c r="G49" s="84">
        <v>159</v>
      </c>
      <c r="H49" s="84">
        <v>410</v>
      </c>
      <c r="I49" s="84">
        <v>0</v>
      </c>
      <c r="J49" s="84">
        <v>0</v>
      </c>
      <c r="K49" s="78" t="s">
        <v>91</v>
      </c>
      <c r="L49" s="78" t="s">
        <v>88</v>
      </c>
    </row>
    <row r="50" spans="1:12" x14ac:dyDescent="0.25">
      <c r="A50" s="78" t="s">
        <v>47</v>
      </c>
      <c r="C50" s="84">
        <v>3521</v>
      </c>
      <c r="D50" s="84">
        <v>17848</v>
      </c>
      <c r="E50" s="84">
        <v>2475</v>
      </c>
      <c r="F50" s="84">
        <v>10182</v>
      </c>
      <c r="G50" s="84">
        <v>1373</v>
      </c>
      <c r="H50" s="84">
        <v>11843</v>
      </c>
      <c r="I50" s="84">
        <v>887</v>
      </c>
      <c r="J50" s="84">
        <v>3600</v>
      </c>
      <c r="K50" s="78" t="s">
        <v>87</v>
      </c>
      <c r="L50" s="78" t="s">
        <v>88</v>
      </c>
    </row>
    <row r="51" spans="1:12" x14ac:dyDescent="0.25">
      <c r="A51" s="78" t="s">
        <v>48</v>
      </c>
      <c r="C51" s="84">
        <v>26134</v>
      </c>
      <c r="D51" s="84">
        <v>14501</v>
      </c>
      <c r="E51" s="84">
        <v>12996</v>
      </c>
      <c r="F51" s="84">
        <v>7697</v>
      </c>
      <c r="G51" s="84">
        <v>4962</v>
      </c>
      <c r="H51" s="84">
        <v>3425</v>
      </c>
      <c r="I51" s="84">
        <v>4958</v>
      </c>
      <c r="J51" s="84">
        <v>982</v>
      </c>
      <c r="K51" s="78" t="s">
        <v>87</v>
      </c>
      <c r="L51" s="78" t="s">
        <v>92</v>
      </c>
    </row>
    <row r="52" spans="1:12" x14ac:dyDescent="0.25">
      <c r="A52" s="78" t="s">
        <v>49</v>
      </c>
      <c r="C52" s="84">
        <v>4039</v>
      </c>
      <c r="D52" s="84">
        <v>8078</v>
      </c>
      <c r="E52" s="84">
        <v>2964</v>
      </c>
      <c r="F52" s="84">
        <v>5928</v>
      </c>
      <c r="G52" s="84">
        <v>686</v>
      </c>
      <c r="H52" s="84">
        <v>1372</v>
      </c>
      <c r="I52" s="84">
        <v>0</v>
      </c>
      <c r="J52" s="84">
        <v>0</v>
      </c>
      <c r="K52" s="78" t="s">
        <v>90</v>
      </c>
      <c r="L52" s="78" t="s">
        <v>88</v>
      </c>
    </row>
    <row r="53" spans="1:12" x14ac:dyDescent="0.25">
      <c r="A53" s="78" t="s">
        <v>50</v>
      </c>
      <c r="C53" s="84">
        <v>31576</v>
      </c>
      <c r="D53" s="84">
        <v>119207</v>
      </c>
      <c r="E53" s="84">
        <v>17539</v>
      </c>
      <c r="F53" s="84">
        <v>66214</v>
      </c>
      <c r="G53" s="84">
        <v>19761</v>
      </c>
      <c r="H53" s="84">
        <v>74602</v>
      </c>
      <c r="I53" s="84">
        <v>0</v>
      </c>
      <c r="J53" s="84">
        <v>0</v>
      </c>
      <c r="K53" s="78" t="s">
        <v>87</v>
      </c>
      <c r="L53" s="78" t="s">
        <v>92</v>
      </c>
    </row>
    <row r="54" spans="1:12" x14ac:dyDescent="0.25">
      <c r="A54" s="78" t="s">
        <v>51</v>
      </c>
      <c r="C54" s="84">
        <v>6647</v>
      </c>
      <c r="D54" s="84">
        <v>9534</v>
      </c>
      <c r="E54" s="84">
        <v>5073</v>
      </c>
      <c r="F54" s="84">
        <v>6922</v>
      </c>
      <c r="G54" s="84">
        <v>1568</v>
      </c>
      <c r="H54" s="84">
        <v>2612</v>
      </c>
      <c r="I54" s="84">
        <v>0</v>
      </c>
      <c r="J54" s="84">
        <v>0</v>
      </c>
      <c r="K54" s="78" t="s">
        <v>90</v>
      </c>
      <c r="L54" s="78" t="s">
        <v>88</v>
      </c>
    </row>
    <row r="55" spans="1:12" x14ac:dyDescent="0.25">
      <c r="A55" s="78" t="s">
        <v>52</v>
      </c>
      <c r="C55" s="84">
        <v>18477</v>
      </c>
      <c r="D55" s="84">
        <v>88283</v>
      </c>
      <c r="E55" s="84">
        <v>9494</v>
      </c>
      <c r="F55" s="84">
        <v>38171</v>
      </c>
      <c r="G55" s="84">
        <v>7740</v>
      </c>
      <c r="H55" s="84">
        <v>28728</v>
      </c>
      <c r="I55" s="84">
        <v>27</v>
      </c>
      <c r="J55" s="84">
        <v>39</v>
      </c>
      <c r="K55" s="78" t="s">
        <v>87</v>
      </c>
      <c r="L55" s="78" t="s">
        <v>92</v>
      </c>
    </row>
    <row r="56" spans="1:12" x14ac:dyDescent="0.25">
      <c r="C56" s="84"/>
      <c r="D56" s="84"/>
      <c r="E56" s="84"/>
      <c r="F56" s="84"/>
      <c r="G56" s="84"/>
      <c r="H56" s="84"/>
      <c r="I56" s="84"/>
      <c r="J56" s="84"/>
    </row>
    <row r="57" spans="1:12" x14ac:dyDescent="0.25">
      <c r="A57" s="78" t="s">
        <v>164</v>
      </c>
      <c r="C57" s="84"/>
      <c r="D57" s="84"/>
      <c r="E57" s="84"/>
      <c r="F57" s="84"/>
      <c r="G57" s="84"/>
      <c r="H57" s="84"/>
      <c r="I57" s="84"/>
      <c r="J57" s="84"/>
    </row>
    <row r="58" spans="1:12" ht="10.4" customHeight="1" x14ac:dyDescent="0.25">
      <c r="A58" s="78" t="s">
        <v>45</v>
      </c>
      <c r="D58" s="85">
        <v>38105.517224571209</v>
      </c>
      <c r="K58" s="78" t="s">
        <v>90</v>
      </c>
      <c r="L58" s="78" t="s">
        <v>88</v>
      </c>
    </row>
    <row r="59" spans="1:12" ht="10.4" customHeight="1" x14ac:dyDescent="0.25">
      <c r="D59" s="85"/>
    </row>
    <row r="60" spans="1:12" ht="10.4" customHeight="1" x14ac:dyDescent="0.25">
      <c r="D60" s="85"/>
    </row>
    <row r="61" spans="1:12" ht="10.4" customHeight="1" x14ac:dyDescent="0.25"/>
    <row r="62" spans="1:12" ht="10.4" customHeight="1" x14ac:dyDescent="0.25"/>
    <row r="63" spans="1:12" ht="10.4" customHeight="1" x14ac:dyDescent="0.25"/>
    <row r="64" spans="1:12" ht="10.4" customHeight="1" x14ac:dyDescent="0.25"/>
    <row r="65" ht="10.4" customHeight="1" x14ac:dyDescent="0.25"/>
    <row r="66" ht="10.4" customHeight="1" x14ac:dyDescent="0.25"/>
    <row r="67" ht="10.4" customHeight="1" x14ac:dyDescent="0.25"/>
    <row r="68" ht="10.4" customHeight="1" x14ac:dyDescent="0.25"/>
  </sheetData>
  <mergeCells count="10">
    <mergeCell ref="N4:O4"/>
    <mergeCell ref="P4:Q4"/>
    <mergeCell ref="R4:S4"/>
    <mergeCell ref="T4:U4"/>
    <mergeCell ref="A1:J1"/>
    <mergeCell ref="A2:A3"/>
    <mergeCell ref="C2:D2"/>
    <mergeCell ref="E2:F2"/>
    <mergeCell ref="G2:H2"/>
    <mergeCell ref="I2:J2"/>
  </mergeCells>
  <pageMargins left="0.7" right="0.7" top="0.75" bottom="0.75" header="0.3" footer="0.3"/>
  <pageSetup paperSize="9" orientation="portrait" r:id="rId1"/>
  <headerFooter>
    <oddHeader>&amp;C&amp;"Aptos"&amp;10&amp;K000000 OFFICIAL&amp;1#_x000D_</oddHeader>
    <oddFooter>&amp;C_x000D_&amp;1#&amp;"Aptos"&amp;10&amp;K000000 OFFICIAL</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B862CD-F963-4DD6-89A6-85D44C9EF89F}">
  <sheetPr>
    <tabColor rgb="FF2634EA"/>
  </sheetPr>
  <dimension ref="A1:AD69"/>
  <sheetViews>
    <sheetView zoomScaleNormal="100" workbookViewId="0">
      <selection activeCell="D15" sqref="D15"/>
    </sheetView>
  </sheetViews>
  <sheetFormatPr defaultColWidth="9.1796875" defaultRowHeight="14.5" x14ac:dyDescent="0.35"/>
  <cols>
    <col min="1" max="1" width="50.81640625" style="56" customWidth="1"/>
    <col min="2" max="9" width="14.81640625" style="56" customWidth="1"/>
    <col min="10" max="10" width="10" style="56" bestFit="1" customWidth="1"/>
    <col min="11" max="11" width="11.81640625" style="56" customWidth="1"/>
    <col min="12" max="16" width="9.1796875" style="56"/>
    <col min="17" max="17" width="11" style="56" customWidth="1"/>
    <col min="18" max="16384" width="9.1796875" style="56"/>
  </cols>
  <sheetData>
    <row r="1" spans="1:30" s="53" customFormat="1" ht="23.25" customHeight="1" x14ac:dyDescent="0.5">
      <c r="A1" s="246"/>
      <c r="B1" s="246"/>
      <c r="C1" s="246"/>
      <c r="D1" s="246"/>
      <c r="E1" s="246"/>
      <c r="F1" s="246"/>
      <c r="G1" s="246"/>
      <c r="H1" s="246"/>
      <c r="I1" s="246"/>
    </row>
    <row r="2" spans="1:30" s="57" customFormat="1" ht="15" customHeight="1" x14ac:dyDescent="0.35">
      <c r="A2" s="56"/>
      <c r="B2" s="56"/>
      <c r="C2" s="56"/>
      <c r="D2" s="56"/>
      <c r="E2" s="56"/>
      <c r="F2" s="56"/>
      <c r="G2" s="56"/>
      <c r="H2" s="56"/>
      <c r="I2" s="56"/>
    </row>
    <row r="3" spans="1:30" s="57" customFormat="1" ht="15" customHeight="1" x14ac:dyDescent="0.35">
      <c r="A3" s="54"/>
      <c r="B3" s="55"/>
      <c r="C3" s="55"/>
      <c r="D3" s="55"/>
      <c r="E3" s="55"/>
      <c r="F3" s="56"/>
      <c r="G3" s="56"/>
      <c r="H3" s="56"/>
      <c r="I3" s="56"/>
    </row>
    <row r="4" spans="1:30" s="57" customFormat="1" ht="15" customHeight="1" x14ac:dyDescent="0.35">
      <c r="A4" s="247" t="str">
        <f>VLOOKUP(FIRE1201_historical!A3,FIRE1201_historical_raw!L12:M19,2,FALSE)</f>
        <v>2010-11</v>
      </c>
      <c r="B4" s="247"/>
      <c r="C4" s="247"/>
      <c r="D4" s="247"/>
      <c r="E4" s="247"/>
      <c r="F4" s="56"/>
      <c r="G4" s="56"/>
      <c r="H4" s="56"/>
      <c r="I4" s="56"/>
      <c r="J4" s="56"/>
    </row>
    <row r="5" spans="1:30" s="57" customFormat="1" ht="15" thickBot="1" x14ac:dyDescent="0.4">
      <c r="A5" s="56"/>
      <c r="B5" s="248"/>
      <c r="C5" s="248"/>
      <c r="D5" s="248"/>
      <c r="E5" s="248"/>
      <c r="F5" s="72"/>
      <c r="G5" s="72"/>
      <c r="H5" s="72"/>
      <c r="I5" s="72"/>
      <c r="K5" s="73"/>
      <c r="L5" s="73"/>
      <c r="N5" s="73"/>
      <c r="O5" s="73"/>
      <c r="P5" s="73"/>
      <c r="Q5" s="73"/>
      <c r="R5" s="73"/>
    </row>
    <row r="6" spans="1:30" s="53" customFormat="1" ht="31.5" customHeight="1" thickBot="1" x14ac:dyDescent="0.4">
      <c r="A6" s="52"/>
      <c r="B6" s="249" t="s">
        <v>150</v>
      </c>
      <c r="C6" s="249"/>
      <c r="D6" s="249" t="s">
        <v>151</v>
      </c>
      <c r="E6" s="249"/>
      <c r="F6" s="249" t="s">
        <v>152</v>
      </c>
      <c r="G6" s="249"/>
      <c r="H6" s="249" t="s">
        <v>153</v>
      </c>
      <c r="I6" s="249"/>
      <c r="K6" s="58"/>
      <c r="L6" s="58"/>
      <c r="N6" s="58"/>
      <c r="O6" s="58"/>
      <c r="P6" s="58"/>
      <c r="Q6" s="58"/>
      <c r="R6" s="58"/>
    </row>
    <row r="7" spans="1:30" s="59" customFormat="1" ht="15" thickBot="1" x14ac:dyDescent="0.4">
      <c r="A7" s="74" t="s">
        <v>126</v>
      </c>
      <c r="B7" s="75" t="s">
        <v>127</v>
      </c>
      <c r="C7" s="75" t="s">
        <v>128</v>
      </c>
      <c r="D7" s="75" t="s">
        <v>127</v>
      </c>
      <c r="E7" s="75" t="s">
        <v>128</v>
      </c>
      <c r="F7" s="75" t="s">
        <v>127</v>
      </c>
      <c r="G7" s="75" t="s">
        <v>128</v>
      </c>
      <c r="H7" s="75" t="s">
        <v>127</v>
      </c>
      <c r="I7" s="75" t="s">
        <v>128</v>
      </c>
      <c r="J7" s="56"/>
    </row>
    <row r="8" spans="1:30" s="57" customFormat="1" ht="15" customHeight="1" x14ac:dyDescent="0.35">
      <c r="A8" s="60" t="s">
        <v>76</v>
      </c>
      <c r="B8" s="61">
        <f ca="1">INDIRECT("'("&amp;$A$4&amp;")'!C6")</f>
        <v>775019</v>
      </c>
      <c r="C8" s="61">
        <f ca="1">INDIRECT("'("&amp;$A$4&amp;")'!d6")</f>
        <v>984787.42999999993</v>
      </c>
      <c r="D8" s="61">
        <f ca="1">INDIRECT("'("&amp;$A$4&amp;")'!e6")</f>
        <v>277773</v>
      </c>
      <c r="E8" s="61">
        <f ca="1">INDIRECT("'("&amp;$A$4&amp;")'!f6")</f>
        <v>342072.44999999995</v>
      </c>
      <c r="F8" s="61">
        <f ca="1">INDIRECT("'("&amp;$A$4&amp;")'!g6")</f>
        <v>86543</v>
      </c>
      <c r="G8" s="61">
        <f ca="1">INDIRECT("'("&amp;$A$4&amp;")'!h6")</f>
        <v>112638.3</v>
      </c>
      <c r="H8" s="61">
        <f ca="1">INDIRECT("'("&amp;$A$4&amp;")'!i6")</f>
        <v>50105</v>
      </c>
      <c r="I8" s="61">
        <f ca="1">INDIRECT("'("&amp;$A$4&amp;")'!j6")</f>
        <v>42705.260255560628</v>
      </c>
      <c r="K8" s="62"/>
      <c r="L8" s="62"/>
      <c r="N8" s="65"/>
      <c r="O8" s="65"/>
      <c r="P8" s="65"/>
      <c r="Q8" s="65"/>
      <c r="R8" s="65"/>
      <c r="T8" s="63"/>
      <c r="U8" s="63"/>
      <c r="V8" s="63"/>
      <c r="W8" s="63"/>
      <c r="X8" s="63"/>
      <c r="Y8" s="63"/>
      <c r="Z8" s="63"/>
      <c r="AA8" s="63"/>
      <c r="AB8" s="63"/>
      <c r="AC8" s="63"/>
      <c r="AD8" s="63"/>
    </row>
    <row r="9" spans="1:30" s="57" customFormat="1" ht="15" customHeight="1" x14ac:dyDescent="0.35">
      <c r="A9" s="64" t="s">
        <v>88</v>
      </c>
      <c r="B9" s="61">
        <f ca="1">INDIRECT("'("&amp;$A$4&amp;")'!C7")</f>
        <v>409706</v>
      </c>
      <c r="C9" s="61">
        <f ca="1">INDIRECT("'("&amp;$A$4&amp;")'!d7")</f>
        <v>514566.43</v>
      </c>
      <c r="D9" s="61">
        <f ca="1">INDIRECT("'("&amp;$A$4&amp;")'!e7")</f>
        <v>147679</v>
      </c>
      <c r="E9" s="61">
        <f ca="1">INDIRECT("'("&amp;$A$4&amp;")'!f7")</f>
        <v>178500.45</v>
      </c>
      <c r="F9" s="61">
        <f ca="1">INDIRECT("'("&amp;$A$4&amp;")'!g7")</f>
        <v>46368</v>
      </c>
      <c r="G9" s="61">
        <f ca="1">INDIRECT("'("&amp;$A$4&amp;")'!h7")</f>
        <v>58966.3</v>
      </c>
      <c r="H9" s="61">
        <f ca="1">INDIRECT("'("&amp;$A$4&amp;")'!i7")</f>
        <v>17360</v>
      </c>
      <c r="I9" s="61">
        <f ca="1">INDIRECT("'("&amp;$A$4&amp;")'!j7")</f>
        <v>12602.186666666666</v>
      </c>
      <c r="K9" s="62"/>
      <c r="L9" s="76"/>
      <c r="N9" s="65"/>
      <c r="O9" s="65"/>
      <c r="P9" s="65"/>
      <c r="Q9" s="65"/>
      <c r="R9" s="65"/>
      <c r="T9" s="63"/>
      <c r="U9" s="63"/>
      <c r="V9" s="63"/>
      <c r="W9" s="63"/>
      <c r="X9" s="63"/>
      <c r="Y9" s="63"/>
      <c r="Z9" s="63"/>
      <c r="AA9" s="63"/>
      <c r="AB9" s="63"/>
      <c r="AC9" s="63"/>
      <c r="AD9" s="63"/>
    </row>
    <row r="10" spans="1:30" s="57" customFormat="1" ht="15" customHeight="1" x14ac:dyDescent="0.35">
      <c r="A10" s="64" t="s">
        <v>92</v>
      </c>
      <c r="B10" s="61">
        <f ca="1">INDIRECT("'("&amp;$A$4&amp;")'!C8")</f>
        <v>365313</v>
      </c>
      <c r="C10" s="61">
        <f ca="1">INDIRECT("'("&amp;$A$4&amp;")'!d8")</f>
        <v>470221</v>
      </c>
      <c r="D10" s="61">
        <f ca="1">INDIRECT("'("&amp;$A$4&amp;")'!e8")</f>
        <v>130094</v>
      </c>
      <c r="E10" s="61">
        <f ca="1">INDIRECT("'("&amp;$A$4&amp;")'!f8")</f>
        <v>163572</v>
      </c>
      <c r="F10" s="61">
        <f ca="1">INDIRECT("'("&amp;$A$4&amp;")'!g8")</f>
        <v>40175</v>
      </c>
      <c r="G10" s="61">
        <f ca="1">INDIRECT("'("&amp;$A$4&amp;")'!h8")</f>
        <v>53672</v>
      </c>
      <c r="H10" s="61">
        <f ca="1">INDIRECT("'("&amp;$A$4&amp;")'!i8")</f>
        <v>32745</v>
      </c>
      <c r="I10" s="61">
        <f ca="1">INDIRECT("'("&amp;$A$4&amp;")'!j8")</f>
        <v>30103.073588893967</v>
      </c>
      <c r="K10" s="62"/>
      <c r="L10" s="76"/>
      <c r="N10" s="65"/>
      <c r="O10" s="65"/>
      <c r="P10" s="65"/>
      <c r="Q10" s="65"/>
      <c r="R10" s="65"/>
      <c r="T10" s="63"/>
      <c r="U10" s="63"/>
      <c r="V10" s="63"/>
      <c r="W10" s="63"/>
      <c r="X10" s="63"/>
      <c r="Y10" s="63"/>
      <c r="Z10" s="63"/>
      <c r="AA10" s="63"/>
      <c r="AB10" s="63"/>
      <c r="AC10" s="63"/>
      <c r="AD10" s="63"/>
    </row>
    <row r="11" spans="1:30" s="57" customFormat="1" ht="15" customHeight="1" x14ac:dyDescent="0.35">
      <c r="A11" s="64" t="s">
        <v>87</v>
      </c>
      <c r="B11" s="61">
        <f ca="1">INDIRECT("'("&amp;$A$4&amp;")'!C9")</f>
        <v>473996</v>
      </c>
      <c r="C11" s="61">
        <f ca="1">INDIRECT("'("&amp;$A$4&amp;")'!d9")</f>
        <v>604791.5</v>
      </c>
      <c r="D11" s="61">
        <f ca="1">INDIRECT("'("&amp;$A$4&amp;")'!e9")</f>
        <v>171451</v>
      </c>
      <c r="E11" s="61">
        <f ca="1">INDIRECT("'("&amp;$A$4&amp;")'!f9")</f>
        <v>214326.45</v>
      </c>
      <c r="F11" s="61">
        <f ca="1">INDIRECT("'("&amp;$A$4&amp;")'!g9")</f>
        <v>57521</v>
      </c>
      <c r="G11" s="61">
        <f ca="1">INDIRECT("'("&amp;$A$4&amp;")'!h9")</f>
        <v>76376.649999999994</v>
      </c>
      <c r="H11" s="61">
        <f ca="1">INDIRECT("'("&amp;$A$4&amp;")'!i9")</f>
        <v>34502</v>
      </c>
      <c r="I11" s="61">
        <f ca="1">INDIRECT("'("&amp;$A$4&amp;")'!j9")</f>
        <v>31143.840255560634</v>
      </c>
      <c r="K11" s="62"/>
      <c r="L11" s="76"/>
      <c r="N11" s="65"/>
      <c r="O11" s="65"/>
      <c r="P11" s="65"/>
      <c r="Q11" s="65"/>
      <c r="R11" s="65"/>
      <c r="T11" s="63"/>
      <c r="U11" s="63"/>
      <c r="V11" s="63"/>
      <c r="W11" s="63"/>
      <c r="X11" s="63"/>
      <c r="Y11" s="63"/>
      <c r="Z11" s="63"/>
      <c r="AA11" s="63"/>
      <c r="AB11" s="63"/>
      <c r="AC11" s="63"/>
      <c r="AD11" s="63"/>
    </row>
    <row r="12" spans="1:30" s="57" customFormat="1" ht="15" customHeight="1" x14ac:dyDescent="0.35">
      <c r="A12" s="64" t="s">
        <v>90</v>
      </c>
      <c r="B12" s="61">
        <f ca="1">INDIRECT("'("&amp;$A$4&amp;")'!C10")</f>
        <v>219639</v>
      </c>
      <c r="C12" s="61">
        <f ca="1">INDIRECT("'("&amp;$A$4&amp;")'!d10")</f>
        <v>271793.68</v>
      </c>
      <c r="D12" s="61">
        <f ca="1">INDIRECT("'("&amp;$A$4&amp;")'!e10")</f>
        <v>79326</v>
      </c>
      <c r="E12" s="61">
        <f ca="1">INDIRECT("'("&amp;$A$4&amp;")'!f10")</f>
        <v>93998.5</v>
      </c>
      <c r="F12" s="61">
        <f ca="1">INDIRECT("'("&amp;$A$4&amp;")'!g10")</f>
        <v>26990</v>
      </c>
      <c r="G12" s="61">
        <f ca="1">INDIRECT("'("&amp;$A$4&amp;")'!h10")</f>
        <v>33841.4</v>
      </c>
      <c r="H12" s="61">
        <f ca="1">INDIRECT("'("&amp;$A$4&amp;")'!i10")</f>
        <v>13288</v>
      </c>
      <c r="I12" s="61">
        <f ca="1">INDIRECT("'("&amp;$A$4&amp;")'!j10")</f>
        <v>10023.17</v>
      </c>
      <c r="K12" s="62"/>
      <c r="L12" s="76" t="s">
        <v>143</v>
      </c>
      <c r="M12" s="76" t="s">
        <v>154</v>
      </c>
      <c r="N12" s="65"/>
      <c r="O12" s="65"/>
      <c r="P12" s="65"/>
      <c r="Q12" s="65"/>
      <c r="R12" s="65"/>
      <c r="T12" s="63"/>
      <c r="U12" s="63"/>
      <c r="V12" s="63"/>
      <c r="W12" s="63"/>
      <c r="X12" s="63"/>
      <c r="Y12" s="63"/>
      <c r="Z12" s="63"/>
      <c r="AA12" s="63"/>
      <c r="AB12" s="63"/>
      <c r="AC12" s="63"/>
      <c r="AD12" s="63"/>
    </row>
    <row r="13" spans="1:30" s="57" customFormat="1" ht="15" customHeight="1" x14ac:dyDescent="0.35">
      <c r="A13" s="64" t="s">
        <v>91</v>
      </c>
      <c r="B13" s="61">
        <f ca="1">INDIRECT("'("&amp;$A$4&amp;")'!C11")</f>
        <v>81384</v>
      </c>
      <c r="C13" s="61">
        <f ca="1">INDIRECT("'("&amp;$A$4&amp;")'!d11")</f>
        <v>108202.25</v>
      </c>
      <c r="D13" s="61">
        <f ca="1">INDIRECT("'("&amp;$A$4&amp;")'!e11")</f>
        <v>26996</v>
      </c>
      <c r="E13" s="61">
        <f ca="1">INDIRECT("'("&amp;$A$4&amp;")'!f11")</f>
        <v>33747.5</v>
      </c>
      <c r="F13" s="61">
        <f ca="1">INDIRECT("'("&amp;$A$4&amp;")'!g11")</f>
        <v>2032</v>
      </c>
      <c r="G13" s="61">
        <f ca="1">INDIRECT("'("&amp;$A$4&amp;")'!h11")</f>
        <v>2420.25</v>
      </c>
      <c r="H13" s="61">
        <f ca="1">INDIRECT("'("&amp;$A$4&amp;")'!i11")</f>
        <v>2315</v>
      </c>
      <c r="I13" s="61">
        <f ca="1">INDIRECT("'("&amp;$A$4&amp;")'!j11")</f>
        <v>1538.25</v>
      </c>
      <c r="K13" s="62"/>
      <c r="L13" s="76" t="s">
        <v>144</v>
      </c>
      <c r="M13" s="76" t="s">
        <v>155</v>
      </c>
      <c r="N13" s="65"/>
      <c r="O13" s="65"/>
      <c r="P13" s="65"/>
      <c r="Q13" s="65"/>
      <c r="R13" s="65"/>
      <c r="T13" s="63"/>
      <c r="U13" s="63"/>
      <c r="V13" s="63"/>
      <c r="W13" s="63"/>
      <c r="X13" s="63"/>
      <c r="Y13" s="63"/>
      <c r="Z13" s="63"/>
      <c r="AA13" s="63"/>
      <c r="AB13" s="63"/>
      <c r="AC13" s="63"/>
      <c r="AD13" s="63"/>
    </row>
    <row r="14" spans="1:30" s="57" customFormat="1" ht="15" customHeight="1" x14ac:dyDescent="0.35">
      <c r="A14" s="56" t="s">
        <v>8</v>
      </c>
      <c r="B14" s="66">
        <f ca="1">INDIRECT("'("&amp;$A$4&amp;")'!C12")</f>
        <v>15985</v>
      </c>
      <c r="C14" s="66">
        <f ca="1">INDIRECT("'("&amp;$A$4&amp;")'!d12")</f>
        <v>11137</v>
      </c>
      <c r="D14" s="66">
        <f ca="1">INDIRECT("'("&amp;$A$4&amp;")'!e12")</f>
        <v>5495</v>
      </c>
      <c r="E14" s="66">
        <f ca="1">INDIRECT("'("&amp;$A$4&amp;")'!f12")</f>
        <v>3844</v>
      </c>
      <c r="F14" s="66">
        <f ca="1">INDIRECT("'("&amp;$A$4&amp;")'!g12")</f>
        <v>2237</v>
      </c>
      <c r="G14" s="66">
        <f ca="1">INDIRECT("'("&amp;$A$4&amp;")'!h12")</f>
        <v>1712</v>
      </c>
      <c r="H14" s="66">
        <f ca="1">INDIRECT("'("&amp;$A$4&amp;")'!i12")</f>
        <v>343</v>
      </c>
      <c r="I14" s="66" t="str">
        <f ca="1">INDIRECT("'("&amp;$A$4&amp;")'!j12")</f>
        <v>N/a</v>
      </c>
      <c r="K14" s="62"/>
      <c r="L14" s="76" t="s">
        <v>145</v>
      </c>
      <c r="M14" s="76" t="s">
        <v>156</v>
      </c>
      <c r="N14" s="65"/>
      <c r="O14" s="65"/>
      <c r="P14" s="65"/>
      <c r="Q14" s="65"/>
      <c r="R14" s="65"/>
      <c r="T14" s="63"/>
      <c r="U14" s="63"/>
      <c r="V14" s="63"/>
      <c r="W14" s="63"/>
      <c r="X14" s="63"/>
      <c r="Y14" s="63"/>
      <c r="Z14" s="63"/>
      <c r="AA14" s="63"/>
      <c r="AB14" s="63"/>
      <c r="AC14" s="63"/>
      <c r="AD14" s="63"/>
    </row>
    <row r="15" spans="1:30" s="57" customFormat="1" ht="15" customHeight="1" x14ac:dyDescent="0.35">
      <c r="A15" s="56" t="s">
        <v>11</v>
      </c>
      <c r="B15" s="66">
        <f ca="1">INDIRECT("'("&amp;$A$4&amp;")'!C13")</f>
        <v>6437</v>
      </c>
      <c r="C15" s="66">
        <f ca="1">INDIRECT("'("&amp;$A$4&amp;")'!d13")</f>
        <v>8084</v>
      </c>
      <c r="D15" s="66" t="str">
        <f ca="1">INDIRECT("'("&amp;$A$4&amp;")'!e13")</f>
        <v>N/a</v>
      </c>
      <c r="E15" s="66" t="str">
        <f ca="1">INDIRECT("'("&amp;$A$4&amp;")'!f13")</f>
        <v>N/a</v>
      </c>
      <c r="F15" s="66" t="str">
        <f ca="1">INDIRECT("'("&amp;$A$4&amp;")'!g13")</f>
        <v>N/a</v>
      </c>
      <c r="G15" s="66" t="str">
        <f ca="1">INDIRECT("'("&amp;$A$4&amp;")'!h13")</f>
        <v>N/a</v>
      </c>
      <c r="H15" s="66">
        <f ca="1">INDIRECT("'("&amp;$A$4&amp;")'!i13")</f>
        <v>329</v>
      </c>
      <c r="I15" s="66" t="str">
        <f ca="1">INDIRECT("'("&amp;$A$4&amp;")'!j13")</f>
        <v>N/a</v>
      </c>
      <c r="K15" s="62"/>
      <c r="L15" s="76" t="s">
        <v>146</v>
      </c>
      <c r="M15" s="76" t="s">
        <v>157</v>
      </c>
      <c r="N15" s="65"/>
      <c r="O15" s="65"/>
      <c r="P15" s="65"/>
      <c r="Q15" s="65"/>
      <c r="R15" s="65"/>
      <c r="T15" s="63"/>
      <c r="U15" s="63"/>
      <c r="V15" s="63"/>
      <c r="W15" s="63"/>
      <c r="X15" s="63"/>
      <c r="Y15" s="63"/>
      <c r="Z15" s="63"/>
      <c r="AA15" s="63"/>
      <c r="AB15" s="63"/>
      <c r="AC15" s="63"/>
      <c r="AD15" s="63"/>
    </row>
    <row r="16" spans="1:30" s="57" customFormat="1" ht="15" customHeight="1" x14ac:dyDescent="0.35">
      <c r="A16" s="56" t="s">
        <v>12</v>
      </c>
      <c r="B16" s="66">
        <f ca="1">INDIRECT("'("&amp;$A$4&amp;")'!C14")</f>
        <v>6696</v>
      </c>
      <c r="C16" s="66">
        <f ca="1">INDIRECT("'("&amp;$A$4&amp;")'!d14")</f>
        <v>11147</v>
      </c>
      <c r="D16" s="66">
        <f ca="1">INDIRECT("'("&amp;$A$4&amp;")'!e14")</f>
        <v>2530</v>
      </c>
      <c r="E16" s="66">
        <f ca="1">INDIRECT("'("&amp;$A$4&amp;")'!f14")</f>
        <v>2950</v>
      </c>
      <c r="F16" s="66">
        <f ca="1">INDIRECT("'("&amp;$A$4&amp;")'!g14")</f>
        <v>1100</v>
      </c>
      <c r="G16" s="66">
        <f ca="1">INDIRECT("'("&amp;$A$4&amp;")'!h14")</f>
        <v>1283</v>
      </c>
      <c r="H16" s="66" t="str">
        <f ca="1">INDIRECT("'("&amp;$A$4&amp;")'!i14")</f>
        <v>N/a</v>
      </c>
      <c r="I16" s="66" t="str">
        <f ca="1">INDIRECT("'("&amp;$A$4&amp;")'!j14")</f>
        <v>N/a</v>
      </c>
      <c r="K16" s="62"/>
      <c r="L16" s="76" t="s">
        <v>147</v>
      </c>
      <c r="M16" s="76" t="s">
        <v>158</v>
      </c>
      <c r="N16" s="65"/>
      <c r="O16" s="65"/>
      <c r="P16" s="65"/>
      <c r="Q16" s="65"/>
      <c r="R16" s="65"/>
      <c r="T16" s="63"/>
      <c r="U16" s="63"/>
      <c r="V16" s="63"/>
      <c r="W16" s="63"/>
      <c r="X16" s="63"/>
      <c r="Y16" s="63"/>
      <c r="Z16" s="63"/>
      <c r="AA16" s="63"/>
      <c r="AB16" s="63"/>
      <c r="AC16" s="63"/>
      <c r="AD16" s="63"/>
    </row>
    <row r="17" spans="1:30" s="57" customFormat="1" ht="15" customHeight="1" x14ac:dyDescent="0.35">
      <c r="A17" s="56" t="s">
        <v>13</v>
      </c>
      <c r="B17" s="66">
        <f ca="1">INDIRECT("'("&amp;$A$4&amp;")'!C15")</f>
        <v>5766</v>
      </c>
      <c r="C17" s="66">
        <f ca="1">INDIRECT("'("&amp;$A$4&amp;")'!d15")</f>
        <v>8649</v>
      </c>
      <c r="D17" s="66">
        <f ca="1">INDIRECT("'("&amp;$A$4&amp;")'!e15")</f>
        <v>1576</v>
      </c>
      <c r="E17" s="66">
        <f ca="1">INDIRECT("'("&amp;$A$4&amp;")'!f15")</f>
        <v>2364</v>
      </c>
      <c r="F17" s="66">
        <f ca="1">INDIRECT("'("&amp;$A$4&amp;")'!g15")</f>
        <v>971</v>
      </c>
      <c r="G17" s="66">
        <f ca="1">INDIRECT("'("&amp;$A$4&amp;")'!h15")</f>
        <v>1457</v>
      </c>
      <c r="H17" s="66">
        <f ca="1">INDIRECT("'("&amp;$A$4&amp;")'!i15")</f>
        <v>617</v>
      </c>
      <c r="I17" s="66" t="str">
        <f ca="1">INDIRECT("'("&amp;$A$4&amp;")'!j15")</f>
        <v>N/a</v>
      </c>
      <c r="K17" s="62"/>
      <c r="L17" s="76" t="s">
        <v>148</v>
      </c>
      <c r="M17" s="76" t="s">
        <v>159</v>
      </c>
      <c r="N17" s="65"/>
      <c r="O17" s="65"/>
      <c r="P17" s="65"/>
      <c r="Q17" s="65"/>
      <c r="R17" s="65"/>
      <c r="T17" s="63"/>
      <c r="U17" s="63"/>
      <c r="V17" s="63"/>
      <c r="W17" s="63"/>
      <c r="X17" s="63"/>
      <c r="Y17" s="63"/>
      <c r="Z17" s="63"/>
      <c r="AA17" s="63"/>
      <c r="AB17" s="63"/>
      <c r="AC17" s="63"/>
      <c r="AD17" s="63"/>
    </row>
    <row r="18" spans="1:30" s="57" customFormat="1" ht="15" customHeight="1" x14ac:dyDescent="0.35">
      <c r="A18" s="56" t="s">
        <v>14</v>
      </c>
      <c r="B18" s="66">
        <f ca="1">INDIRECT("'("&amp;$A$4&amp;")'!C16")</f>
        <v>7015</v>
      </c>
      <c r="C18" s="66">
        <f ca="1">INDIRECT("'("&amp;$A$4&amp;")'!d16")</f>
        <v>5602</v>
      </c>
      <c r="D18" s="66">
        <f ca="1">INDIRECT("'("&amp;$A$4&amp;")'!e16")</f>
        <v>2456</v>
      </c>
      <c r="E18" s="66">
        <f ca="1">INDIRECT("'("&amp;$A$4&amp;")'!f16")</f>
        <v>2178</v>
      </c>
      <c r="F18" s="66">
        <f ca="1">INDIRECT("'("&amp;$A$4&amp;")'!g16")</f>
        <v>1444</v>
      </c>
      <c r="G18" s="66">
        <f ca="1">INDIRECT("'("&amp;$A$4&amp;")'!h16")</f>
        <v>1403</v>
      </c>
      <c r="H18" s="66">
        <f ca="1">INDIRECT("'("&amp;$A$4&amp;")'!i16")</f>
        <v>60</v>
      </c>
      <c r="I18" s="66">
        <f ca="1">INDIRECT("'("&amp;$A$4&amp;")'!j16")</f>
        <v>139</v>
      </c>
      <c r="K18" s="62"/>
      <c r="L18" s="76" t="s">
        <v>149</v>
      </c>
      <c r="M18" s="77" t="s">
        <v>160</v>
      </c>
      <c r="N18" s="65"/>
      <c r="O18" s="65"/>
      <c r="P18" s="65"/>
      <c r="Q18" s="65"/>
      <c r="R18" s="65"/>
      <c r="T18" s="63"/>
      <c r="U18" s="63"/>
      <c r="V18" s="63"/>
      <c r="W18" s="63"/>
      <c r="X18" s="63"/>
      <c r="Y18" s="63"/>
      <c r="Z18" s="63"/>
      <c r="AA18" s="63"/>
      <c r="AB18" s="63"/>
      <c r="AC18" s="63"/>
      <c r="AD18" s="63"/>
    </row>
    <row r="19" spans="1:30" s="57" customFormat="1" ht="15" customHeight="1" x14ac:dyDescent="0.35">
      <c r="A19" s="67" t="s">
        <v>15</v>
      </c>
      <c r="B19" s="66">
        <f ca="1">INDIRECT("'("&amp;$A$4&amp;")'!C17")</f>
        <v>62707</v>
      </c>
      <c r="C19" s="66">
        <f ca="1">INDIRECT("'("&amp;$A$4&amp;")'!d17")</f>
        <v>25083</v>
      </c>
      <c r="D19" s="66">
        <f ca="1">INDIRECT("'("&amp;$A$4&amp;")'!e17")</f>
        <v>20517</v>
      </c>
      <c r="E19" s="66">
        <f ca="1">INDIRECT("'("&amp;$A$4&amp;")'!f17")</f>
        <v>8206</v>
      </c>
      <c r="F19" s="66">
        <f ca="1">INDIRECT("'("&amp;$A$4&amp;")'!g17")</f>
        <v>3013</v>
      </c>
      <c r="G19" s="66">
        <f ca="1">INDIRECT("'("&amp;$A$4&amp;")'!h17")</f>
        <v>906</v>
      </c>
      <c r="H19" s="66">
        <f ca="1">INDIRECT("'("&amp;$A$4&amp;")'!i17")</f>
        <v>130</v>
      </c>
      <c r="I19" s="66">
        <f ca="1">INDIRECT("'("&amp;$A$4&amp;")'!j17")</f>
        <v>100</v>
      </c>
      <c r="K19" s="62"/>
      <c r="L19" s="76" t="s">
        <v>125</v>
      </c>
      <c r="M19" s="77" t="s">
        <v>161</v>
      </c>
      <c r="N19" s="65"/>
      <c r="O19" s="65"/>
      <c r="P19" s="65"/>
      <c r="Q19" s="65"/>
      <c r="R19" s="65"/>
      <c r="T19" s="63"/>
      <c r="U19" s="63"/>
      <c r="V19" s="63"/>
      <c r="W19" s="63"/>
      <c r="X19" s="63"/>
      <c r="Y19" s="63"/>
      <c r="Z19" s="63"/>
      <c r="AA19" s="63"/>
      <c r="AB19" s="63"/>
      <c r="AC19" s="63"/>
      <c r="AD19" s="63"/>
    </row>
    <row r="20" spans="1:30" s="57" customFormat="1" ht="15" customHeight="1" x14ac:dyDescent="0.35">
      <c r="A20" s="67" t="s">
        <v>16</v>
      </c>
      <c r="B20" s="66">
        <f ca="1">INDIRECT("'("&amp;$A$4&amp;")'!C18")</f>
        <v>17469</v>
      </c>
      <c r="C20" s="66">
        <f ca="1">INDIRECT("'("&amp;$A$4&amp;")'!d18")</f>
        <v>8734.5</v>
      </c>
      <c r="D20" s="66">
        <f ca="1">INDIRECT("'("&amp;$A$4&amp;")'!e18")</f>
        <v>4124</v>
      </c>
      <c r="E20" s="66">
        <f ca="1">INDIRECT("'("&amp;$A$4&amp;")'!f18")</f>
        <v>2062</v>
      </c>
      <c r="F20" s="66">
        <f ca="1">INDIRECT("'("&amp;$A$4&amp;")'!g18")</f>
        <v>648</v>
      </c>
      <c r="G20" s="66">
        <f ca="1">INDIRECT("'("&amp;$A$4&amp;")'!h18")</f>
        <v>324</v>
      </c>
      <c r="H20" s="66">
        <f ca="1">INDIRECT("'("&amp;$A$4&amp;")'!i18")</f>
        <v>0</v>
      </c>
      <c r="I20" s="66">
        <f ca="1">INDIRECT("'("&amp;$A$4&amp;")'!j18")</f>
        <v>0</v>
      </c>
      <c r="K20" s="62"/>
      <c r="L20" s="62"/>
      <c r="N20" s="65"/>
      <c r="O20" s="65"/>
      <c r="P20" s="65"/>
      <c r="Q20" s="65"/>
      <c r="R20" s="65"/>
      <c r="T20" s="63"/>
      <c r="U20" s="63"/>
      <c r="V20" s="63"/>
      <c r="W20" s="63"/>
      <c r="X20" s="63"/>
      <c r="Y20" s="63"/>
      <c r="Z20" s="63"/>
      <c r="AA20" s="63"/>
      <c r="AB20" s="63"/>
      <c r="AC20" s="63"/>
      <c r="AD20" s="63"/>
    </row>
    <row r="21" spans="1:30" s="57" customFormat="1" ht="15" customHeight="1" x14ac:dyDescent="0.35">
      <c r="A21" s="67" t="s">
        <v>17</v>
      </c>
      <c r="B21" s="66">
        <f ca="1">INDIRECT("'("&amp;$A$4&amp;")'!C19")</f>
        <v>3222</v>
      </c>
      <c r="C21" s="66">
        <f ca="1">INDIRECT("'("&amp;$A$4&amp;")'!d19")</f>
        <v>3998</v>
      </c>
      <c r="D21" s="66" t="str">
        <f ca="1">INDIRECT("'("&amp;$A$4&amp;")'!e19")</f>
        <v>N/a</v>
      </c>
      <c r="E21" s="66" t="str">
        <f ca="1">INDIRECT("'("&amp;$A$4&amp;")'!f19")</f>
        <v>N/a</v>
      </c>
      <c r="F21" s="66" t="str">
        <f ca="1">INDIRECT("'("&amp;$A$4&amp;")'!g19")</f>
        <v>N/a</v>
      </c>
      <c r="G21" s="66" t="str">
        <f ca="1">INDIRECT("'("&amp;$A$4&amp;")'!h19")</f>
        <v>N/a</v>
      </c>
      <c r="H21" s="66">
        <f ca="1">INDIRECT("'("&amp;$A$4&amp;")'!i19")</f>
        <v>417</v>
      </c>
      <c r="I21" s="66">
        <f ca="1">INDIRECT("'("&amp;$A$4&amp;")'!j19")</f>
        <v>290.5</v>
      </c>
      <c r="K21" s="62"/>
      <c r="L21" s="62"/>
      <c r="N21" s="65"/>
      <c r="O21" s="65"/>
      <c r="P21" s="65"/>
      <c r="Q21" s="65"/>
      <c r="R21" s="65"/>
      <c r="T21" s="63"/>
      <c r="U21" s="63"/>
      <c r="V21" s="63"/>
      <c r="W21" s="63"/>
      <c r="X21" s="63"/>
      <c r="Y21" s="63"/>
      <c r="Z21" s="63"/>
      <c r="AA21" s="63"/>
      <c r="AB21" s="63"/>
      <c r="AC21" s="63"/>
      <c r="AD21" s="63"/>
    </row>
    <row r="22" spans="1:30" s="57" customFormat="1" ht="15" customHeight="1" x14ac:dyDescent="0.35">
      <c r="A22" s="56" t="s">
        <v>18</v>
      </c>
      <c r="B22" s="66">
        <f ca="1">INDIRECT("'("&amp;$A$4&amp;")'!C20")</f>
        <v>18175</v>
      </c>
      <c r="C22" s="66">
        <f ca="1">INDIRECT("'("&amp;$A$4&amp;")'!d20")</f>
        <v>13631.25</v>
      </c>
      <c r="D22" s="66">
        <f ca="1">INDIRECT("'("&amp;$A$4&amp;")'!e20")</f>
        <v>9656</v>
      </c>
      <c r="E22" s="66">
        <f ca="1">INDIRECT("'("&amp;$A$4&amp;")'!f20")</f>
        <v>7242</v>
      </c>
      <c r="F22" s="66" t="str">
        <f ca="1">INDIRECT("'("&amp;$A$4&amp;")'!g20")</f>
        <v>N/a</v>
      </c>
      <c r="G22" s="66" t="str">
        <f ca="1">INDIRECT("'("&amp;$A$4&amp;")'!h20")</f>
        <v>N/a</v>
      </c>
      <c r="H22" s="66">
        <f ca="1">INDIRECT("'("&amp;$A$4&amp;")'!i20")</f>
        <v>114</v>
      </c>
      <c r="I22" s="66">
        <f ca="1">INDIRECT("'("&amp;$A$4&amp;")'!j20")</f>
        <v>85.5</v>
      </c>
      <c r="K22" s="62"/>
      <c r="L22" s="62"/>
      <c r="N22" s="65"/>
      <c r="O22" s="65"/>
      <c r="P22" s="65"/>
      <c r="Q22" s="65"/>
      <c r="R22" s="65"/>
      <c r="T22" s="63"/>
      <c r="U22" s="63"/>
      <c r="V22" s="63"/>
      <c r="W22" s="63"/>
      <c r="X22" s="63"/>
      <c r="Y22" s="63"/>
      <c r="Z22" s="63"/>
      <c r="AA22" s="63"/>
      <c r="AB22" s="63"/>
      <c r="AC22" s="63"/>
      <c r="AD22" s="63"/>
    </row>
    <row r="23" spans="1:30" s="57" customFormat="1" ht="15" customHeight="1" x14ac:dyDescent="0.35">
      <c r="A23" s="56" t="s">
        <v>19</v>
      </c>
      <c r="B23" s="66">
        <f ca="1">INDIRECT("'("&amp;$A$4&amp;")'!C21")</f>
        <v>5407</v>
      </c>
      <c r="C23" s="66">
        <f ca="1">INDIRECT("'("&amp;$A$4&amp;")'!d21")</f>
        <v>9980</v>
      </c>
      <c r="D23" s="66">
        <f ca="1">INDIRECT("'("&amp;$A$4&amp;")'!e21")</f>
        <v>1968</v>
      </c>
      <c r="E23" s="66">
        <f ca="1">INDIRECT("'("&amp;$A$4&amp;")'!f21")</f>
        <v>3556</v>
      </c>
      <c r="F23" s="66">
        <f ca="1">INDIRECT("'("&amp;$A$4&amp;")'!g21")</f>
        <v>1875</v>
      </c>
      <c r="G23" s="66">
        <f ca="1">INDIRECT("'("&amp;$A$4&amp;")'!h21")</f>
        <v>3178</v>
      </c>
      <c r="H23" s="66">
        <f ca="1">INDIRECT("'("&amp;$A$4&amp;")'!i21")</f>
        <v>4645</v>
      </c>
      <c r="I23" s="66">
        <f ca="1">INDIRECT("'("&amp;$A$4&amp;")'!j21")</f>
        <v>4820</v>
      </c>
      <c r="K23" s="62"/>
      <c r="L23" s="62"/>
      <c r="N23" s="65"/>
      <c r="O23" s="65"/>
      <c r="P23" s="65"/>
      <c r="Q23" s="65"/>
      <c r="R23" s="65"/>
      <c r="T23" s="63"/>
      <c r="U23" s="63"/>
      <c r="V23" s="63"/>
      <c r="W23" s="63"/>
      <c r="X23" s="63"/>
      <c r="Y23" s="63"/>
      <c r="Z23" s="63"/>
      <c r="AA23" s="63"/>
      <c r="AB23" s="63"/>
      <c r="AC23" s="63"/>
      <c r="AD23" s="63"/>
    </row>
    <row r="24" spans="1:30" s="57" customFormat="1" ht="15" customHeight="1" x14ac:dyDescent="0.35">
      <c r="A24" s="56" t="s">
        <v>20</v>
      </c>
      <c r="B24" s="66">
        <f ca="1">INDIRECT("'("&amp;$A$4&amp;")'!C22")</f>
        <v>9455</v>
      </c>
      <c r="C24" s="66">
        <f ca="1">INDIRECT("'("&amp;$A$4&amp;")'!d22")</f>
        <v>23938.5</v>
      </c>
      <c r="D24" s="66" t="str">
        <f ca="1">INDIRECT("'("&amp;$A$4&amp;")'!e22")</f>
        <v>N/a</v>
      </c>
      <c r="E24" s="66" t="str">
        <f ca="1">INDIRECT("'("&amp;$A$4&amp;")'!f22")</f>
        <v>N/a</v>
      </c>
      <c r="F24" s="66" t="str">
        <f ca="1">INDIRECT("'("&amp;$A$4&amp;")'!g22")</f>
        <v>N/a</v>
      </c>
      <c r="G24" s="66" t="str">
        <f ca="1">INDIRECT("'("&amp;$A$4&amp;")'!h22")</f>
        <v>N/a</v>
      </c>
      <c r="H24" s="66">
        <f ca="1">INDIRECT("'("&amp;$A$4&amp;")'!i22")</f>
        <v>0</v>
      </c>
      <c r="I24" s="66">
        <f ca="1">INDIRECT("'("&amp;$A$4&amp;")'!j22")</f>
        <v>0</v>
      </c>
      <c r="K24" s="62"/>
      <c r="L24" s="62"/>
      <c r="N24" s="65"/>
      <c r="O24" s="65"/>
      <c r="P24" s="65"/>
      <c r="Q24" s="65"/>
      <c r="R24" s="65"/>
      <c r="T24" s="63"/>
      <c r="U24" s="63"/>
      <c r="V24" s="63"/>
      <c r="W24" s="63"/>
      <c r="X24" s="63"/>
      <c r="Y24" s="63"/>
      <c r="Z24" s="63"/>
      <c r="AA24" s="63"/>
      <c r="AB24" s="63"/>
      <c r="AC24" s="63"/>
      <c r="AD24" s="63"/>
    </row>
    <row r="25" spans="1:30" s="57" customFormat="1" ht="15" customHeight="1" x14ac:dyDescent="0.35">
      <c r="A25" s="56" t="s">
        <v>21</v>
      </c>
      <c r="B25" s="66">
        <f ca="1">INDIRECT("'("&amp;$A$4&amp;")'!C23")</f>
        <v>11855</v>
      </c>
      <c r="C25" s="66">
        <f ca="1">INDIRECT("'("&amp;$A$4&amp;")'!d23")</f>
        <v>16626</v>
      </c>
      <c r="D25" s="66">
        <f ca="1">INDIRECT("'("&amp;$A$4&amp;")'!e23")</f>
        <v>6075</v>
      </c>
      <c r="E25" s="66">
        <f ca="1">INDIRECT("'("&amp;$A$4&amp;")'!f23")</f>
        <v>8025</v>
      </c>
      <c r="F25" s="66">
        <f ca="1">INDIRECT("'("&amp;$A$4&amp;")'!g23")</f>
        <v>2265</v>
      </c>
      <c r="G25" s="66">
        <f ca="1">INDIRECT("'("&amp;$A$4&amp;")'!h23")</f>
        <v>3017</v>
      </c>
      <c r="H25" s="66">
        <f ca="1">INDIRECT("'("&amp;$A$4&amp;")'!i23")</f>
        <v>980</v>
      </c>
      <c r="I25" s="66">
        <f ca="1">INDIRECT("'("&amp;$A$4&amp;")'!j23")</f>
        <v>475</v>
      </c>
      <c r="K25" s="62"/>
      <c r="L25" s="62"/>
      <c r="N25" s="65"/>
      <c r="O25" s="65"/>
      <c r="P25" s="65"/>
      <c r="Q25" s="65"/>
      <c r="R25" s="65"/>
      <c r="T25" s="63"/>
      <c r="U25" s="63"/>
      <c r="V25" s="63"/>
      <c r="W25" s="63"/>
      <c r="X25" s="63"/>
      <c r="Y25" s="63"/>
      <c r="Z25" s="63"/>
      <c r="AA25" s="63"/>
      <c r="AB25" s="63"/>
      <c r="AC25" s="63"/>
      <c r="AD25" s="63"/>
    </row>
    <row r="26" spans="1:30" s="57" customFormat="1" ht="15" customHeight="1" x14ac:dyDescent="0.35">
      <c r="A26" s="56" t="s">
        <v>22</v>
      </c>
      <c r="B26" s="66">
        <f ca="1">INDIRECT("'("&amp;$A$4&amp;")'!C24")</f>
        <v>9583</v>
      </c>
      <c r="C26" s="66">
        <f ca="1">INDIRECT("'("&amp;$A$4&amp;")'!d24")</f>
        <v>8671</v>
      </c>
      <c r="D26" s="66">
        <f ca="1">INDIRECT("'("&amp;$A$4&amp;")'!e24")</f>
        <v>3212</v>
      </c>
      <c r="E26" s="66">
        <f ca="1">INDIRECT("'("&amp;$A$4&amp;")'!f24")</f>
        <v>3882</v>
      </c>
      <c r="F26" s="66">
        <f ca="1">INDIRECT("'("&amp;$A$4&amp;")'!g24")</f>
        <v>4</v>
      </c>
      <c r="G26" s="66">
        <f ca="1">INDIRECT("'("&amp;$A$4&amp;")'!h24")</f>
        <v>5</v>
      </c>
      <c r="H26" s="66">
        <f ca="1">INDIRECT("'("&amp;$A$4&amp;")'!i24")</f>
        <v>0</v>
      </c>
      <c r="I26" s="66">
        <f ca="1">INDIRECT("'("&amp;$A$4&amp;")'!j24")</f>
        <v>0</v>
      </c>
      <c r="K26" s="62"/>
      <c r="L26" s="62"/>
      <c r="N26" s="65"/>
      <c r="O26" s="65"/>
      <c r="P26" s="65"/>
      <c r="Q26" s="65"/>
      <c r="R26" s="65"/>
      <c r="T26" s="63"/>
      <c r="U26" s="63"/>
      <c r="V26" s="63"/>
      <c r="W26" s="63"/>
      <c r="X26" s="63"/>
      <c r="Y26" s="63"/>
      <c r="Z26" s="63"/>
      <c r="AA26" s="63"/>
      <c r="AB26" s="63"/>
      <c r="AC26" s="63"/>
      <c r="AD26" s="63"/>
    </row>
    <row r="27" spans="1:30" s="57" customFormat="1" ht="15" customHeight="1" x14ac:dyDescent="0.35">
      <c r="A27" s="56" t="s">
        <v>23</v>
      </c>
      <c r="B27" s="66">
        <f ca="1">INDIRECT("'("&amp;$A$4&amp;")'!C25")</f>
        <v>10144</v>
      </c>
      <c r="C27" s="66">
        <f ca="1">INDIRECT("'("&amp;$A$4&amp;")'!d25")</f>
        <v>15883.5</v>
      </c>
      <c r="D27" s="66">
        <f ca="1">INDIRECT("'("&amp;$A$4&amp;")'!e25")</f>
        <v>5328</v>
      </c>
      <c r="E27" s="66">
        <f ca="1">INDIRECT("'("&amp;$A$4&amp;")'!f25")</f>
        <v>6369</v>
      </c>
      <c r="F27" s="66">
        <f ca="1">INDIRECT("'("&amp;$A$4&amp;")'!g25")</f>
        <v>352</v>
      </c>
      <c r="G27" s="66">
        <f ca="1">INDIRECT("'("&amp;$A$4&amp;")'!h25")</f>
        <v>792</v>
      </c>
      <c r="H27" s="66" t="str">
        <f ca="1">INDIRECT("'("&amp;$A$4&amp;")'!i25")</f>
        <v>N/a</v>
      </c>
      <c r="I27" s="66" t="str">
        <f ca="1">INDIRECT("'("&amp;$A$4&amp;")'!j25")</f>
        <v>N/a</v>
      </c>
      <c r="K27" s="62"/>
      <c r="L27" s="62"/>
      <c r="N27" s="65"/>
      <c r="O27" s="65"/>
      <c r="P27" s="65"/>
      <c r="Q27" s="65"/>
      <c r="R27" s="65"/>
      <c r="T27" s="63"/>
      <c r="U27" s="63"/>
      <c r="V27" s="63"/>
      <c r="W27" s="63"/>
      <c r="X27" s="63"/>
      <c r="Y27" s="63"/>
      <c r="Z27" s="63"/>
      <c r="AA27" s="63"/>
      <c r="AB27" s="63"/>
      <c r="AC27" s="63"/>
      <c r="AD27" s="63"/>
    </row>
    <row r="28" spans="1:30" s="57" customFormat="1" ht="15" customHeight="1" x14ac:dyDescent="0.35">
      <c r="A28" s="56" t="s">
        <v>24</v>
      </c>
      <c r="B28" s="66">
        <f ca="1">INDIRECT("'("&amp;$A$4&amp;")'!C26")</f>
        <v>6770</v>
      </c>
      <c r="C28" s="66">
        <f ca="1">INDIRECT("'("&amp;$A$4&amp;")'!d26")</f>
        <v>10161</v>
      </c>
      <c r="D28" s="66">
        <f ca="1">INDIRECT("'("&amp;$A$4&amp;")'!e26")</f>
        <v>3149</v>
      </c>
      <c r="E28" s="66">
        <f ca="1">INDIRECT("'("&amp;$A$4&amp;")'!f26")</f>
        <v>4703</v>
      </c>
      <c r="F28" s="66">
        <f ca="1">INDIRECT("'("&amp;$A$4&amp;")'!g26")</f>
        <v>1039</v>
      </c>
      <c r="G28" s="66">
        <f ca="1">INDIRECT("'("&amp;$A$4&amp;")'!h26")</f>
        <v>1568</v>
      </c>
      <c r="H28" s="66">
        <f ca="1">INDIRECT("'("&amp;$A$4&amp;")'!i26")</f>
        <v>697</v>
      </c>
      <c r="I28" s="66">
        <f ca="1">INDIRECT("'("&amp;$A$4&amp;")'!j26")</f>
        <v>508</v>
      </c>
      <c r="K28" s="62"/>
      <c r="L28" s="62"/>
      <c r="N28" s="65"/>
      <c r="O28" s="65"/>
      <c r="P28" s="65"/>
      <c r="Q28" s="65"/>
      <c r="R28" s="65"/>
      <c r="T28" s="63"/>
      <c r="U28" s="63"/>
      <c r="V28" s="63"/>
      <c r="W28" s="63"/>
      <c r="X28" s="63"/>
      <c r="Y28" s="63"/>
      <c r="Z28" s="63"/>
      <c r="AA28" s="63"/>
      <c r="AB28" s="63"/>
      <c r="AC28" s="63"/>
      <c r="AD28" s="63"/>
    </row>
    <row r="29" spans="1:30" s="57" customFormat="1" ht="15" customHeight="1" x14ac:dyDescent="0.35">
      <c r="A29" s="56" t="s">
        <v>25</v>
      </c>
      <c r="B29" s="66">
        <f ca="1">INDIRECT("'("&amp;$A$4&amp;")'!C27")</f>
        <v>2896</v>
      </c>
      <c r="C29" s="66">
        <f ca="1">INDIRECT("'("&amp;$A$4&amp;")'!d27")</f>
        <v>3134</v>
      </c>
      <c r="D29" s="66">
        <f ca="1">INDIRECT("'("&amp;$A$4&amp;")'!e27")</f>
        <v>1178</v>
      </c>
      <c r="E29" s="66">
        <f ca="1">INDIRECT("'("&amp;$A$4&amp;")'!f27")</f>
        <v>1232</v>
      </c>
      <c r="F29" s="66">
        <f ca="1">INDIRECT("'("&amp;$A$4&amp;")'!g27")</f>
        <v>500</v>
      </c>
      <c r="G29" s="66">
        <f ca="1">INDIRECT("'("&amp;$A$4&amp;")'!h27")</f>
        <v>1229.25</v>
      </c>
      <c r="H29" s="66">
        <f ca="1">INDIRECT("'("&amp;$A$4&amp;")'!i27")</f>
        <v>71</v>
      </c>
      <c r="I29" s="66">
        <f ca="1">INDIRECT("'("&amp;$A$4&amp;")'!j27")</f>
        <v>40</v>
      </c>
      <c r="K29" s="62"/>
      <c r="L29" s="62"/>
      <c r="N29" s="65"/>
      <c r="O29" s="65"/>
      <c r="P29" s="65"/>
      <c r="Q29" s="65"/>
      <c r="R29" s="65"/>
      <c r="T29" s="63"/>
      <c r="U29" s="63"/>
      <c r="V29" s="63"/>
      <c r="W29" s="63"/>
      <c r="X29" s="63"/>
      <c r="Y29" s="63"/>
      <c r="Z29" s="63"/>
      <c r="AA29" s="63"/>
      <c r="AB29" s="63"/>
      <c r="AC29" s="63"/>
      <c r="AD29" s="63"/>
    </row>
    <row r="30" spans="1:30" s="57" customFormat="1" ht="15" customHeight="1" x14ac:dyDescent="0.35">
      <c r="A30" s="56" t="s">
        <v>26</v>
      </c>
      <c r="B30" s="66">
        <f ca="1">INDIRECT("'("&amp;$A$4&amp;")'!C28")</f>
        <v>70016</v>
      </c>
      <c r="C30" s="66">
        <f ca="1">INDIRECT("'("&amp;$A$4&amp;")'!d28")</f>
        <v>71842</v>
      </c>
      <c r="D30" s="66">
        <f ca="1">INDIRECT("'("&amp;$A$4&amp;")'!e28")</f>
        <v>27042</v>
      </c>
      <c r="E30" s="66">
        <f ca="1">INDIRECT("'("&amp;$A$4&amp;")'!f28")</f>
        <v>28258</v>
      </c>
      <c r="F30" s="66">
        <f ca="1">INDIRECT("'("&amp;$A$4&amp;")'!g28")</f>
        <v>10272</v>
      </c>
      <c r="G30" s="66">
        <f ca="1">INDIRECT("'("&amp;$A$4&amp;")'!h28")</f>
        <v>10464</v>
      </c>
      <c r="H30" s="66">
        <f ca="1">INDIRECT("'("&amp;$A$4&amp;")'!i28")</f>
        <v>8797</v>
      </c>
      <c r="I30" s="66">
        <f ca="1">INDIRECT("'("&amp;$A$4&amp;")'!j28")</f>
        <v>9026.4235888939675</v>
      </c>
      <c r="K30" s="62"/>
      <c r="L30" s="62"/>
      <c r="N30" s="65"/>
      <c r="O30" s="65"/>
      <c r="P30" s="65"/>
      <c r="Q30" s="65"/>
      <c r="R30" s="65"/>
      <c r="T30" s="63"/>
      <c r="U30" s="63"/>
      <c r="V30" s="63"/>
      <c r="W30" s="63"/>
      <c r="X30" s="63"/>
      <c r="Y30" s="63"/>
      <c r="Z30" s="63"/>
      <c r="AA30" s="63"/>
      <c r="AB30" s="63"/>
      <c r="AC30" s="63"/>
      <c r="AD30" s="63"/>
    </row>
    <row r="31" spans="1:30" s="57" customFormat="1" ht="15" customHeight="1" x14ac:dyDescent="0.35">
      <c r="A31" s="56" t="s">
        <v>27</v>
      </c>
      <c r="B31" s="66">
        <f ca="1">INDIRECT("'("&amp;$A$4&amp;")'!C29")</f>
        <v>55115</v>
      </c>
      <c r="C31" s="66">
        <f ca="1">INDIRECT("'("&amp;$A$4&amp;")'!d29")</f>
        <v>108642</v>
      </c>
      <c r="D31" s="66">
        <f ca="1">INDIRECT("'("&amp;$A$4&amp;")'!e29")</f>
        <v>16238</v>
      </c>
      <c r="E31" s="66">
        <f ca="1">INDIRECT("'("&amp;$A$4&amp;")'!f29")</f>
        <v>32745</v>
      </c>
      <c r="F31" s="66" t="str">
        <f ca="1">INDIRECT("'("&amp;$A$4&amp;")'!g29")</f>
        <v>N/a</v>
      </c>
      <c r="G31" s="66" t="str">
        <f ca="1">INDIRECT("'("&amp;$A$4&amp;")'!h29")</f>
        <v>N/a</v>
      </c>
      <c r="H31" s="66">
        <f ca="1">INDIRECT("'("&amp;$A$4&amp;")'!i29")</f>
        <v>18961</v>
      </c>
      <c r="I31" s="66">
        <f ca="1">INDIRECT("'("&amp;$A$4&amp;")'!j29")</f>
        <v>13940.5</v>
      </c>
      <c r="K31" s="62"/>
      <c r="L31" s="62"/>
      <c r="N31" s="65"/>
      <c r="O31" s="65"/>
      <c r="P31" s="65"/>
      <c r="Q31" s="65"/>
      <c r="R31" s="65"/>
      <c r="T31" s="63"/>
      <c r="U31" s="63"/>
      <c r="V31" s="63"/>
      <c r="W31" s="63"/>
      <c r="X31" s="63"/>
      <c r="Y31" s="63"/>
      <c r="Z31" s="63"/>
      <c r="AA31" s="63"/>
      <c r="AB31" s="63"/>
      <c r="AC31" s="63"/>
      <c r="AD31" s="63"/>
    </row>
    <row r="32" spans="1:30" s="57" customFormat="1" ht="15" customHeight="1" x14ac:dyDescent="0.35">
      <c r="A32" s="57" t="s">
        <v>93</v>
      </c>
      <c r="B32" s="66">
        <f ca="1">INDIRECT("'("&amp;$A$4&amp;")'!C30")</f>
        <v>11585</v>
      </c>
      <c r="C32" s="66">
        <f ca="1">INDIRECT("'("&amp;$A$4&amp;")'!d30")</f>
        <v>21355.93</v>
      </c>
      <c r="D32" s="66">
        <f ca="1">INDIRECT("'("&amp;$A$4&amp;")'!e30")</f>
        <v>6003</v>
      </c>
      <c r="E32" s="66">
        <f ca="1">INDIRECT("'("&amp;$A$4&amp;")'!f30")</f>
        <v>10236</v>
      </c>
      <c r="F32" s="66">
        <f ca="1">INDIRECT("'("&amp;$A$4&amp;")'!g30")</f>
        <v>1502</v>
      </c>
      <c r="G32" s="66">
        <f ca="1">INDIRECT("'("&amp;$A$4&amp;")'!h30")</f>
        <v>2503.15</v>
      </c>
      <c r="H32" s="66">
        <f ca="1">INDIRECT("'("&amp;$A$4&amp;")'!i30")</f>
        <v>201</v>
      </c>
      <c r="I32" s="66">
        <f ca="1">INDIRECT("'("&amp;$A$4&amp;")'!j30")</f>
        <v>149.66999999999999</v>
      </c>
      <c r="K32" s="62"/>
      <c r="L32" s="62"/>
      <c r="N32" s="65"/>
      <c r="O32" s="65"/>
      <c r="P32" s="65"/>
      <c r="Q32" s="65"/>
      <c r="R32" s="65"/>
      <c r="T32" s="63"/>
      <c r="U32" s="63"/>
      <c r="V32" s="63"/>
      <c r="W32" s="63"/>
      <c r="X32" s="63"/>
      <c r="Y32" s="63"/>
      <c r="Z32" s="63"/>
      <c r="AA32" s="63"/>
      <c r="AB32" s="63"/>
      <c r="AC32" s="63"/>
      <c r="AD32" s="63"/>
    </row>
    <row r="33" spans="1:30" s="57" customFormat="1" ht="15" customHeight="1" x14ac:dyDescent="0.35">
      <c r="A33" s="57" t="s">
        <v>28</v>
      </c>
      <c r="B33" s="66">
        <f ca="1">INDIRECT("'("&amp;$A$4&amp;")'!C31")</f>
        <v>3868</v>
      </c>
      <c r="C33" s="66">
        <f ca="1">INDIRECT("'("&amp;$A$4&amp;")'!d31")</f>
        <v>9487</v>
      </c>
      <c r="D33" s="66">
        <f ca="1">INDIRECT("'("&amp;$A$4&amp;")'!e31")</f>
        <v>986</v>
      </c>
      <c r="E33" s="66">
        <f ca="1">INDIRECT("'("&amp;$A$4&amp;")'!f31")</f>
        <v>2902</v>
      </c>
      <c r="F33" s="66" t="str">
        <f ca="1">INDIRECT("'("&amp;$A$4&amp;")'!g31")</f>
        <v>N/a</v>
      </c>
      <c r="G33" s="66" t="str">
        <f ca="1">INDIRECT("'("&amp;$A$4&amp;")'!h31")</f>
        <v>N/a</v>
      </c>
      <c r="H33" s="66">
        <f ca="1">INDIRECT("'("&amp;$A$4&amp;")'!i31")</f>
        <v>0</v>
      </c>
      <c r="I33" s="66">
        <f ca="1">INDIRECT("'("&amp;$A$4&amp;")'!j31")</f>
        <v>0</v>
      </c>
      <c r="K33" s="62"/>
      <c r="L33" s="62"/>
      <c r="N33" s="65"/>
      <c r="O33" s="65"/>
      <c r="P33" s="65"/>
      <c r="Q33" s="65"/>
      <c r="R33" s="65"/>
      <c r="T33" s="63"/>
      <c r="U33" s="63"/>
      <c r="V33" s="63"/>
      <c r="W33" s="63"/>
      <c r="X33" s="63"/>
      <c r="Y33" s="63"/>
      <c r="Z33" s="63"/>
      <c r="AA33" s="63"/>
      <c r="AB33" s="63"/>
      <c r="AC33" s="63"/>
      <c r="AD33" s="63"/>
    </row>
    <row r="34" spans="1:30" s="57" customFormat="1" ht="15" customHeight="1" x14ac:dyDescent="0.35">
      <c r="A34" s="56" t="s">
        <v>29</v>
      </c>
      <c r="B34" s="66">
        <f ca="1">INDIRECT("'("&amp;$A$4&amp;")'!C32")</f>
        <v>3519</v>
      </c>
      <c r="C34" s="66">
        <f ca="1">INDIRECT("'("&amp;$A$4&amp;")'!d32")</f>
        <v>9308.5</v>
      </c>
      <c r="D34" s="66">
        <f ca="1">INDIRECT("'("&amp;$A$4&amp;")'!e32")</f>
        <v>1335</v>
      </c>
      <c r="E34" s="66">
        <f ca="1">INDIRECT("'("&amp;$A$4&amp;")'!f32")</f>
        <v>2430.1666666666665</v>
      </c>
      <c r="F34" s="66">
        <f ca="1">INDIRECT("'("&amp;$A$4&amp;")'!g32")</f>
        <v>19</v>
      </c>
      <c r="G34" s="66">
        <f ca="1">INDIRECT("'("&amp;$A$4&amp;")'!h32")</f>
        <v>96.4</v>
      </c>
      <c r="H34" s="66">
        <f ca="1">INDIRECT("'("&amp;$A$4&amp;")'!i32")</f>
        <v>441</v>
      </c>
      <c r="I34" s="66">
        <f ca="1">INDIRECT("'("&amp;$A$4&amp;")'!j32")</f>
        <v>286.60000000000002</v>
      </c>
      <c r="K34" s="62"/>
      <c r="L34" s="62"/>
      <c r="N34" s="65"/>
      <c r="O34" s="65"/>
      <c r="P34" s="65"/>
      <c r="Q34" s="65"/>
      <c r="R34" s="65"/>
      <c r="T34" s="63"/>
      <c r="U34" s="63"/>
      <c r="V34" s="63"/>
      <c r="W34" s="63"/>
      <c r="X34" s="63"/>
      <c r="Y34" s="63"/>
      <c r="Z34" s="63"/>
      <c r="AA34" s="63"/>
      <c r="AB34" s="63"/>
      <c r="AC34" s="63"/>
      <c r="AD34" s="63"/>
    </row>
    <row r="35" spans="1:30" s="57" customFormat="1" ht="15" customHeight="1" x14ac:dyDescent="0.35">
      <c r="A35" s="57" t="s">
        <v>30</v>
      </c>
      <c r="B35" s="66">
        <f ca="1">INDIRECT("'("&amp;$A$4&amp;")'!C33")</f>
        <v>23347</v>
      </c>
      <c r="C35" s="66">
        <f ca="1">INDIRECT("'("&amp;$A$4&amp;")'!d33")</f>
        <v>36116</v>
      </c>
      <c r="D35" s="66">
        <f ca="1">INDIRECT("'("&amp;$A$4&amp;")'!e33")</f>
        <v>6649</v>
      </c>
      <c r="E35" s="66">
        <f ca="1">INDIRECT("'("&amp;$A$4&amp;")'!f33")</f>
        <v>10306</v>
      </c>
      <c r="F35" s="66">
        <f ca="1">INDIRECT("'("&amp;$A$4&amp;")'!g33")</f>
        <v>1723</v>
      </c>
      <c r="G35" s="66">
        <f ca="1">INDIRECT("'("&amp;$A$4&amp;")'!h33")</f>
        <v>2671</v>
      </c>
      <c r="H35" s="66">
        <f ca="1">INDIRECT("'("&amp;$A$4&amp;")'!i33")</f>
        <v>2896</v>
      </c>
      <c r="I35" s="66">
        <f ca="1">INDIRECT("'("&amp;$A$4&amp;")'!j33")</f>
        <v>1535</v>
      </c>
      <c r="K35" s="62"/>
      <c r="L35" s="62"/>
      <c r="N35" s="65"/>
      <c r="O35" s="65"/>
      <c r="P35" s="65"/>
      <c r="Q35" s="65"/>
      <c r="R35" s="65"/>
      <c r="T35" s="63"/>
      <c r="U35" s="63"/>
      <c r="V35" s="63"/>
      <c r="W35" s="63"/>
      <c r="X35" s="63"/>
      <c r="Y35" s="63"/>
      <c r="Z35" s="63"/>
      <c r="AA35" s="63"/>
      <c r="AB35" s="63"/>
      <c r="AC35" s="63"/>
      <c r="AD35" s="63"/>
    </row>
    <row r="36" spans="1:30" s="57" customFormat="1" ht="15" customHeight="1" x14ac:dyDescent="0.35">
      <c r="A36" s="57" t="s">
        <v>94</v>
      </c>
      <c r="B36" s="66">
        <f ca="1">INDIRECT("'("&amp;$A$4&amp;")'!C34")</f>
        <v>47</v>
      </c>
      <c r="C36" s="66">
        <f ca="1">INDIRECT("'("&amp;$A$4&amp;")'!d34")</f>
        <v>25</v>
      </c>
      <c r="D36" s="66" t="str">
        <f ca="1">INDIRECT("'("&amp;$A$4&amp;")'!e34")</f>
        <v>N/a</v>
      </c>
      <c r="E36" s="66" t="str">
        <f ca="1">INDIRECT("'("&amp;$A$4&amp;")'!f34")</f>
        <v>N/a</v>
      </c>
      <c r="F36" s="66" t="str">
        <f ca="1">INDIRECT("'("&amp;$A$4&amp;")'!g34")</f>
        <v>N/a</v>
      </c>
      <c r="G36" s="66" t="str">
        <f ca="1">INDIRECT("'("&amp;$A$4&amp;")'!h34")</f>
        <v>N/a</v>
      </c>
      <c r="H36" s="66">
        <f ca="1">INDIRECT("'("&amp;$A$4&amp;")'!i34")</f>
        <v>0</v>
      </c>
      <c r="I36" s="66">
        <f ca="1">INDIRECT("'("&amp;$A$4&amp;")'!j34")</f>
        <v>0</v>
      </c>
      <c r="K36" s="62"/>
      <c r="L36" s="62"/>
      <c r="N36" s="65"/>
      <c r="O36" s="65"/>
      <c r="P36" s="65"/>
      <c r="Q36" s="65"/>
      <c r="R36" s="65"/>
      <c r="T36" s="63"/>
      <c r="U36" s="63"/>
      <c r="V36" s="63"/>
      <c r="W36" s="63"/>
      <c r="X36" s="63"/>
      <c r="Y36" s="63"/>
      <c r="Z36" s="63"/>
      <c r="AA36" s="63"/>
      <c r="AB36" s="63"/>
      <c r="AC36" s="63"/>
      <c r="AD36" s="63"/>
    </row>
    <row r="37" spans="1:30" s="57" customFormat="1" ht="15" customHeight="1" x14ac:dyDescent="0.35">
      <c r="A37" s="57" t="s">
        <v>32</v>
      </c>
      <c r="B37" s="66">
        <f ca="1">INDIRECT("'("&amp;$A$4&amp;")'!C35")</f>
        <v>12919</v>
      </c>
      <c r="C37" s="66">
        <f ca="1">INDIRECT("'("&amp;$A$4&amp;")'!d35")</f>
        <v>18542</v>
      </c>
      <c r="D37" s="66">
        <f ca="1">INDIRECT("'("&amp;$A$4&amp;")'!e35")</f>
        <v>2253</v>
      </c>
      <c r="E37" s="66">
        <f ca="1">INDIRECT("'("&amp;$A$4&amp;")'!f35")</f>
        <v>3319</v>
      </c>
      <c r="F37" s="66">
        <f ca="1">INDIRECT("'("&amp;$A$4&amp;")'!g35")</f>
        <v>3298</v>
      </c>
      <c r="G37" s="66">
        <f ca="1">INDIRECT("'("&amp;$A$4&amp;")'!h35")</f>
        <v>4091</v>
      </c>
      <c r="H37" s="66">
        <f ca="1">INDIRECT("'("&amp;$A$4&amp;")'!i35")</f>
        <v>664</v>
      </c>
      <c r="I37" s="66" t="str">
        <f ca="1">INDIRECT("'("&amp;$A$4&amp;")'!j35")</f>
        <v>N/a</v>
      </c>
      <c r="K37" s="62"/>
      <c r="L37" s="62"/>
      <c r="N37" s="65"/>
      <c r="O37" s="65"/>
      <c r="P37" s="65"/>
      <c r="Q37" s="65"/>
      <c r="R37" s="65"/>
      <c r="T37" s="63"/>
      <c r="U37" s="63"/>
      <c r="V37" s="63"/>
      <c r="W37" s="63"/>
      <c r="X37" s="63"/>
      <c r="Y37" s="63"/>
      <c r="Z37" s="63"/>
      <c r="AA37" s="63"/>
      <c r="AB37" s="63"/>
      <c r="AC37" s="63"/>
      <c r="AD37" s="63"/>
    </row>
    <row r="38" spans="1:30" s="57" customFormat="1" ht="15" customHeight="1" x14ac:dyDescent="0.35">
      <c r="A38" s="57" t="s">
        <v>33</v>
      </c>
      <c r="B38" s="66">
        <f ca="1">INDIRECT("'("&amp;$A$4&amp;")'!C36")</f>
        <v>54680</v>
      </c>
      <c r="C38" s="66">
        <f ca="1">INDIRECT("'("&amp;$A$4&amp;")'!d36")</f>
        <v>73252</v>
      </c>
      <c r="D38" s="66">
        <f ca="1">INDIRECT("'("&amp;$A$4&amp;")'!e36")</f>
        <v>22674</v>
      </c>
      <c r="E38" s="66">
        <f ca="1">INDIRECT("'("&amp;$A$4&amp;")'!f36")</f>
        <v>31512</v>
      </c>
      <c r="F38" s="66">
        <f ca="1">INDIRECT("'("&amp;$A$4&amp;")'!g36")</f>
        <v>12522</v>
      </c>
      <c r="G38" s="66">
        <f ca="1">INDIRECT("'("&amp;$A$4&amp;")'!h36")</f>
        <v>18090</v>
      </c>
      <c r="H38" s="66">
        <f ca="1">INDIRECT("'("&amp;$A$4&amp;")'!i36")</f>
        <v>562</v>
      </c>
      <c r="I38" s="66">
        <f ca="1">INDIRECT("'("&amp;$A$4&amp;")'!j36")</f>
        <v>378</v>
      </c>
      <c r="K38" s="62"/>
      <c r="L38" s="62"/>
      <c r="N38" s="65"/>
      <c r="O38" s="65"/>
      <c r="P38" s="65"/>
      <c r="Q38" s="65"/>
      <c r="R38" s="65"/>
      <c r="T38" s="63"/>
      <c r="U38" s="63"/>
      <c r="V38" s="63"/>
      <c r="W38" s="63"/>
      <c r="X38" s="63"/>
      <c r="Y38" s="63"/>
      <c r="Z38" s="63"/>
      <c r="AA38" s="63"/>
      <c r="AB38" s="63"/>
      <c r="AC38" s="63"/>
      <c r="AD38" s="63"/>
    </row>
    <row r="39" spans="1:30" s="57" customFormat="1" ht="15" customHeight="1" x14ac:dyDescent="0.35">
      <c r="A39" s="56" t="s">
        <v>34</v>
      </c>
      <c r="B39" s="66">
        <f ca="1">INDIRECT("'("&amp;$A$4&amp;")'!C37")</f>
        <v>4235</v>
      </c>
      <c r="C39" s="66">
        <f ca="1">INDIRECT("'("&amp;$A$4&amp;")'!d37")</f>
        <v>7411.25</v>
      </c>
      <c r="D39" s="66">
        <f ca="1">INDIRECT("'("&amp;$A$4&amp;")'!e37")</f>
        <v>1238</v>
      </c>
      <c r="E39" s="66">
        <f ca="1">INDIRECT("'("&amp;$A$4&amp;")'!f37")</f>
        <v>2166.5</v>
      </c>
      <c r="F39" s="66">
        <f ca="1">INDIRECT("'("&amp;$A$4&amp;")'!g37")</f>
        <v>716</v>
      </c>
      <c r="G39" s="66">
        <f ca="1">INDIRECT("'("&amp;$A$4&amp;")'!h37")</f>
        <v>1253</v>
      </c>
      <c r="H39" s="66">
        <f ca="1">INDIRECT("'("&amp;$A$4&amp;")'!i37")</f>
        <v>86</v>
      </c>
      <c r="I39" s="66">
        <f ca="1">INDIRECT("'("&amp;$A$4&amp;")'!j37")</f>
        <v>150.5</v>
      </c>
      <c r="K39" s="62"/>
      <c r="L39" s="62"/>
      <c r="N39" s="65"/>
      <c r="O39" s="65"/>
      <c r="P39" s="65"/>
      <c r="Q39" s="65"/>
      <c r="R39" s="65"/>
      <c r="T39" s="63"/>
      <c r="U39" s="63"/>
      <c r="V39" s="63"/>
      <c r="W39" s="63"/>
      <c r="X39" s="63"/>
      <c r="Y39" s="63"/>
      <c r="Z39" s="63"/>
      <c r="AA39" s="63"/>
      <c r="AB39" s="63"/>
      <c r="AC39" s="63"/>
      <c r="AD39" s="63"/>
    </row>
    <row r="40" spans="1:30" s="57" customFormat="1" ht="15" customHeight="1" x14ac:dyDescent="0.35">
      <c r="A40" s="56" t="s">
        <v>35</v>
      </c>
      <c r="B40" s="66">
        <f ca="1">INDIRECT("'("&amp;$A$4&amp;")'!C38")</f>
        <v>9300</v>
      </c>
      <c r="C40" s="66">
        <f ca="1">INDIRECT("'("&amp;$A$4&amp;")'!d38")</f>
        <v>13900</v>
      </c>
      <c r="D40" s="66" t="str">
        <f ca="1">INDIRECT("'("&amp;$A$4&amp;")'!e38")</f>
        <v>N/a</v>
      </c>
      <c r="E40" s="66" t="str">
        <f ca="1">INDIRECT("'("&amp;$A$4&amp;")'!f38")</f>
        <v>N/a</v>
      </c>
      <c r="F40" s="66" t="str">
        <f ca="1">INDIRECT("'("&amp;$A$4&amp;")'!g38")</f>
        <v>N/a</v>
      </c>
      <c r="G40" s="66" t="str">
        <f ca="1">INDIRECT("'("&amp;$A$4&amp;")'!h38")</f>
        <v>N/a</v>
      </c>
      <c r="H40" s="66" t="str">
        <f ca="1">INDIRECT("'("&amp;$A$4&amp;")'!i38")</f>
        <v>N/a</v>
      </c>
      <c r="I40" s="66" t="str">
        <f ca="1">INDIRECT("'("&amp;$A$4&amp;")'!j38")</f>
        <v>N/a</v>
      </c>
      <c r="K40" s="62"/>
      <c r="L40" s="62"/>
      <c r="N40" s="65"/>
      <c r="O40" s="65"/>
      <c r="P40" s="65"/>
      <c r="Q40" s="65"/>
      <c r="R40" s="65"/>
      <c r="T40" s="63"/>
      <c r="U40" s="63"/>
      <c r="V40" s="63"/>
      <c r="W40" s="63"/>
      <c r="X40" s="63"/>
      <c r="Y40" s="63"/>
      <c r="Z40" s="63"/>
      <c r="AA40" s="63"/>
      <c r="AB40" s="63"/>
      <c r="AC40" s="63"/>
      <c r="AD40" s="63"/>
    </row>
    <row r="41" spans="1:30" s="57" customFormat="1" ht="15" customHeight="1" x14ac:dyDescent="0.35">
      <c r="A41" s="56" t="s">
        <v>36</v>
      </c>
      <c r="B41" s="66">
        <f ca="1">INDIRECT("'("&amp;$A$4&amp;")'!C39")</f>
        <v>70477</v>
      </c>
      <c r="C41" s="66">
        <f ca="1">INDIRECT("'("&amp;$A$4&amp;")'!d39")</f>
        <v>110181</v>
      </c>
      <c r="D41" s="66">
        <f ca="1">INDIRECT("'("&amp;$A$4&amp;")'!e39")</f>
        <v>25134</v>
      </c>
      <c r="E41" s="66">
        <f ca="1">INDIRECT("'("&amp;$A$4&amp;")'!f39")</f>
        <v>39294</v>
      </c>
      <c r="F41" s="66">
        <f ca="1">INDIRECT("'("&amp;$A$4&amp;")'!g39")</f>
        <v>7924</v>
      </c>
      <c r="G41" s="66">
        <f ca="1">INDIRECT("'("&amp;$A$4&amp;")'!h39")</f>
        <v>12388</v>
      </c>
      <c r="H41" s="66">
        <f ca="1">INDIRECT("'("&amp;$A$4&amp;")'!i39")</f>
        <v>4459</v>
      </c>
      <c r="I41" s="66">
        <f ca="1">INDIRECT("'("&amp;$A$4&amp;")'!j39")</f>
        <v>6689</v>
      </c>
      <c r="K41" s="62"/>
      <c r="L41" s="62"/>
      <c r="N41" s="65"/>
      <c r="O41" s="65"/>
      <c r="P41" s="65"/>
      <c r="Q41" s="65"/>
      <c r="R41" s="65"/>
      <c r="T41" s="63"/>
      <c r="U41" s="63"/>
      <c r="V41" s="63"/>
      <c r="W41" s="63"/>
      <c r="X41" s="63"/>
      <c r="Y41" s="63"/>
      <c r="Z41" s="63"/>
      <c r="AA41" s="63"/>
      <c r="AB41" s="63"/>
      <c r="AC41" s="63"/>
      <c r="AD41" s="63"/>
    </row>
    <row r="42" spans="1:30" s="57" customFormat="1" ht="15" customHeight="1" x14ac:dyDescent="0.35">
      <c r="A42" s="56" t="s">
        <v>37</v>
      </c>
      <c r="B42" s="66">
        <f ca="1">INDIRECT("'("&amp;$A$4&amp;")'!C40")</f>
        <v>2175</v>
      </c>
      <c r="C42" s="66">
        <f ca="1">INDIRECT("'("&amp;$A$4&amp;")'!d40")</f>
        <v>2505</v>
      </c>
      <c r="D42" s="66">
        <f ca="1">INDIRECT("'("&amp;$A$4&amp;")'!e40")</f>
        <v>1450</v>
      </c>
      <c r="E42" s="66">
        <f ca="1">INDIRECT("'("&amp;$A$4&amp;")'!f40")</f>
        <v>1669</v>
      </c>
      <c r="F42" s="66" t="str">
        <f ca="1">INDIRECT("'("&amp;$A$4&amp;")'!g40")</f>
        <v>N/a</v>
      </c>
      <c r="G42" s="66" t="str">
        <f ca="1">INDIRECT("'("&amp;$A$4&amp;")'!h40")</f>
        <v>N/a</v>
      </c>
      <c r="H42" s="66">
        <f ca="1">INDIRECT("'("&amp;$A$4&amp;")'!i40")</f>
        <v>476</v>
      </c>
      <c r="I42" s="66">
        <f ca="1">INDIRECT("'("&amp;$A$4&amp;")'!j40")</f>
        <v>534</v>
      </c>
      <c r="K42" s="62"/>
      <c r="L42" s="62"/>
      <c r="N42" s="65"/>
      <c r="O42" s="65"/>
      <c r="P42" s="65"/>
      <c r="Q42" s="65"/>
      <c r="R42" s="65"/>
      <c r="T42" s="63"/>
      <c r="U42" s="63"/>
      <c r="V42" s="63"/>
      <c r="W42" s="63"/>
      <c r="X42" s="63"/>
      <c r="Y42" s="63"/>
      <c r="Z42" s="63"/>
      <c r="AA42" s="63"/>
      <c r="AB42" s="63"/>
      <c r="AC42" s="63"/>
      <c r="AD42" s="63"/>
    </row>
    <row r="43" spans="1:30" s="57" customFormat="1" ht="15" customHeight="1" x14ac:dyDescent="0.35">
      <c r="A43" s="56" t="s">
        <v>38</v>
      </c>
      <c r="B43" s="66">
        <f ca="1">INDIRECT("'("&amp;$A$4&amp;")'!C41")</f>
        <v>4870</v>
      </c>
      <c r="C43" s="66">
        <f ca="1">INDIRECT("'("&amp;$A$4&amp;")'!d41")</f>
        <v>6353</v>
      </c>
      <c r="D43" s="66">
        <f ca="1">INDIRECT("'("&amp;$A$4&amp;")'!e41")</f>
        <v>2642</v>
      </c>
      <c r="E43" s="66">
        <f ca="1">INDIRECT("'("&amp;$A$4&amp;")'!f41")</f>
        <v>3402</v>
      </c>
      <c r="F43" s="66" t="str">
        <f ca="1">INDIRECT("'("&amp;$A$4&amp;")'!g41")</f>
        <v>N/a</v>
      </c>
      <c r="G43" s="66" t="str">
        <f ca="1">INDIRECT("'("&amp;$A$4&amp;")'!h41")</f>
        <v>N/a</v>
      </c>
      <c r="H43" s="66">
        <f ca="1">INDIRECT("'("&amp;$A$4&amp;")'!i41")</f>
        <v>357</v>
      </c>
      <c r="I43" s="66">
        <f ca="1">INDIRECT("'("&amp;$A$4&amp;")'!j41")</f>
        <v>97</v>
      </c>
      <c r="K43" s="62"/>
      <c r="L43" s="62"/>
      <c r="N43" s="65"/>
      <c r="O43" s="65"/>
      <c r="P43" s="65"/>
      <c r="Q43" s="65"/>
      <c r="R43" s="65"/>
      <c r="T43" s="63"/>
      <c r="U43" s="63"/>
      <c r="V43" s="63"/>
      <c r="W43" s="63"/>
      <c r="X43" s="63"/>
      <c r="Y43" s="63"/>
      <c r="Z43" s="63"/>
      <c r="AA43" s="63"/>
      <c r="AB43" s="63"/>
      <c r="AC43" s="63"/>
      <c r="AD43" s="63"/>
    </row>
    <row r="44" spans="1:30" s="57" customFormat="1" ht="15" customHeight="1" x14ac:dyDescent="0.35">
      <c r="A44" s="56" t="s">
        <v>39</v>
      </c>
      <c r="B44" s="66">
        <f ca="1">INDIRECT("'("&amp;$A$4&amp;")'!C42")</f>
        <v>11262</v>
      </c>
      <c r="C44" s="66">
        <f ca="1">INDIRECT("'("&amp;$A$4&amp;")'!d42")</f>
        <v>22524</v>
      </c>
      <c r="D44" s="66">
        <f ca="1">INDIRECT("'("&amp;$A$4&amp;")'!e42")</f>
        <v>2959</v>
      </c>
      <c r="E44" s="66">
        <f ca="1">INDIRECT("'("&amp;$A$4&amp;")'!f42")</f>
        <v>5918</v>
      </c>
      <c r="F44" s="66">
        <f ca="1">INDIRECT("'("&amp;$A$4&amp;")'!g42")</f>
        <v>1175</v>
      </c>
      <c r="G44" s="66">
        <f ca="1">INDIRECT("'("&amp;$A$4&amp;")'!h42")</f>
        <v>2938</v>
      </c>
      <c r="H44" s="66">
        <f ca="1">INDIRECT("'("&amp;$A$4&amp;")'!i42")</f>
        <v>459</v>
      </c>
      <c r="I44" s="66">
        <f ca="1">INDIRECT("'("&amp;$A$4&amp;")'!j42")</f>
        <v>1148</v>
      </c>
      <c r="K44" s="62"/>
      <c r="L44" s="62"/>
      <c r="N44" s="65"/>
      <c r="O44" s="65"/>
      <c r="P44" s="65"/>
      <c r="Q44" s="65"/>
      <c r="R44" s="65"/>
      <c r="T44" s="63"/>
      <c r="U44" s="63"/>
      <c r="V44" s="63"/>
      <c r="W44" s="63"/>
      <c r="X44" s="63"/>
      <c r="Y44" s="63"/>
      <c r="Z44" s="63"/>
      <c r="AA44" s="63"/>
      <c r="AB44" s="63"/>
      <c r="AC44" s="63"/>
      <c r="AD44" s="63"/>
    </row>
    <row r="45" spans="1:30" s="57" customFormat="1" ht="15" customHeight="1" x14ac:dyDescent="0.35">
      <c r="A45" s="56" t="s">
        <v>40</v>
      </c>
      <c r="B45" s="66">
        <f ca="1">INDIRECT("'("&amp;$A$4&amp;")'!C43")</f>
        <v>10291</v>
      </c>
      <c r="C45" s="66">
        <f ca="1">INDIRECT("'("&amp;$A$4&amp;")'!d43")</f>
        <v>10564.5</v>
      </c>
      <c r="D45" s="66">
        <f ca="1">INDIRECT("'("&amp;$A$4&amp;")'!e43")</f>
        <v>2999</v>
      </c>
      <c r="E45" s="66">
        <f ca="1">INDIRECT("'("&amp;$A$4&amp;")'!f43")</f>
        <v>3064.5</v>
      </c>
      <c r="F45" s="66">
        <f ca="1">INDIRECT("'("&amp;$A$4&amp;")'!g43")</f>
        <v>396</v>
      </c>
      <c r="G45" s="66">
        <f ca="1">INDIRECT("'("&amp;$A$4&amp;")'!h43")</f>
        <v>431.25</v>
      </c>
      <c r="H45" s="66">
        <f ca="1">INDIRECT("'("&amp;$A$4&amp;")'!i43")</f>
        <v>273</v>
      </c>
      <c r="I45" s="66">
        <f ca="1">INDIRECT("'("&amp;$A$4&amp;")'!j43")</f>
        <v>237.25</v>
      </c>
      <c r="K45" s="62"/>
      <c r="L45" s="62"/>
      <c r="N45" s="65"/>
      <c r="O45" s="65"/>
      <c r="P45" s="65"/>
      <c r="Q45" s="65"/>
      <c r="R45" s="65"/>
      <c r="T45" s="63"/>
      <c r="U45" s="63"/>
      <c r="V45" s="63"/>
      <c r="W45" s="63"/>
      <c r="X45" s="63"/>
      <c r="Y45" s="63"/>
      <c r="Z45" s="63"/>
      <c r="AA45" s="63"/>
      <c r="AB45" s="63"/>
      <c r="AC45" s="63"/>
      <c r="AD45" s="63"/>
    </row>
    <row r="46" spans="1:30" s="57" customFormat="1" ht="15" customHeight="1" x14ac:dyDescent="0.35">
      <c r="A46" s="56" t="s">
        <v>41</v>
      </c>
      <c r="B46" s="66">
        <f ca="1">INDIRECT("'("&amp;$A$4&amp;")'!C44")</f>
        <v>4799</v>
      </c>
      <c r="C46" s="66">
        <f ca="1">INDIRECT("'("&amp;$A$4&amp;")'!d44")</f>
        <v>13044.5</v>
      </c>
      <c r="D46" s="66">
        <f ca="1">INDIRECT("'("&amp;$A$4&amp;")'!e44")</f>
        <v>2359</v>
      </c>
      <c r="E46" s="66">
        <f ca="1">INDIRECT("'("&amp;$A$4&amp;")'!f44")</f>
        <v>3833.2833333333333</v>
      </c>
      <c r="F46" s="66">
        <f ca="1">INDIRECT("'("&amp;$A$4&amp;")'!g44")</f>
        <v>81</v>
      </c>
      <c r="G46" s="66">
        <f ca="1">INDIRECT("'("&amp;$A$4&amp;")'!h44")</f>
        <v>103.25</v>
      </c>
      <c r="H46" s="66">
        <f ca="1">INDIRECT("'("&amp;$A$4&amp;")'!i44")</f>
        <v>394</v>
      </c>
      <c r="I46" s="66">
        <f ca="1">INDIRECT("'("&amp;$A$4&amp;")'!j44")</f>
        <v>352.16666666666669</v>
      </c>
      <c r="K46" s="62"/>
      <c r="L46" s="62"/>
      <c r="N46" s="65"/>
      <c r="O46" s="65"/>
      <c r="P46" s="65"/>
      <c r="Q46" s="65"/>
      <c r="R46" s="65"/>
      <c r="T46" s="63"/>
      <c r="U46" s="63"/>
      <c r="V46" s="63"/>
      <c r="W46" s="63"/>
      <c r="X46" s="63"/>
      <c r="Y46" s="63"/>
      <c r="Z46" s="63"/>
      <c r="AA46" s="63"/>
      <c r="AB46" s="63"/>
      <c r="AC46" s="63"/>
      <c r="AD46" s="63"/>
    </row>
    <row r="47" spans="1:30" s="57" customFormat="1" ht="15" customHeight="1" x14ac:dyDescent="0.35">
      <c r="A47" s="56" t="s">
        <v>42</v>
      </c>
      <c r="B47" s="66">
        <f ca="1">INDIRECT("'("&amp;$A$4&amp;")'!C45")</f>
        <v>1880</v>
      </c>
      <c r="C47" s="66">
        <f ca="1">INDIRECT("'("&amp;$A$4&amp;")'!d45")</f>
        <v>6973</v>
      </c>
      <c r="D47" s="66">
        <f ca="1">INDIRECT("'("&amp;$A$4&amp;")'!e45")</f>
        <v>870</v>
      </c>
      <c r="E47" s="66">
        <f ca="1">INDIRECT("'("&amp;$A$4&amp;")'!f45")</f>
        <v>3484</v>
      </c>
      <c r="F47" s="66" t="str">
        <f ca="1">INDIRECT("'("&amp;$A$4&amp;")'!g45")</f>
        <v>N/a</v>
      </c>
      <c r="G47" s="66" t="str">
        <f ca="1">INDIRECT("'("&amp;$A$4&amp;")'!h45")</f>
        <v>N/a</v>
      </c>
      <c r="H47" s="66">
        <f ca="1">INDIRECT("'("&amp;$A$4&amp;")'!i45")</f>
        <v>58</v>
      </c>
      <c r="I47" s="66">
        <f ca="1">INDIRECT("'("&amp;$A$4&amp;")'!j45")</f>
        <v>155</v>
      </c>
      <c r="K47" s="62"/>
      <c r="L47" s="62"/>
      <c r="N47" s="65"/>
      <c r="O47" s="65"/>
      <c r="P47" s="65"/>
      <c r="Q47" s="65"/>
      <c r="R47" s="65"/>
      <c r="T47" s="63"/>
      <c r="U47" s="63"/>
      <c r="V47" s="63"/>
      <c r="W47" s="63"/>
      <c r="X47" s="63"/>
      <c r="Y47" s="63"/>
      <c r="Z47" s="63"/>
      <c r="AA47" s="63"/>
      <c r="AB47" s="63"/>
      <c r="AC47" s="63"/>
      <c r="AD47" s="63"/>
    </row>
    <row r="48" spans="1:30" s="57" customFormat="1" ht="15" customHeight="1" x14ac:dyDescent="0.35">
      <c r="A48" s="56" t="s">
        <v>43</v>
      </c>
      <c r="B48" s="66">
        <f ca="1">INDIRECT("'("&amp;$A$4&amp;")'!C46")</f>
        <v>1477</v>
      </c>
      <c r="C48" s="66">
        <f ca="1">INDIRECT("'("&amp;$A$4&amp;")'!d46")</f>
        <v>1332</v>
      </c>
      <c r="D48" s="66">
        <f ca="1">INDIRECT("'("&amp;$A$4&amp;")'!e46")</f>
        <v>1025</v>
      </c>
      <c r="E48" s="66">
        <f ca="1">INDIRECT("'("&amp;$A$4&amp;")'!f46")</f>
        <v>1085</v>
      </c>
      <c r="F48" s="66" t="str">
        <f ca="1">INDIRECT("'("&amp;$A$4&amp;")'!g46")</f>
        <v>N/a</v>
      </c>
      <c r="G48" s="66" t="str">
        <f ca="1">INDIRECT("'("&amp;$A$4&amp;")'!h46")</f>
        <v>N/a</v>
      </c>
      <c r="H48" s="66">
        <f ca="1">INDIRECT("'("&amp;$A$4&amp;")'!i46")</f>
        <v>560</v>
      </c>
      <c r="I48" s="66" t="str">
        <f ca="1">INDIRECT("'("&amp;$A$4&amp;")'!j46")</f>
        <v>N/a</v>
      </c>
      <c r="K48" s="62"/>
      <c r="L48" s="62"/>
      <c r="N48" s="65"/>
      <c r="O48" s="65"/>
      <c r="P48" s="65"/>
      <c r="Q48" s="65"/>
      <c r="R48" s="65"/>
      <c r="T48" s="63"/>
      <c r="U48" s="63"/>
      <c r="V48" s="63"/>
      <c r="W48" s="63"/>
      <c r="X48" s="63"/>
      <c r="Y48" s="63"/>
      <c r="Z48" s="63"/>
      <c r="AA48" s="63"/>
      <c r="AB48" s="63"/>
      <c r="AC48" s="63"/>
      <c r="AD48" s="63"/>
    </row>
    <row r="49" spans="1:30" s="57" customFormat="1" ht="15" customHeight="1" x14ac:dyDescent="0.35">
      <c r="A49" s="56" t="s">
        <v>44</v>
      </c>
      <c r="B49" s="66">
        <f ca="1">INDIRECT("'("&amp;$A$4&amp;")'!C47")</f>
        <v>35634</v>
      </c>
      <c r="C49" s="66">
        <f ca="1">INDIRECT("'("&amp;$A$4&amp;")'!d47")</f>
        <v>30050</v>
      </c>
      <c r="D49" s="66">
        <f ca="1">INDIRECT("'("&amp;$A$4&amp;")'!e47")</f>
        <v>13076</v>
      </c>
      <c r="E49" s="66">
        <f ca="1">INDIRECT("'("&amp;$A$4&amp;")'!f47")</f>
        <v>11046</v>
      </c>
      <c r="F49" s="66">
        <f ca="1">INDIRECT("'("&amp;$A$4&amp;")'!g47")</f>
        <v>7214</v>
      </c>
      <c r="G49" s="66">
        <f ca="1">INDIRECT("'("&amp;$A$4&amp;")'!h47")</f>
        <v>6123</v>
      </c>
      <c r="H49" s="66">
        <f ca="1">INDIRECT("'("&amp;$A$4&amp;")'!i47")</f>
        <v>345</v>
      </c>
      <c r="I49" s="66">
        <f ca="1">INDIRECT("'("&amp;$A$4&amp;")'!j47")</f>
        <v>345</v>
      </c>
      <c r="K49" s="62"/>
      <c r="L49" s="62"/>
      <c r="N49" s="65"/>
      <c r="O49" s="65"/>
      <c r="P49" s="65"/>
      <c r="Q49" s="65"/>
      <c r="R49" s="65"/>
      <c r="T49" s="63"/>
      <c r="U49" s="63"/>
      <c r="V49" s="63"/>
      <c r="W49" s="63"/>
      <c r="X49" s="63"/>
      <c r="Y49" s="63"/>
      <c r="Z49" s="63"/>
      <c r="AA49" s="63"/>
      <c r="AB49" s="63"/>
      <c r="AC49" s="63"/>
      <c r="AD49" s="63"/>
    </row>
    <row r="50" spans="1:30" s="57" customFormat="1" ht="15" customHeight="1" x14ac:dyDescent="0.35">
      <c r="A50" s="56" t="s">
        <v>45</v>
      </c>
      <c r="B50" s="66">
        <f ca="1">INDIRECT("'("&amp;$A$4&amp;")'!C48")</f>
        <v>22578</v>
      </c>
      <c r="C50" s="66">
        <f ca="1">INDIRECT("'("&amp;$A$4&amp;")'!d48")</f>
        <v>29245</v>
      </c>
      <c r="D50" s="66">
        <f ca="1">INDIRECT("'("&amp;$A$4&amp;")'!e48")</f>
        <v>10688</v>
      </c>
      <c r="E50" s="66">
        <f ca="1">INDIRECT("'("&amp;$A$4&amp;")'!f48")</f>
        <v>13367</v>
      </c>
      <c r="F50" s="66">
        <f ca="1">INDIRECT("'("&amp;$A$4&amp;")'!g48")</f>
        <v>4930</v>
      </c>
      <c r="G50" s="66">
        <f ca="1">INDIRECT("'("&amp;$A$4&amp;")'!h48")</f>
        <v>6041</v>
      </c>
      <c r="H50" s="66">
        <f ca="1">INDIRECT("'("&amp;$A$4&amp;")'!i48")</f>
        <v>988</v>
      </c>
      <c r="I50" s="66">
        <f ca="1">INDIRECT("'("&amp;$A$4&amp;")'!j48")</f>
        <v>1097</v>
      </c>
      <c r="K50" s="62"/>
      <c r="L50" s="62"/>
      <c r="N50" s="65"/>
      <c r="O50" s="65"/>
      <c r="P50" s="65"/>
      <c r="Q50" s="65"/>
      <c r="R50" s="65"/>
      <c r="T50" s="63"/>
      <c r="U50" s="63"/>
      <c r="V50" s="63"/>
      <c r="W50" s="63"/>
      <c r="X50" s="63"/>
      <c r="Y50" s="63"/>
      <c r="Z50" s="63"/>
      <c r="AA50" s="63"/>
      <c r="AB50" s="63"/>
      <c r="AC50" s="63"/>
      <c r="AD50" s="63"/>
    </row>
    <row r="51" spans="1:30" s="57" customFormat="1" ht="15" customHeight="1" x14ac:dyDescent="0.35">
      <c r="A51" s="56" t="s">
        <v>46</v>
      </c>
      <c r="B51" s="66">
        <f ca="1">INDIRECT("'("&amp;$A$4&amp;")'!C49")</f>
        <v>3894</v>
      </c>
      <c r="C51" s="66">
        <f ca="1">INDIRECT("'("&amp;$A$4&amp;")'!d49")</f>
        <v>10709</v>
      </c>
      <c r="D51" s="66">
        <f ca="1">INDIRECT("'("&amp;$A$4&amp;")'!e49")</f>
        <v>2686</v>
      </c>
      <c r="E51" s="66">
        <f ca="1">INDIRECT("'("&amp;$A$4&amp;")'!f49")</f>
        <v>7741</v>
      </c>
      <c r="F51" s="66">
        <f ca="1">INDIRECT("'("&amp;$A$4&amp;")'!g49")</f>
        <v>188</v>
      </c>
      <c r="G51" s="66">
        <f ca="1">INDIRECT("'("&amp;$A$4&amp;")'!h49")</f>
        <v>581</v>
      </c>
      <c r="H51" s="66" t="str">
        <f ca="1">INDIRECT("'("&amp;$A$4&amp;")'!i49")</f>
        <v>N/a</v>
      </c>
      <c r="I51" s="66" t="str">
        <f ca="1">INDIRECT("'("&amp;$A$4&amp;")'!j49")</f>
        <v>N/a</v>
      </c>
      <c r="K51" s="62"/>
      <c r="L51" s="62"/>
      <c r="N51" s="65"/>
      <c r="O51" s="65"/>
      <c r="P51" s="65"/>
      <c r="Q51" s="65"/>
      <c r="R51" s="65"/>
      <c r="T51" s="63"/>
      <c r="U51" s="63"/>
      <c r="V51" s="63"/>
      <c r="W51" s="63"/>
      <c r="X51" s="63"/>
      <c r="Y51" s="63"/>
      <c r="Z51" s="63"/>
      <c r="AA51" s="63"/>
      <c r="AB51" s="63"/>
      <c r="AC51" s="63"/>
      <c r="AD51" s="63"/>
    </row>
    <row r="52" spans="1:30" s="57" customFormat="1" ht="15" customHeight="1" x14ac:dyDescent="0.35">
      <c r="A52" s="56" t="s">
        <v>47</v>
      </c>
      <c r="B52" s="66">
        <f ca="1">INDIRECT("'("&amp;$A$4&amp;")'!C50")</f>
        <v>5535</v>
      </c>
      <c r="C52" s="66">
        <f ca="1">INDIRECT("'("&amp;$A$4&amp;")'!d50")</f>
        <v>7947</v>
      </c>
      <c r="D52" s="66">
        <f ca="1">INDIRECT("'("&amp;$A$4&amp;")'!e50")</f>
        <v>2840</v>
      </c>
      <c r="E52" s="66">
        <f ca="1">INDIRECT("'("&amp;$A$4&amp;")'!f50")</f>
        <v>4123</v>
      </c>
      <c r="F52" s="66">
        <f ca="1">INDIRECT("'("&amp;$A$4&amp;")'!g50")</f>
        <v>739</v>
      </c>
      <c r="G52" s="66">
        <f ca="1">INDIRECT("'("&amp;$A$4&amp;")'!h50")</f>
        <v>1096</v>
      </c>
      <c r="H52" s="66">
        <f ca="1">INDIRECT("'("&amp;$A$4&amp;")'!i50")</f>
        <v>17</v>
      </c>
      <c r="I52" s="66">
        <f ca="1">INDIRECT("'("&amp;$A$4&amp;")'!j50")</f>
        <v>24</v>
      </c>
      <c r="K52" s="62"/>
      <c r="L52" s="62"/>
      <c r="N52" s="65"/>
      <c r="O52" s="65"/>
      <c r="P52" s="65"/>
      <c r="Q52" s="65"/>
      <c r="R52" s="65"/>
      <c r="T52" s="63"/>
      <c r="U52" s="63"/>
      <c r="V52" s="63"/>
      <c r="W52" s="63"/>
      <c r="X52" s="63"/>
      <c r="Y52" s="63"/>
      <c r="Z52" s="63"/>
      <c r="AA52" s="63"/>
      <c r="AB52" s="63"/>
      <c r="AC52" s="63"/>
      <c r="AD52" s="63"/>
    </row>
    <row r="53" spans="1:30" s="57" customFormat="1" ht="15" customHeight="1" x14ac:dyDescent="0.35">
      <c r="A53" s="56" t="s">
        <v>48</v>
      </c>
      <c r="B53" s="66">
        <f ca="1">INDIRECT("'("&amp;$A$4&amp;")'!C51")</f>
        <v>30153</v>
      </c>
      <c r="C53" s="66">
        <f ca="1">INDIRECT("'("&amp;$A$4&amp;")'!d51")</f>
        <v>11737</v>
      </c>
      <c r="D53" s="66">
        <f ca="1">INDIRECT("'("&amp;$A$4&amp;")'!e51")</f>
        <v>13870</v>
      </c>
      <c r="E53" s="66">
        <f ca="1">INDIRECT("'("&amp;$A$4&amp;")'!f51")</f>
        <v>5412</v>
      </c>
      <c r="F53" s="66">
        <f ca="1">INDIRECT("'("&amp;$A$4&amp;")'!g51")</f>
        <v>3263</v>
      </c>
      <c r="G53" s="66">
        <f ca="1">INDIRECT("'("&amp;$A$4&amp;")'!h51")</f>
        <v>1397</v>
      </c>
      <c r="H53" s="66">
        <f ca="1">INDIRECT("'("&amp;$A$4&amp;")'!i51")</f>
        <v>106</v>
      </c>
      <c r="I53" s="66">
        <f ca="1">INDIRECT("'("&amp;$A$4&amp;")'!j51")</f>
        <v>35</v>
      </c>
      <c r="K53" s="62"/>
      <c r="L53" s="62"/>
      <c r="N53" s="65"/>
      <c r="O53" s="65"/>
      <c r="P53" s="65"/>
      <c r="Q53" s="65"/>
      <c r="R53" s="65"/>
      <c r="T53" s="63"/>
      <c r="U53" s="63"/>
      <c r="V53" s="63"/>
      <c r="W53" s="63"/>
      <c r="X53" s="63"/>
      <c r="Y53" s="63"/>
      <c r="Z53" s="63"/>
      <c r="AA53" s="63"/>
      <c r="AB53" s="63"/>
      <c r="AC53" s="63"/>
      <c r="AD53" s="63"/>
    </row>
    <row r="54" spans="1:30" s="57" customFormat="1" ht="15" customHeight="1" x14ac:dyDescent="0.35">
      <c r="A54" s="56" t="s">
        <v>49</v>
      </c>
      <c r="B54" s="66">
        <f ca="1">INDIRECT("'("&amp;$A$4&amp;")'!C52")</f>
        <v>10893</v>
      </c>
      <c r="C54" s="66">
        <f ca="1">INDIRECT("'("&amp;$A$4&amp;")'!d52")</f>
        <v>20999</v>
      </c>
      <c r="D54" s="66">
        <f ca="1">INDIRECT("'("&amp;$A$4&amp;")'!e52")</f>
        <v>3781</v>
      </c>
      <c r="E54" s="66">
        <f ca="1">INDIRECT("'("&amp;$A$4&amp;")'!f52")</f>
        <v>7800</v>
      </c>
      <c r="F54" s="66">
        <f ca="1">INDIRECT("'("&amp;$A$4&amp;")'!g52")</f>
        <v>1747</v>
      </c>
      <c r="G54" s="66">
        <f ca="1">INDIRECT("'("&amp;$A$4&amp;")'!h52")</f>
        <v>860</v>
      </c>
      <c r="H54" s="66">
        <f ca="1">INDIRECT("'("&amp;$A$4&amp;")'!i52")</f>
        <v>525</v>
      </c>
      <c r="I54" s="66" t="str">
        <f ca="1">INDIRECT("'("&amp;$A$4&amp;")'!j52")</f>
        <v>N/a</v>
      </c>
      <c r="K54" s="62"/>
      <c r="L54" s="62"/>
      <c r="N54" s="65"/>
      <c r="O54" s="65"/>
      <c r="P54" s="65"/>
      <c r="Q54" s="65"/>
      <c r="R54" s="65"/>
      <c r="T54" s="63"/>
      <c r="U54" s="63"/>
      <c r="V54" s="63"/>
      <c r="W54" s="63"/>
      <c r="X54" s="63"/>
      <c r="Y54" s="63"/>
      <c r="Z54" s="63"/>
      <c r="AA54" s="63"/>
      <c r="AB54" s="63"/>
      <c r="AC54" s="63"/>
      <c r="AD54" s="63"/>
    </row>
    <row r="55" spans="1:30" s="57" customFormat="1" ht="15" customHeight="1" x14ac:dyDescent="0.35">
      <c r="A55" s="56" t="s">
        <v>50</v>
      </c>
      <c r="B55" s="66">
        <f ca="1">INDIRECT("'("&amp;$A$4&amp;")'!C53")</f>
        <v>40908</v>
      </c>
      <c r="C55" s="66">
        <f ca="1">INDIRECT("'("&amp;$A$4&amp;")'!d53")</f>
        <v>82816</v>
      </c>
      <c r="D55" s="66">
        <f ca="1">INDIRECT("'("&amp;$A$4&amp;")'!e53")</f>
        <v>14651</v>
      </c>
      <c r="E55" s="66">
        <f ca="1">INDIRECT("'("&amp;$A$4&amp;")'!f53")</f>
        <v>29302</v>
      </c>
      <c r="F55" s="66">
        <f ca="1">INDIRECT("'("&amp;$A$4&amp;")'!g53")</f>
        <v>11502</v>
      </c>
      <c r="G55" s="66">
        <f ca="1">INDIRECT("'("&amp;$A$4&amp;")'!h53")</f>
        <v>23300</v>
      </c>
      <c r="H55" s="66" t="str">
        <f ca="1">INDIRECT("'("&amp;$A$4&amp;")'!i53")</f>
        <v>N/a</v>
      </c>
      <c r="I55" s="66" t="str">
        <f ca="1">INDIRECT("'("&amp;$A$4&amp;")'!j53")</f>
        <v>N/a</v>
      </c>
      <c r="J55" s="56"/>
      <c r="K55" s="62"/>
      <c r="L55" s="62"/>
      <c r="N55" s="65"/>
      <c r="O55" s="65"/>
      <c r="P55" s="65"/>
      <c r="Q55" s="65"/>
      <c r="R55" s="65"/>
      <c r="T55" s="63"/>
      <c r="U55" s="63"/>
      <c r="V55" s="63"/>
      <c r="W55" s="63"/>
      <c r="X55" s="63"/>
      <c r="Y55" s="63"/>
      <c r="Z55" s="63"/>
      <c r="AA55" s="63"/>
      <c r="AB55" s="63"/>
      <c r="AC55" s="63"/>
      <c r="AD55" s="63"/>
    </row>
    <row r="56" spans="1:30" s="57" customFormat="1" ht="15" customHeight="1" x14ac:dyDescent="0.35">
      <c r="A56" s="56" t="s">
        <v>51</v>
      </c>
      <c r="B56" s="66">
        <f ca="1">INDIRECT("'("&amp;$A$4&amp;")'!C54")</f>
        <v>6970</v>
      </c>
      <c r="C56" s="66">
        <f ca="1">INDIRECT("'("&amp;$A$4&amp;")'!d54")</f>
        <v>8513</v>
      </c>
      <c r="D56" s="66">
        <f ca="1">INDIRECT("'("&amp;$A$4&amp;")'!e54")</f>
        <v>4978</v>
      </c>
      <c r="E56" s="66">
        <f ca="1">INDIRECT("'("&amp;$A$4&amp;")'!f54")</f>
        <v>3529</v>
      </c>
      <c r="F56" s="66">
        <f ca="1">INDIRECT("'("&amp;$A$4&amp;")'!g54")</f>
        <v>1884</v>
      </c>
      <c r="G56" s="66">
        <f ca="1">INDIRECT("'("&amp;$A$4&amp;")'!h54")</f>
        <v>1337</v>
      </c>
      <c r="H56" s="66" t="str">
        <f ca="1">INDIRECT("'("&amp;$A$4&amp;")'!i54")</f>
        <v>N/a</v>
      </c>
      <c r="I56" s="66" t="str">
        <f ca="1">INDIRECT("'("&amp;$A$4&amp;")'!j54")</f>
        <v>N/a</v>
      </c>
      <c r="J56" s="56"/>
      <c r="K56" s="62"/>
      <c r="L56" s="62"/>
      <c r="N56" s="65"/>
      <c r="O56" s="65"/>
      <c r="P56" s="65"/>
      <c r="Q56" s="65"/>
      <c r="R56" s="65"/>
      <c r="T56" s="63"/>
      <c r="U56" s="63"/>
      <c r="V56" s="63"/>
      <c r="W56" s="63"/>
      <c r="X56" s="63"/>
      <c r="Y56" s="63"/>
      <c r="Z56" s="63"/>
      <c r="AA56" s="63"/>
      <c r="AB56" s="63"/>
      <c r="AC56" s="63"/>
      <c r="AD56" s="63"/>
    </row>
    <row r="57" spans="1:30" x14ac:dyDescent="0.35">
      <c r="A57" s="56" t="s">
        <v>52</v>
      </c>
      <c r="B57" s="66">
        <f ca="1">INDIRECT("'("&amp;$A$4&amp;")'!C55")</f>
        <v>63010</v>
      </c>
      <c r="C57" s="66">
        <f ca="1">INDIRECT("'("&amp;$A$4&amp;")'!d55")</f>
        <v>54953</v>
      </c>
      <c r="D57" s="66">
        <f ca="1">INDIRECT("'("&amp;$A$4&amp;")'!e55")</f>
        <v>20083</v>
      </c>
      <c r="E57" s="66">
        <f ca="1">INDIRECT("'("&amp;$A$4&amp;")'!f55")</f>
        <v>17515</v>
      </c>
      <c r="F57" s="66" t="str">
        <f ca="1">INDIRECT("'("&amp;$A$4&amp;")'!g55")</f>
        <v>N/a</v>
      </c>
      <c r="G57" s="66" t="str">
        <f ca="1">INDIRECT("'("&amp;$A$4&amp;")'!h55")</f>
        <v>N/a</v>
      </c>
      <c r="H57" s="66">
        <f ca="1">INDIRECT("'("&amp;$A$4&amp;")'!i55")</f>
        <v>77</v>
      </c>
      <c r="I57" s="66">
        <f ca="1">INDIRECT("'("&amp;$A$4&amp;")'!j55")</f>
        <v>67.150000000000006</v>
      </c>
      <c r="K57" s="62"/>
      <c r="L57" s="62"/>
      <c r="M57" s="62"/>
      <c r="N57" s="62"/>
      <c r="O57" s="62"/>
      <c r="P57" s="62"/>
      <c r="Q57" s="62"/>
      <c r="R57" s="62"/>
    </row>
    <row r="58" spans="1:30" s="57" customFormat="1" ht="15" customHeight="1" x14ac:dyDescent="0.35">
      <c r="A58" s="244"/>
      <c r="B58" s="244"/>
      <c r="C58" s="244"/>
      <c r="D58" s="244"/>
      <c r="E58" s="244"/>
      <c r="F58" s="244"/>
      <c r="G58" s="244"/>
      <c r="H58" s="244"/>
      <c r="I58" s="244"/>
      <c r="J58" s="56"/>
      <c r="K58" s="62"/>
      <c r="L58" s="62"/>
      <c r="M58" s="62"/>
      <c r="N58" s="62"/>
      <c r="O58" s="62"/>
      <c r="P58" s="62"/>
      <c r="Q58" s="62"/>
      <c r="R58" s="62"/>
    </row>
    <row r="59" spans="1:30" s="57" customFormat="1" ht="15" customHeight="1" x14ac:dyDescent="0.35">
      <c r="A59" s="245"/>
      <c r="B59" s="245"/>
      <c r="C59" s="245"/>
      <c r="D59" s="245"/>
      <c r="E59" s="245"/>
      <c r="F59" s="245"/>
      <c r="G59" s="245"/>
      <c r="H59" s="245"/>
      <c r="I59" s="245"/>
      <c r="J59" s="56"/>
      <c r="K59" s="62"/>
      <c r="L59" s="62"/>
      <c r="M59" s="62"/>
      <c r="N59" s="62"/>
      <c r="O59" s="62"/>
      <c r="P59" s="62"/>
      <c r="Q59" s="62"/>
      <c r="R59" s="62"/>
    </row>
    <row r="60" spans="1:30" s="57" customFormat="1" ht="15" customHeight="1" x14ac:dyDescent="0.35">
      <c r="A60" s="69"/>
      <c r="B60" s="56"/>
      <c r="C60" s="56"/>
      <c r="D60" s="56"/>
      <c r="E60" s="56"/>
      <c r="F60" s="56"/>
      <c r="G60" s="56"/>
      <c r="H60" s="56"/>
      <c r="I60" s="56"/>
      <c r="J60" s="56"/>
      <c r="K60" s="62"/>
      <c r="L60" s="62"/>
      <c r="M60" s="62"/>
      <c r="N60" s="62"/>
      <c r="O60" s="62"/>
      <c r="P60" s="62"/>
      <c r="Q60" s="62"/>
      <c r="R60" s="62"/>
    </row>
    <row r="61" spans="1:30" s="57" customFormat="1" ht="31.5" customHeight="1" x14ac:dyDescent="0.35">
      <c r="A61" s="244"/>
      <c r="B61" s="244"/>
      <c r="C61" s="244"/>
      <c r="D61" s="244"/>
      <c r="E61" s="244"/>
      <c r="F61" s="244"/>
      <c r="G61" s="244"/>
      <c r="H61" s="244"/>
      <c r="I61" s="244"/>
      <c r="J61" s="56"/>
      <c r="K61" s="62"/>
      <c r="L61" s="62"/>
      <c r="M61" s="62"/>
      <c r="N61" s="62"/>
      <c r="O61" s="62"/>
      <c r="P61" s="62"/>
      <c r="Q61" s="62"/>
      <c r="R61" s="62"/>
    </row>
    <row r="62" spans="1:30" s="57" customFormat="1" ht="15" customHeight="1" x14ac:dyDescent="0.35">
      <c r="A62" s="68"/>
      <c r="B62" s="68"/>
      <c r="C62" s="68"/>
      <c r="D62" s="68"/>
      <c r="E62" s="68"/>
      <c r="F62" s="68"/>
      <c r="G62" s="68"/>
      <c r="H62" s="68"/>
      <c r="I62" s="68"/>
      <c r="J62" s="56"/>
      <c r="K62" s="62"/>
      <c r="L62" s="62"/>
      <c r="M62" s="62"/>
      <c r="N62" s="62"/>
      <c r="O62" s="62"/>
      <c r="P62" s="62"/>
      <c r="Q62" s="62"/>
      <c r="R62" s="62"/>
    </row>
    <row r="63" spans="1:30" s="57" customFormat="1" ht="15" customHeight="1" x14ac:dyDescent="0.35">
      <c r="A63" s="56"/>
      <c r="B63" s="52"/>
      <c r="C63" s="52"/>
      <c r="D63" s="52"/>
      <c r="E63" s="52"/>
      <c r="F63" s="52"/>
      <c r="G63" s="52"/>
      <c r="H63" s="52"/>
      <c r="I63" s="52"/>
      <c r="J63" s="56"/>
    </row>
    <row r="64" spans="1:30" s="57" customFormat="1" ht="15" customHeight="1" x14ac:dyDescent="0.35">
      <c r="A64" s="71"/>
      <c r="B64" s="52"/>
      <c r="C64" s="52"/>
      <c r="D64" s="52"/>
      <c r="E64" s="52"/>
      <c r="F64" s="52"/>
      <c r="G64" s="52"/>
      <c r="H64" s="52"/>
      <c r="I64" s="52"/>
      <c r="J64" s="56"/>
    </row>
    <row r="65" spans="1:10" s="57" customFormat="1" ht="15" customHeight="1" x14ac:dyDescent="0.35">
      <c r="A65" s="71"/>
      <c r="B65" s="52"/>
      <c r="C65" s="52"/>
      <c r="D65" s="52"/>
      <c r="E65" s="52"/>
      <c r="F65" s="52"/>
      <c r="G65" s="52"/>
      <c r="H65" s="52"/>
      <c r="I65" s="52"/>
      <c r="J65" s="56"/>
    </row>
    <row r="66" spans="1:10" s="57" customFormat="1" x14ac:dyDescent="0.35">
      <c r="A66" s="244"/>
      <c r="B66" s="244"/>
      <c r="C66" s="244"/>
      <c r="D66" s="244"/>
      <c r="E66" s="244"/>
      <c r="F66" s="244"/>
      <c r="G66" s="244"/>
      <c r="H66" s="244"/>
      <c r="I66" s="244"/>
      <c r="J66" s="56"/>
    </row>
    <row r="68" spans="1:10" s="57" customFormat="1" x14ac:dyDescent="0.35">
      <c r="A68" s="56"/>
      <c r="B68" s="56"/>
      <c r="C68" s="56"/>
      <c r="D68" s="56"/>
      <c r="E68" s="56"/>
      <c r="F68" s="70"/>
      <c r="G68" s="70"/>
      <c r="H68" s="70"/>
      <c r="I68" s="70"/>
      <c r="J68" s="56"/>
    </row>
    <row r="69" spans="1:10" s="57" customFormat="1" x14ac:dyDescent="0.35">
      <c r="A69" s="71"/>
      <c r="B69" s="56"/>
      <c r="C69" s="56"/>
      <c r="D69" s="56"/>
      <c r="E69" s="56"/>
      <c r="F69" s="70"/>
      <c r="G69" s="70"/>
      <c r="H69" s="70"/>
      <c r="I69" s="70"/>
      <c r="J69" s="56"/>
    </row>
  </sheetData>
  <mergeCells count="11">
    <mergeCell ref="A58:I58"/>
    <mergeCell ref="A59:I59"/>
    <mergeCell ref="A61:I61"/>
    <mergeCell ref="A66:I66"/>
    <mergeCell ref="A1:I1"/>
    <mergeCell ref="A4:E4"/>
    <mergeCell ref="B5:E5"/>
    <mergeCell ref="B6:C6"/>
    <mergeCell ref="D6:E6"/>
    <mergeCell ref="F6:G6"/>
    <mergeCell ref="H6:I6"/>
  </mergeCells>
  <pageMargins left="0.7" right="0.7" top="0.75" bottom="0.75" header="0.3" footer="0.3"/>
  <pageSetup paperSize="9" orientation="portrait" r:id="rId1"/>
  <headerFooter>
    <oddHeader>&amp;C&amp;"Aptos"&amp;10&amp;K000000 OFFICIAL&amp;1#_x000D_</oddHeader>
    <oddFooter>&amp;C_x000D_&amp;1#&amp;"Aptos"&amp;10&amp;K000000 OFFICIAL</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5C1834-0C88-4A73-B96C-E1D2213F6013}">
  <dimension ref="A1:AK92"/>
  <sheetViews>
    <sheetView zoomScaleNormal="100" workbookViewId="0">
      <pane ySplit="6" topLeftCell="A38" activePane="bottomLeft" state="frozen"/>
      <selection pane="bottomLeft" activeCell="A3" sqref="A3"/>
    </sheetView>
  </sheetViews>
  <sheetFormatPr defaultColWidth="9.1796875" defaultRowHeight="15.5" x14ac:dyDescent="0.35"/>
  <cols>
    <col min="1" max="1" width="39.1796875" style="190" customWidth="1"/>
    <col min="2" max="3" width="12.81640625" style="190" customWidth="1"/>
    <col min="4" max="4" width="4.1796875" style="190" customWidth="1"/>
    <col min="5" max="6" width="12.81640625" style="190" customWidth="1"/>
    <col min="7" max="7" width="4.1796875" style="190" customWidth="1"/>
    <col min="8" max="9" width="12.81640625" style="190" customWidth="1"/>
    <col min="10" max="10" width="4.1796875" style="190" customWidth="1"/>
    <col min="11" max="12" width="12.81640625" style="190" customWidth="1"/>
    <col min="13" max="14" width="9.1796875" style="190" customWidth="1"/>
    <col min="15" max="15" width="7.81640625" style="190" hidden="1" customWidth="1"/>
    <col min="16" max="16" width="9.1796875" style="190" customWidth="1"/>
    <col min="17" max="17" width="10" style="190" bestFit="1" customWidth="1"/>
    <col min="18" max="18" width="9.54296875" style="190" customWidth="1"/>
    <col min="19" max="23" width="9.1796875" style="190"/>
    <col min="24" max="24" width="9.81640625" style="190" customWidth="1"/>
    <col min="25" max="16384" width="9.1796875" style="190"/>
  </cols>
  <sheetData>
    <row r="1" spans="1:37" s="187" customFormat="1" ht="18" x14ac:dyDescent="0.5">
      <c r="A1" s="229" t="s">
        <v>239</v>
      </c>
      <c r="B1" s="230"/>
      <c r="C1" s="230"/>
      <c r="D1" s="230"/>
      <c r="E1" s="230"/>
      <c r="F1" s="230"/>
      <c r="G1" s="230"/>
      <c r="H1" s="230"/>
      <c r="I1" s="230"/>
      <c r="J1" s="230"/>
      <c r="K1" s="230"/>
      <c r="L1" s="230"/>
      <c r="M1" s="184"/>
      <c r="N1" s="185"/>
      <c r="O1" s="186"/>
      <c r="P1" s="186"/>
    </row>
    <row r="2" spans="1:37" s="191" customFormat="1" ht="29.25" customHeight="1" x14ac:dyDescent="0.35">
      <c r="A2" s="188" t="s">
        <v>124</v>
      </c>
      <c r="B2" s="189"/>
      <c r="C2" s="189"/>
      <c r="D2" s="189"/>
      <c r="E2" s="189"/>
      <c r="F2" s="189"/>
      <c r="G2" s="189"/>
      <c r="H2" s="190"/>
      <c r="I2" s="190"/>
      <c r="J2" s="190"/>
      <c r="K2" s="190"/>
      <c r="L2" s="190"/>
      <c r="M2" s="190"/>
      <c r="N2" s="190"/>
      <c r="O2" s="190"/>
      <c r="P2" s="190"/>
    </row>
    <row r="3" spans="1:37" s="191" customFormat="1" ht="15" customHeight="1" thickBot="1" x14ac:dyDescent="0.4">
      <c r="A3" s="192" t="s">
        <v>143</v>
      </c>
      <c r="B3" s="189"/>
      <c r="C3" s="189"/>
      <c r="D3" s="189"/>
      <c r="E3" s="189"/>
      <c r="F3" s="189"/>
      <c r="G3" s="190"/>
      <c r="H3" s="190"/>
      <c r="I3" s="190"/>
      <c r="J3" s="190"/>
      <c r="K3" s="190"/>
      <c r="L3" s="190"/>
      <c r="M3" s="190"/>
      <c r="N3" s="190"/>
      <c r="O3" s="190"/>
      <c r="P3" s="190"/>
      <c r="Q3" s="190"/>
    </row>
    <row r="4" spans="1:37" s="187" customFormat="1" ht="69.5" customHeight="1" thickBot="1" x14ac:dyDescent="0.4">
      <c r="A4" s="186"/>
      <c r="B4" s="250" t="s">
        <v>234</v>
      </c>
      <c r="C4" s="250"/>
      <c r="D4" s="193"/>
      <c r="E4" s="250" t="s">
        <v>241</v>
      </c>
      <c r="F4" s="250"/>
      <c r="G4" s="193"/>
      <c r="H4" s="250" t="s">
        <v>242</v>
      </c>
      <c r="I4" s="250"/>
      <c r="J4" s="193"/>
      <c r="K4" s="250" t="s">
        <v>243</v>
      </c>
      <c r="L4" s="250"/>
      <c r="M4" s="186"/>
      <c r="N4" s="186"/>
      <c r="O4" s="194"/>
      <c r="P4" s="194"/>
      <c r="R4" s="194"/>
      <c r="S4" s="194"/>
      <c r="U4" s="194"/>
      <c r="V4" s="194"/>
      <c r="W4" s="194"/>
      <c r="X4" s="194"/>
      <c r="Y4" s="194"/>
    </row>
    <row r="5" spans="1:37" s="197" customFormat="1" ht="20.25" customHeight="1" thickBot="1" x14ac:dyDescent="0.4">
      <c r="A5" s="195" t="s">
        <v>126</v>
      </c>
      <c r="B5" s="196" t="s">
        <v>127</v>
      </c>
      <c r="C5" s="196" t="s">
        <v>128</v>
      </c>
      <c r="D5" s="196"/>
      <c r="E5" s="196" t="s">
        <v>127</v>
      </c>
      <c r="F5" s="196" t="s">
        <v>128</v>
      </c>
      <c r="G5" s="196"/>
      <c r="H5" s="196" t="s">
        <v>127</v>
      </c>
      <c r="I5" s="196" t="s">
        <v>128</v>
      </c>
      <c r="J5" s="196"/>
      <c r="K5" s="196" t="s">
        <v>127</v>
      </c>
      <c r="L5" s="196" t="s">
        <v>128</v>
      </c>
      <c r="Q5" s="190"/>
    </row>
    <row r="6" spans="1:37" s="191" customFormat="1" ht="15" customHeight="1" x14ac:dyDescent="0.35">
      <c r="A6" s="198" t="s">
        <v>76</v>
      </c>
      <c r="B6" s="199">
        <f ca="1">IF(FIRE1201_historical_raw!B8="N/A","N/A",IF(FIRE1201_historical_raw!B8="..","..",ROUND(FIRE1201_historical_raw!B8,0)))</f>
        <v>775019</v>
      </c>
      <c r="C6" s="199">
        <f ca="1">IF(FIRE1201_historical_raw!C8="N/A","N/A",IF(FIRE1201_historical_raw!C8="..","..",ROUND(FIRE1201_historical_raw!C8,0)))</f>
        <v>984787</v>
      </c>
      <c r="D6" s="199"/>
      <c r="E6" s="199">
        <f ca="1">IF(FIRE1201_historical_raw!D8="N/A","N/A",IF(FIRE1201_historical_raw!D8="..","..",ROUND(FIRE1201_historical_raw!D8,0)))</f>
        <v>277773</v>
      </c>
      <c r="F6" s="199">
        <f ca="1">IF(FIRE1201_historical_raw!E8="N/A","N/A",IF(FIRE1201_historical_raw!E8="..","..",ROUND(FIRE1201_historical_raw!E8,0)))</f>
        <v>342072</v>
      </c>
      <c r="G6" s="199"/>
      <c r="H6" s="199">
        <f ca="1">IF(FIRE1201_historical_raw!F8="N/A","N/A",IF(FIRE1201_historical_raw!F8="..","..",ROUND(FIRE1201_historical_raw!F8,0)))</f>
        <v>86543</v>
      </c>
      <c r="I6" s="199">
        <f ca="1">IF(FIRE1201_historical_raw!G8="N/A","N/A",IF(FIRE1201_historical_raw!G8="..","..",ROUND(FIRE1201_historical_raw!G8,0)))</f>
        <v>112638</v>
      </c>
      <c r="J6" s="199"/>
      <c r="K6" s="199">
        <f ca="1">IF(FIRE1201_historical_raw!H8="N/A","N/A",IF(FIRE1201_historical_raw!H8="..","..",ROUND(FIRE1201_historical_raw!H8,0)))</f>
        <v>50105</v>
      </c>
      <c r="L6" s="199">
        <f ca="1">IF(FIRE1201_historical_raw!I8="N/A","N/A",IF(FIRE1201_historical_raw!I8="..","..",ROUND(FIRE1201_historical_raw!I8,0)))</f>
        <v>42705</v>
      </c>
      <c r="M6" s="190"/>
      <c r="O6" s="200"/>
      <c r="P6" s="200"/>
      <c r="Q6" s="200"/>
      <c r="R6" s="200"/>
      <c r="S6" s="200"/>
      <c r="T6" s="200"/>
      <c r="U6" s="200"/>
      <c r="V6" s="200"/>
      <c r="W6" s="200"/>
      <c r="AB6" s="201"/>
      <c r="AC6" s="201"/>
      <c r="AD6" s="201"/>
      <c r="AE6" s="201"/>
      <c r="AF6" s="201"/>
      <c r="AG6" s="201"/>
      <c r="AH6" s="201"/>
      <c r="AI6" s="201"/>
      <c r="AJ6" s="201"/>
      <c r="AK6" s="201"/>
    </row>
    <row r="7" spans="1:37" s="191" customFormat="1" ht="15" customHeight="1" x14ac:dyDescent="0.35">
      <c r="A7" s="202" t="s">
        <v>88</v>
      </c>
      <c r="B7" s="199">
        <f ca="1">IF(FIRE1201_historical_raw!B9="N/A","N/A",IF(FIRE1201_historical_raw!B9="..","..",ROUND(FIRE1201_historical_raw!B9,0)))</f>
        <v>409706</v>
      </c>
      <c r="C7" s="199">
        <f ca="1">IF(FIRE1201_historical_raw!C9="N/A","N/A",IF(FIRE1201_historical_raw!C9="..","..",ROUND(FIRE1201_historical_raw!C9,0)))</f>
        <v>514566</v>
      </c>
      <c r="D7" s="199"/>
      <c r="E7" s="199">
        <f ca="1">IF(FIRE1201_historical_raw!D9="N/A","N/A",IF(FIRE1201_historical_raw!D9="..","..",ROUND(FIRE1201_historical_raw!D9,0)))</f>
        <v>147679</v>
      </c>
      <c r="F7" s="199">
        <f ca="1">IF(FIRE1201_historical_raw!E9="N/A","N/A",IF(FIRE1201_historical_raw!E9="..","..",ROUND(FIRE1201_historical_raw!E9,0)))</f>
        <v>178500</v>
      </c>
      <c r="G7" s="199"/>
      <c r="H7" s="199">
        <f ca="1">IF(FIRE1201_historical_raw!F9="N/A","N/A",IF(FIRE1201_historical_raw!F9="..","..",ROUND(FIRE1201_historical_raw!F9,0)))</f>
        <v>46368</v>
      </c>
      <c r="I7" s="199">
        <f ca="1">IF(FIRE1201_historical_raw!G9="N/A","N/A",IF(FIRE1201_historical_raw!G9="..","..",ROUND(FIRE1201_historical_raw!G9,0)))</f>
        <v>58966</v>
      </c>
      <c r="J7" s="199"/>
      <c r="K7" s="199">
        <f ca="1">IF(FIRE1201_historical_raw!H9="N/A","N/A",IF(FIRE1201_historical_raw!H9="..","..",ROUND(FIRE1201_historical_raw!H9,0)))</f>
        <v>17360</v>
      </c>
      <c r="L7" s="199">
        <f ca="1">IF(FIRE1201_historical_raw!I9="N/A","N/A",IF(FIRE1201_historical_raw!I9="..","..",ROUND(FIRE1201_historical_raw!I9,0)))</f>
        <v>12602</v>
      </c>
      <c r="M7" s="190"/>
      <c r="O7" s="200"/>
      <c r="P7" s="200"/>
      <c r="Q7" s="200"/>
      <c r="R7" s="200"/>
      <c r="S7" s="200"/>
      <c r="T7" s="200"/>
      <c r="U7" s="200"/>
      <c r="V7" s="200"/>
      <c r="W7" s="200"/>
      <c r="AB7" s="201"/>
      <c r="AC7" s="201"/>
      <c r="AD7" s="201"/>
      <c r="AE7" s="201"/>
      <c r="AF7" s="201"/>
      <c r="AG7" s="201"/>
      <c r="AH7" s="201"/>
      <c r="AI7" s="201"/>
      <c r="AJ7" s="201"/>
      <c r="AK7" s="201"/>
    </row>
    <row r="8" spans="1:37" s="191" customFormat="1" ht="15" customHeight="1" x14ac:dyDescent="0.35">
      <c r="A8" s="202" t="s">
        <v>92</v>
      </c>
      <c r="B8" s="199">
        <f ca="1">IF(FIRE1201_historical_raw!B10="N/A","N/A",IF(FIRE1201_historical_raw!B10="..","..",ROUND(FIRE1201_historical_raw!B10,0)))</f>
        <v>365313</v>
      </c>
      <c r="C8" s="199">
        <f ca="1">IF(FIRE1201_historical_raw!C10="N/A","N/A",IF(FIRE1201_historical_raw!C10="..","..",ROUND(FIRE1201_historical_raw!C10,0)))</f>
        <v>470221</v>
      </c>
      <c r="D8" s="199"/>
      <c r="E8" s="199">
        <f ca="1">IF(FIRE1201_historical_raw!D10="N/A","N/A",IF(FIRE1201_historical_raw!D10="..","..",ROUND(FIRE1201_historical_raw!D10,0)))</f>
        <v>130094</v>
      </c>
      <c r="F8" s="199">
        <f ca="1">IF(FIRE1201_historical_raw!E10="N/A","N/A",IF(FIRE1201_historical_raw!E10="..","..",ROUND(FIRE1201_historical_raw!E10,0)))</f>
        <v>163572</v>
      </c>
      <c r="G8" s="199"/>
      <c r="H8" s="199">
        <f ca="1">IF(FIRE1201_historical_raw!F10="N/A","N/A",IF(FIRE1201_historical_raw!F10="..","..",ROUND(FIRE1201_historical_raw!F10,0)))</f>
        <v>40175</v>
      </c>
      <c r="I8" s="199">
        <f ca="1">IF(FIRE1201_historical_raw!G10="N/A","N/A",IF(FIRE1201_historical_raw!G10="..","..",ROUND(FIRE1201_historical_raw!G10,0)))</f>
        <v>53672</v>
      </c>
      <c r="J8" s="199"/>
      <c r="K8" s="199">
        <f ca="1">IF(FIRE1201_historical_raw!H10="N/A","N/A",IF(FIRE1201_historical_raw!H10="..","..",ROUND(FIRE1201_historical_raw!H10,0)))</f>
        <v>32745</v>
      </c>
      <c r="L8" s="199">
        <f ca="1">IF(FIRE1201_historical_raw!I10="N/A","N/A",IF(FIRE1201_historical_raw!I10="..","..",ROUND(FIRE1201_historical_raw!I10,0)))</f>
        <v>30103</v>
      </c>
      <c r="M8" s="190"/>
      <c r="O8" s="200"/>
      <c r="P8" s="200"/>
      <c r="Q8" s="200"/>
      <c r="R8" s="200"/>
      <c r="S8" s="200"/>
      <c r="T8" s="200"/>
      <c r="U8" s="200"/>
      <c r="V8" s="200"/>
      <c r="W8" s="200"/>
      <c r="AB8" s="201"/>
      <c r="AC8" s="201"/>
      <c r="AD8" s="201"/>
      <c r="AE8" s="201"/>
      <c r="AF8" s="201"/>
      <c r="AG8" s="201"/>
      <c r="AH8" s="201"/>
      <c r="AI8" s="201"/>
      <c r="AJ8" s="201"/>
      <c r="AK8" s="201"/>
    </row>
    <row r="9" spans="1:37" s="191" customFormat="1" ht="15" customHeight="1" x14ac:dyDescent="0.35">
      <c r="A9" s="202" t="s">
        <v>87</v>
      </c>
      <c r="B9" s="199">
        <f ca="1">IF(FIRE1201_historical_raw!B11="N/A","N/A",IF(FIRE1201_historical_raw!B11="..","..",ROUND(FIRE1201_historical_raw!B11,0)))</f>
        <v>473996</v>
      </c>
      <c r="C9" s="199">
        <f ca="1">IF(FIRE1201_historical_raw!C11="N/A","N/A",IF(FIRE1201_historical_raw!C11="..","..",ROUND(FIRE1201_historical_raw!C11,0)))</f>
        <v>604792</v>
      </c>
      <c r="D9" s="199"/>
      <c r="E9" s="199">
        <f ca="1">IF(FIRE1201_historical_raw!D11="N/A","N/A",IF(FIRE1201_historical_raw!D11="..","..",ROUND(FIRE1201_historical_raw!D11,0)))</f>
        <v>171451</v>
      </c>
      <c r="F9" s="199">
        <f ca="1">IF(FIRE1201_historical_raw!E11="N/A","N/A",IF(FIRE1201_historical_raw!E11="..","..",ROUND(FIRE1201_historical_raw!E11,0)))</f>
        <v>214326</v>
      </c>
      <c r="G9" s="199"/>
      <c r="H9" s="199">
        <f ca="1">IF(FIRE1201_historical_raw!F11="N/A","N/A",IF(FIRE1201_historical_raw!F11="..","..",ROUND(FIRE1201_historical_raw!F11,0)))</f>
        <v>57521</v>
      </c>
      <c r="I9" s="199">
        <f ca="1">IF(FIRE1201_historical_raw!G11="N/A","N/A",IF(FIRE1201_historical_raw!G11="..","..",ROUND(FIRE1201_historical_raw!G11,0)))</f>
        <v>76377</v>
      </c>
      <c r="J9" s="199"/>
      <c r="K9" s="199">
        <f ca="1">IF(FIRE1201_historical_raw!H11="N/A","N/A",IF(FIRE1201_historical_raw!H11="..","..",ROUND(FIRE1201_historical_raw!H11,0)))</f>
        <v>34502</v>
      </c>
      <c r="L9" s="199">
        <f ca="1">IF(FIRE1201_historical_raw!I11="N/A","N/A",IF(FIRE1201_historical_raw!I11="..","..",ROUND(FIRE1201_historical_raw!I11,0)))</f>
        <v>31144</v>
      </c>
      <c r="M9" s="190"/>
      <c r="O9" s="200"/>
      <c r="P9" s="200"/>
      <c r="R9" s="200"/>
      <c r="S9" s="200"/>
      <c r="U9" s="203"/>
      <c r="V9" s="203"/>
      <c r="W9" s="203"/>
      <c r="X9" s="203"/>
      <c r="Y9" s="203"/>
      <c r="AA9" s="201"/>
      <c r="AB9" s="201"/>
      <c r="AC9" s="201"/>
      <c r="AD9" s="201"/>
      <c r="AE9" s="201"/>
      <c r="AF9" s="201"/>
      <c r="AG9" s="201"/>
      <c r="AH9" s="201"/>
      <c r="AI9" s="201"/>
      <c r="AJ9" s="201"/>
      <c r="AK9" s="201"/>
    </row>
    <row r="10" spans="1:37" s="191" customFormat="1" ht="15" customHeight="1" x14ac:dyDescent="0.35">
      <c r="A10" s="202" t="s">
        <v>90</v>
      </c>
      <c r="B10" s="199">
        <f ca="1">IF(FIRE1201_historical_raw!B12="N/A","N/A",IF(FIRE1201_historical_raw!B12="..","..",ROUND(FIRE1201_historical_raw!B12,0)))</f>
        <v>219639</v>
      </c>
      <c r="C10" s="199">
        <f ca="1">IF(FIRE1201_historical_raw!C12="N/A","N/A",IF(FIRE1201_historical_raw!C12="..","..",ROUND(FIRE1201_historical_raw!C12,0)))</f>
        <v>271794</v>
      </c>
      <c r="D10" s="199"/>
      <c r="E10" s="199">
        <f ca="1">IF(FIRE1201_historical_raw!D12="N/A","N/A",IF(FIRE1201_historical_raw!D12="..","..",ROUND(FIRE1201_historical_raw!D12,0)))</f>
        <v>79326</v>
      </c>
      <c r="F10" s="199">
        <f ca="1">IF(FIRE1201_historical_raw!E12="N/A","N/A",IF(FIRE1201_historical_raw!E12="..","..",ROUND(FIRE1201_historical_raw!E12,0)))</f>
        <v>93999</v>
      </c>
      <c r="G10" s="199"/>
      <c r="H10" s="199">
        <f ca="1">IF(FIRE1201_historical_raw!F12="N/A","N/A",IF(FIRE1201_historical_raw!F12="..","..",ROUND(FIRE1201_historical_raw!F12,0)))</f>
        <v>26990</v>
      </c>
      <c r="I10" s="199">
        <f ca="1">IF(FIRE1201_historical_raw!G12="N/A","N/A",IF(FIRE1201_historical_raw!G12="..","..",ROUND(FIRE1201_historical_raw!G12,0)))</f>
        <v>33841</v>
      </c>
      <c r="J10" s="199"/>
      <c r="K10" s="199">
        <f ca="1">IF(FIRE1201_historical_raw!H12="N/A","N/A",IF(FIRE1201_historical_raw!H12="..","..",ROUND(FIRE1201_historical_raw!H12,0)))</f>
        <v>13288</v>
      </c>
      <c r="L10" s="199">
        <f ca="1">IF(FIRE1201_historical_raw!I12="N/A","N/A",IF(FIRE1201_historical_raw!I12="..","..",ROUND(FIRE1201_historical_raw!I12,0)))</f>
        <v>10023</v>
      </c>
      <c r="M10" s="190"/>
      <c r="O10" s="200"/>
      <c r="P10" s="200"/>
      <c r="R10" s="200"/>
      <c r="S10" s="200"/>
      <c r="U10" s="203"/>
      <c r="V10" s="203"/>
      <c r="W10" s="203"/>
      <c r="X10" s="203"/>
      <c r="Y10" s="203"/>
      <c r="AA10" s="201"/>
      <c r="AB10" s="201"/>
      <c r="AC10" s="201"/>
      <c r="AD10" s="201"/>
      <c r="AE10" s="201"/>
      <c r="AF10" s="201"/>
      <c r="AG10" s="201"/>
      <c r="AH10" s="201"/>
      <c r="AI10" s="201"/>
      <c r="AJ10" s="201"/>
      <c r="AK10" s="201"/>
    </row>
    <row r="11" spans="1:37" s="191" customFormat="1" ht="15" customHeight="1" x14ac:dyDescent="0.35">
      <c r="A11" s="202" t="s">
        <v>91</v>
      </c>
      <c r="B11" s="199">
        <f ca="1">IF(FIRE1201_historical_raw!B13="N/A","N/A",IF(FIRE1201_historical_raw!B13="..","..",ROUND(FIRE1201_historical_raw!B13,0)))</f>
        <v>81384</v>
      </c>
      <c r="C11" s="199">
        <f ca="1">IF(FIRE1201_historical_raw!C13="N/A","N/A",IF(FIRE1201_historical_raw!C13="..","..",ROUND(FIRE1201_historical_raw!C13,0)))</f>
        <v>108202</v>
      </c>
      <c r="D11" s="199"/>
      <c r="E11" s="199">
        <f ca="1">IF(FIRE1201_historical_raw!D13="N/A","N/A",IF(FIRE1201_historical_raw!D13="..","..",ROUND(FIRE1201_historical_raw!D13,0)))</f>
        <v>26996</v>
      </c>
      <c r="F11" s="199">
        <f ca="1">IF(FIRE1201_historical_raw!E13="N/A","N/A",IF(FIRE1201_historical_raw!E13="..","..",ROUND(FIRE1201_historical_raw!E13,0)))</f>
        <v>33748</v>
      </c>
      <c r="G11" s="199"/>
      <c r="H11" s="199">
        <f ca="1">IF(FIRE1201_historical_raw!F13="N/A","N/A",IF(FIRE1201_historical_raw!F13="..","..",ROUND(FIRE1201_historical_raw!F13,0)))</f>
        <v>2032</v>
      </c>
      <c r="I11" s="199">
        <f ca="1">IF(FIRE1201_historical_raw!G13="N/A","N/A",IF(FIRE1201_historical_raw!G13="..","..",ROUND(FIRE1201_historical_raw!G13,0)))</f>
        <v>2420</v>
      </c>
      <c r="J11" s="199"/>
      <c r="K11" s="199">
        <f ca="1">IF(FIRE1201_historical_raw!H13="N/A","N/A",IF(FIRE1201_historical_raw!H13="..","..",ROUND(FIRE1201_historical_raw!H13,0)))</f>
        <v>2315</v>
      </c>
      <c r="L11" s="199">
        <f ca="1">IF(FIRE1201_historical_raw!I13="N/A","N/A",IF(FIRE1201_historical_raw!I13="..","..",ROUND(FIRE1201_historical_raw!I13,0)))</f>
        <v>1538</v>
      </c>
      <c r="M11" s="190"/>
      <c r="O11" s="200"/>
      <c r="P11" s="200"/>
      <c r="R11" s="200"/>
      <c r="S11" s="200"/>
      <c r="U11" s="203"/>
      <c r="V11" s="203"/>
      <c r="W11" s="203"/>
      <c r="X11" s="203"/>
      <c r="Y11" s="203"/>
      <c r="AA11" s="201"/>
      <c r="AB11" s="201"/>
      <c r="AC11" s="201"/>
      <c r="AD11" s="201"/>
      <c r="AE11" s="201"/>
      <c r="AF11" s="201"/>
      <c r="AG11" s="201"/>
      <c r="AH11" s="201"/>
      <c r="AI11" s="201"/>
      <c r="AJ11" s="201"/>
      <c r="AK11" s="201"/>
    </row>
    <row r="12" spans="1:37" s="191" customFormat="1" ht="15" customHeight="1" x14ac:dyDescent="0.35">
      <c r="A12" s="190" t="s">
        <v>8</v>
      </c>
      <c r="B12" s="204">
        <f ca="1">IF(FIRE1201_historical_raw!B14="N/A","N/A",IF(FIRE1201_historical_raw!B14="..","..",ROUND(FIRE1201_historical_raw!B14,0)))</f>
        <v>15985</v>
      </c>
      <c r="C12" s="204">
        <f ca="1">IF(FIRE1201_historical_raw!C14="N/A","N/A",IF(FIRE1201_historical_raw!C14="..","..",ROUND(FIRE1201_historical_raw!C14,0)))</f>
        <v>11137</v>
      </c>
      <c r="D12" s="204"/>
      <c r="E12" s="204">
        <f ca="1">IF(FIRE1201_historical_raw!D14="N/A","N/A",IF(FIRE1201_historical_raw!D14="..","..",ROUND(FIRE1201_historical_raw!D14,0)))</f>
        <v>5495</v>
      </c>
      <c r="F12" s="204">
        <f ca="1">IF(FIRE1201_historical_raw!E14="N/A","N/A",IF(FIRE1201_historical_raw!E14="..","..",ROUND(FIRE1201_historical_raw!E14,0)))</f>
        <v>3844</v>
      </c>
      <c r="G12" s="204"/>
      <c r="H12" s="204">
        <f ca="1">IF(FIRE1201_historical_raw!F14="N/A","N/A",IF(FIRE1201_historical_raw!F14="..","..",ROUND(FIRE1201_historical_raw!F14,0)))</f>
        <v>2237</v>
      </c>
      <c r="I12" s="204">
        <f ca="1">IF(FIRE1201_historical_raw!G14="N/A","N/A",IF(FIRE1201_historical_raw!G14="..","..",ROUND(FIRE1201_historical_raw!G14,0)))</f>
        <v>1712</v>
      </c>
      <c r="J12" s="204"/>
      <c r="K12" s="204">
        <f ca="1">IF(FIRE1201_historical_raw!H14="N/A","N/A",IF(FIRE1201_historical_raw!H14="..","..",ROUND(FIRE1201_historical_raw!H14,0)))</f>
        <v>343</v>
      </c>
      <c r="L12" s="204" t="str">
        <f ca="1">IF(FIRE1201_historical_raw!I14="N/A","N/A",IF(FIRE1201_historical_raw!I14="..","..",ROUND(FIRE1201_historical_raw!I14,0)))</f>
        <v>N/A</v>
      </c>
      <c r="M12" s="190"/>
      <c r="O12" s="200"/>
      <c r="P12" s="200"/>
      <c r="R12" s="200"/>
      <c r="S12" s="200"/>
      <c r="U12" s="203"/>
      <c r="V12" s="203"/>
      <c r="W12" s="203"/>
      <c r="X12" s="203"/>
      <c r="Y12" s="203"/>
      <c r="AA12" s="201"/>
      <c r="AB12" s="201"/>
      <c r="AC12" s="201"/>
      <c r="AD12" s="201"/>
      <c r="AE12" s="201"/>
      <c r="AF12" s="201"/>
      <c r="AG12" s="201"/>
      <c r="AH12" s="201"/>
      <c r="AI12" s="201"/>
      <c r="AJ12" s="201"/>
      <c r="AK12" s="201"/>
    </row>
    <row r="13" spans="1:37" s="191" customFormat="1" ht="15" customHeight="1" x14ac:dyDescent="0.35">
      <c r="A13" s="190" t="s">
        <v>11</v>
      </c>
      <c r="B13" s="204">
        <f ca="1">IF(FIRE1201_historical_raw!B15="N/A","N/A",IF(FIRE1201_historical_raw!B15="..","..",ROUND(FIRE1201_historical_raw!B15,0)))</f>
        <v>6437</v>
      </c>
      <c r="C13" s="204">
        <f ca="1">IF(FIRE1201_historical_raw!C15="N/A","N/A",IF(FIRE1201_historical_raw!C15="..","..",ROUND(FIRE1201_historical_raw!C15,0)))</f>
        <v>8084</v>
      </c>
      <c r="D13" s="204"/>
      <c r="E13" s="204" t="str">
        <f ca="1">IF(FIRE1201_historical_raw!D15="N/A","N/A",IF(FIRE1201_historical_raw!D15="..","..",ROUND(FIRE1201_historical_raw!D15,0)))</f>
        <v>N/A</v>
      </c>
      <c r="F13" s="204" t="str">
        <f ca="1">IF(FIRE1201_historical_raw!E15="N/A","N/A",IF(FIRE1201_historical_raw!E15="..","..",ROUND(FIRE1201_historical_raw!E15,0)))</f>
        <v>N/A</v>
      </c>
      <c r="G13" s="204"/>
      <c r="H13" s="204" t="str">
        <f ca="1">IF(FIRE1201_historical_raw!F15="N/A","N/A",IF(FIRE1201_historical_raw!F15="..","..",ROUND(FIRE1201_historical_raw!F15,0)))</f>
        <v>N/A</v>
      </c>
      <c r="I13" s="204" t="str">
        <f ca="1">IF(FIRE1201_historical_raw!G15="N/A","N/A",IF(FIRE1201_historical_raw!G15="..","..",ROUND(FIRE1201_historical_raw!G15,0)))</f>
        <v>N/A</v>
      </c>
      <c r="J13" s="204"/>
      <c r="K13" s="204">
        <f ca="1">IF(FIRE1201_historical_raw!H15="N/A","N/A",IF(FIRE1201_historical_raw!H15="..","..",ROUND(FIRE1201_historical_raw!H15,0)))</f>
        <v>329</v>
      </c>
      <c r="L13" s="204" t="str">
        <f ca="1">IF(FIRE1201_historical_raw!I15="N/A","N/A",IF(FIRE1201_historical_raw!I15="..","..",ROUND(FIRE1201_historical_raw!I15,0)))</f>
        <v>N/A</v>
      </c>
      <c r="M13" s="190"/>
      <c r="O13" s="200"/>
      <c r="P13" s="200"/>
      <c r="R13" s="200"/>
      <c r="S13" s="200"/>
      <c r="U13" s="203"/>
      <c r="V13" s="203"/>
      <c r="W13" s="203"/>
      <c r="X13" s="203"/>
      <c r="Y13" s="203"/>
      <c r="AA13" s="201"/>
      <c r="AB13" s="201"/>
      <c r="AC13" s="201"/>
      <c r="AD13" s="201"/>
      <c r="AE13" s="201"/>
      <c r="AF13" s="201"/>
      <c r="AG13" s="201"/>
      <c r="AH13" s="201"/>
      <c r="AI13" s="201"/>
      <c r="AJ13" s="201"/>
      <c r="AK13" s="201"/>
    </row>
    <row r="14" spans="1:37" s="191" customFormat="1" ht="15" customHeight="1" x14ac:dyDescent="0.35">
      <c r="A14" s="190" t="s">
        <v>12</v>
      </c>
      <c r="B14" s="204">
        <f ca="1">IF(FIRE1201_historical_raw!B16="N/A","N/A",IF(FIRE1201_historical_raw!B16="..","..",ROUND(FIRE1201_historical_raw!B16,0)))</f>
        <v>6696</v>
      </c>
      <c r="C14" s="204">
        <f ca="1">IF(FIRE1201_historical_raw!C16="N/A","N/A",IF(FIRE1201_historical_raw!C16="..","..",ROUND(FIRE1201_historical_raw!C16,0)))</f>
        <v>11147</v>
      </c>
      <c r="D14" s="204"/>
      <c r="E14" s="204">
        <f ca="1">IF(FIRE1201_historical_raw!D16="N/A","N/A",IF(FIRE1201_historical_raw!D16="..","..",ROUND(FIRE1201_historical_raw!D16,0)))</f>
        <v>2530</v>
      </c>
      <c r="F14" s="204">
        <f ca="1">IF(FIRE1201_historical_raw!E16="N/A","N/A",IF(FIRE1201_historical_raw!E16="..","..",ROUND(FIRE1201_historical_raw!E16,0)))</f>
        <v>2950</v>
      </c>
      <c r="G14" s="204"/>
      <c r="H14" s="204">
        <f ca="1">IF(FIRE1201_historical_raw!F16="N/A","N/A",IF(FIRE1201_historical_raw!F16="..","..",ROUND(FIRE1201_historical_raw!F16,0)))</f>
        <v>1100</v>
      </c>
      <c r="I14" s="204">
        <f ca="1">IF(FIRE1201_historical_raw!G16="N/A","N/A",IF(FIRE1201_historical_raw!G16="..","..",ROUND(FIRE1201_historical_raw!G16,0)))</f>
        <v>1283</v>
      </c>
      <c r="J14" s="204"/>
      <c r="K14" s="204" t="str">
        <f ca="1">IF(FIRE1201_historical_raw!H16="N/A","N/A",IF(FIRE1201_historical_raw!H16="..","..",ROUND(FIRE1201_historical_raw!H16,0)))</f>
        <v>N/A</v>
      </c>
      <c r="L14" s="204" t="str">
        <f ca="1">IF(FIRE1201_historical_raw!I16="N/A","N/A",IF(FIRE1201_historical_raw!I16="..","..",ROUND(FIRE1201_historical_raw!I16,0)))</f>
        <v>N/A</v>
      </c>
      <c r="M14" s="190"/>
      <c r="O14" s="200"/>
      <c r="P14" s="200"/>
      <c r="R14" s="200"/>
      <c r="S14" s="200"/>
      <c r="U14" s="203"/>
      <c r="V14" s="203"/>
      <c r="W14" s="203"/>
      <c r="X14" s="203"/>
      <c r="Y14" s="203"/>
      <c r="AA14" s="201"/>
      <c r="AB14" s="201"/>
      <c r="AC14" s="201"/>
      <c r="AD14" s="201"/>
      <c r="AE14" s="201"/>
      <c r="AF14" s="201"/>
      <c r="AG14" s="201"/>
      <c r="AH14" s="201"/>
      <c r="AI14" s="201"/>
      <c r="AJ14" s="201"/>
      <c r="AK14" s="201"/>
    </row>
    <row r="15" spans="1:37" s="191" customFormat="1" ht="15" customHeight="1" x14ac:dyDescent="0.35">
      <c r="A15" s="190" t="s">
        <v>13</v>
      </c>
      <c r="B15" s="204">
        <f ca="1">IF(FIRE1201_historical_raw!B17="N/A","N/A",IF(FIRE1201_historical_raw!B17="..","..",ROUND(FIRE1201_historical_raw!B17,0)))</f>
        <v>5766</v>
      </c>
      <c r="C15" s="204">
        <f ca="1">IF(FIRE1201_historical_raw!C17="N/A","N/A",IF(FIRE1201_historical_raw!C17="..","..",ROUND(FIRE1201_historical_raw!C17,0)))</f>
        <v>8649</v>
      </c>
      <c r="D15" s="204"/>
      <c r="E15" s="204">
        <f ca="1">IF(FIRE1201_historical_raw!D17="N/A","N/A",IF(FIRE1201_historical_raw!D17="..","..",ROUND(FIRE1201_historical_raw!D17,0)))</f>
        <v>1576</v>
      </c>
      <c r="F15" s="204">
        <f ca="1">IF(FIRE1201_historical_raw!E17="N/A","N/A",IF(FIRE1201_historical_raw!E17="..","..",ROUND(FIRE1201_historical_raw!E17,0)))</f>
        <v>2364</v>
      </c>
      <c r="G15" s="204"/>
      <c r="H15" s="204">
        <f ca="1">IF(FIRE1201_historical_raw!F17="N/A","N/A",IF(FIRE1201_historical_raw!F17="..","..",ROUND(FIRE1201_historical_raw!F17,0)))</f>
        <v>971</v>
      </c>
      <c r="I15" s="204">
        <f ca="1">IF(FIRE1201_historical_raw!G17="N/A","N/A",IF(FIRE1201_historical_raw!G17="..","..",ROUND(FIRE1201_historical_raw!G17,0)))</f>
        <v>1457</v>
      </c>
      <c r="J15" s="204"/>
      <c r="K15" s="204">
        <f ca="1">IF(FIRE1201_historical_raw!H17="N/A","N/A",IF(FIRE1201_historical_raw!H17="..","..",ROUND(FIRE1201_historical_raw!H17,0)))</f>
        <v>617</v>
      </c>
      <c r="L15" s="204" t="str">
        <f ca="1">IF(FIRE1201_historical_raw!I17="N/A","N/A",IF(FIRE1201_historical_raw!I17="..","..",ROUND(FIRE1201_historical_raw!I17,0)))</f>
        <v>N/A</v>
      </c>
      <c r="M15" s="190"/>
      <c r="O15" s="200"/>
      <c r="P15" s="200"/>
      <c r="R15" s="200"/>
      <c r="S15" s="200"/>
      <c r="U15" s="203"/>
      <c r="V15" s="203"/>
      <c r="W15" s="203"/>
      <c r="X15" s="203"/>
      <c r="Y15" s="203"/>
      <c r="AA15" s="201"/>
      <c r="AB15" s="201"/>
      <c r="AC15" s="201"/>
      <c r="AD15" s="201"/>
      <c r="AE15" s="201"/>
      <c r="AF15" s="201"/>
      <c r="AG15" s="201"/>
      <c r="AH15" s="201"/>
      <c r="AI15" s="201"/>
      <c r="AJ15" s="201"/>
      <c r="AK15" s="201"/>
    </row>
    <row r="16" spans="1:37" s="191" customFormat="1" ht="15" customHeight="1" x14ac:dyDescent="0.35">
      <c r="A16" s="190" t="s">
        <v>14</v>
      </c>
      <c r="B16" s="204">
        <f ca="1">IF(FIRE1201_historical_raw!B18="N/A","N/A",IF(FIRE1201_historical_raw!B18="..","..",ROUND(FIRE1201_historical_raw!B18,0)))</f>
        <v>7015</v>
      </c>
      <c r="C16" s="204">
        <f ca="1">IF(FIRE1201_historical_raw!C18="N/A","N/A",IF(FIRE1201_historical_raw!C18="..","..",ROUND(FIRE1201_historical_raw!C18,0)))</f>
        <v>5602</v>
      </c>
      <c r="D16" s="204"/>
      <c r="E16" s="204">
        <f ca="1">IF(FIRE1201_historical_raw!D18="N/A","N/A",IF(FIRE1201_historical_raw!D18="..","..",ROUND(FIRE1201_historical_raw!D18,0)))</f>
        <v>2456</v>
      </c>
      <c r="F16" s="204">
        <f ca="1">IF(FIRE1201_historical_raw!E18="N/A","N/A",IF(FIRE1201_historical_raw!E18="..","..",ROUND(FIRE1201_historical_raw!E18,0)))</f>
        <v>2178</v>
      </c>
      <c r="G16" s="204"/>
      <c r="H16" s="204">
        <f ca="1">IF(FIRE1201_historical_raw!F18="N/A","N/A",IF(FIRE1201_historical_raw!F18="..","..",ROUND(FIRE1201_historical_raw!F18,0)))</f>
        <v>1444</v>
      </c>
      <c r="I16" s="204">
        <f ca="1">IF(FIRE1201_historical_raw!G18="N/A","N/A",IF(FIRE1201_historical_raw!G18="..","..",ROUND(FIRE1201_historical_raw!G18,0)))</f>
        <v>1403</v>
      </c>
      <c r="J16" s="204"/>
      <c r="K16" s="204">
        <f ca="1">IF(FIRE1201_historical_raw!H18="N/A","N/A",IF(FIRE1201_historical_raw!H18="..","..",ROUND(FIRE1201_historical_raw!H18,0)))</f>
        <v>60</v>
      </c>
      <c r="L16" s="204">
        <f ca="1">IF(FIRE1201_historical_raw!I18="N/A","N/A",IF(FIRE1201_historical_raw!I18="..","..",ROUND(FIRE1201_historical_raw!I18,0)))</f>
        <v>139</v>
      </c>
      <c r="M16" s="190"/>
      <c r="O16" s="200"/>
      <c r="P16" s="200"/>
      <c r="R16" s="200"/>
      <c r="S16" s="200"/>
      <c r="U16" s="203"/>
      <c r="V16" s="203"/>
      <c r="W16" s="203"/>
      <c r="X16" s="203"/>
      <c r="Y16" s="203"/>
      <c r="AA16" s="201"/>
      <c r="AB16" s="201"/>
      <c r="AC16" s="201"/>
      <c r="AD16" s="201"/>
      <c r="AE16" s="201"/>
      <c r="AF16" s="201"/>
      <c r="AG16" s="201"/>
      <c r="AH16" s="201"/>
      <c r="AI16" s="201"/>
      <c r="AJ16" s="201"/>
      <c r="AK16" s="201"/>
    </row>
    <row r="17" spans="1:37" s="191" customFormat="1" ht="15" customHeight="1" x14ac:dyDescent="0.35">
      <c r="A17" s="205" t="s">
        <v>15</v>
      </c>
      <c r="B17" s="204">
        <f ca="1">IF(FIRE1201_historical_raw!B19="N/A","N/A",IF(FIRE1201_historical_raw!B19="..","..",ROUND(FIRE1201_historical_raw!B19,0)))</f>
        <v>62707</v>
      </c>
      <c r="C17" s="204">
        <f ca="1">IF(FIRE1201_historical_raw!C19="N/A","N/A",IF(FIRE1201_historical_raw!C19="..","..",ROUND(FIRE1201_historical_raw!C19,0)))</f>
        <v>25083</v>
      </c>
      <c r="D17" s="204"/>
      <c r="E17" s="204">
        <f ca="1">IF(FIRE1201_historical_raw!D19="N/A","N/A",IF(FIRE1201_historical_raw!D19="..","..",ROUND(FIRE1201_historical_raw!D19,0)))</f>
        <v>20517</v>
      </c>
      <c r="F17" s="204">
        <f ca="1">IF(FIRE1201_historical_raw!E19="N/A","N/A",IF(FIRE1201_historical_raw!E19="..","..",ROUND(FIRE1201_historical_raw!E19,0)))</f>
        <v>8206</v>
      </c>
      <c r="G17" s="204"/>
      <c r="H17" s="204">
        <f ca="1">IF(FIRE1201_historical_raw!F19="N/A","N/A",IF(FIRE1201_historical_raw!F19="..","..",ROUND(FIRE1201_historical_raw!F19,0)))</f>
        <v>3013</v>
      </c>
      <c r="I17" s="204">
        <f ca="1">IF(FIRE1201_historical_raw!G19="N/A","N/A",IF(FIRE1201_historical_raw!G19="..","..",ROUND(FIRE1201_historical_raw!G19,0)))</f>
        <v>906</v>
      </c>
      <c r="J17" s="204"/>
      <c r="K17" s="204">
        <f ca="1">IF(FIRE1201_historical_raw!H19="N/A","N/A",IF(FIRE1201_historical_raw!H19="..","..",ROUND(FIRE1201_historical_raw!H19,0)))</f>
        <v>130</v>
      </c>
      <c r="L17" s="204">
        <f ca="1">IF(FIRE1201_historical_raw!I19="N/A","N/A",IF(FIRE1201_historical_raw!I19="..","..",ROUND(FIRE1201_historical_raw!I19,0)))</f>
        <v>100</v>
      </c>
      <c r="M17" s="190"/>
      <c r="O17" s="200"/>
      <c r="P17" s="200"/>
      <c r="R17" s="200"/>
      <c r="S17" s="200"/>
      <c r="U17" s="203"/>
      <c r="V17" s="203"/>
      <c r="W17" s="203"/>
      <c r="X17" s="203"/>
      <c r="Y17" s="203"/>
      <c r="AA17" s="201"/>
      <c r="AB17" s="201"/>
      <c r="AC17" s="201"/>
      <c r="AD17" s="201"/>
      <c r="AE17" s="201"/>
      <c r="AF17" s="201"/>
      <c r="AG17" s="201"/>
      <c r="AH17" s="201"/>
      <c r="AI17" s="201"/>
      <c r="AJ17" s="201"/>
      <c r="AK17" s="201"/>
    </row>
    <row r="18" spans="1:37" s="191" customFormat="1" ht="15" customHeight="1" x14ac:dyDescent="0.35">
      <c r="A18" s="205" t="s">
        <v>16</v>
      </c>
      <c r="B18" s="204">
        <f ca="1">IF(FIRE1201_historical_raw!B20="N/A","N/A",IF(FIRE1201_historical_raw!B20="..","..",ROUND(FIRE1201_historical_raw!B20,0)))</f>
        <v>17469</v>
      </c>
      <c r="C18" s="204">
        <f ca="1">IF(FIRE1201_historical_raw!C20="N/A","N/A",IF(FIRE1201_historical_raw!C20="..","..",ROUND(FIRE1201_historical_raw!C20,0)))</f>
        <v>8735</v>
      </c>
      <c r="D18" s="204"/>
      <c r="E18" s="204">
        <f ca="1">IF(FIRE1201_historical_raw!D20="N/A","N/A",IF(FIRE1201_historical_raw!D20="..","..",ROUND(FIRE1201_historical_raw!D20,0)))</f>
        <v>4124</v>
      </c>
      <c r="F18" s="204">
        <f ca="1">IF(FIRE1201_historical_raw!E20="N/A","N/A",IF(FIRE1201_historical_raw!E20="..","..",ROUND(FIRE1201_historical_raw!E20,0)))</f>
        <v>2062</v>
      </c>
      <c r="G18" s="204"/>
      <c r="H18" s="204">
        <f ca="1">IF(FIRE1201_historical_raw!F20="N/A","N/A",IF(FIRE1201_historical_raw!F20="..","..",ROUND(FIRE1201_historical_raw!F20,0)))</f>
        <v>648</v>
      </c>
      <c r="I18" s="204">
        <f ca="1">IF(FIRE1201_historical_raw!G20="N/A","N/A",IF(FIRE1201_historical_raw!G20="..","..",ROUND(FIRE1201_historical_raw!G20,0)))</f>
        <v>324</v>
      </c>
      <c r="J18" s="204"/>
      <c r="K18" s="204">
        <f ca="1">IF(FIRE1201_historical_raw!H20="N/A","N/A",IF(FIRE1201_historical_raw!H20="..","..",ROUND(FIRE1201_historical_raw!H20,0)))</f>
        <v>0</v>
      </c>
      <c r="L18" s="204">
        <f ca="1">IF(FIRE1201_historical_raw!I20="N/A","N/A",IF(FIRE1201_historical_raw!I20="..","..",ROUND(FIRE1201_historical_raw!I20,0)))</f>
        <v>0</v>
      </c>
      <c r="M18" s="190"/>
      <c r="O18" s="200"/>
      <c r="P18" s="200"/>
      <c r="R18" s="200"/>
      <c r="S18" s="200"/>
      <c r="U18" s="203"/>
      <c r="V18" s="203"/>
      <c r="W18" s="203"/>
      <c r="X18" s="203"/>
      <c r="Y18" s="203"/>
      <c r="AA18" s="201"/>
      <c r="AB18" s="201"/>
      <c r="AC18" s="201"/>
      <c r="AD18" s="201"/>
      <c r="AE18" s="201"/>
      <c r="AF18" s="201"/>
      <c r="AG18" s="201"/>
      <c r="AH18" s="201"/>
      <c r="AI18" s="201"/>
      <c r="AJ18" s="201"/>
      <c r="AK18" s="201"/>
    </row>
    <row r="19" spans="1:37" s="191" customFormat="1" ht="15" customHeight="1" x14ac:dyDescent="0.35">
      <c r="A19" s="205" t="s">
        <v>17</v>
      </c>
      <c r="B19" s="204">
        <f ca="1">IF(FIRE1201_historical_raw!B21="N/A","N/A",IF(FIRE1201_historical_raw!B21="..","..",ROUND(FIRE1201_historical_raw!B21,0)))</f>
        <v>3222</v>
      </c>
      <c r="C19" s="204">
        <f ca="1">IF(FIRE1201_historical_raw!C21="N/A","N/A",IF(FIRE1201_historical_raw!C21="..","..",ROUND(FIRE1201_historical_raw!C21,0)))</f>
        <v>3998</v>
      </c>
      <c r="D19" s="204"/>
      <c r="E19" s="204" t="str">
        <f ca="1">IF(FIRE1201_historical_raw!D21="N/A","N/A",IF(FIRE1201_historical_raw!D21="..","..",ROUND(FIRE1201_historical_raw!D21,0)))</f>
        <v>N/A</v>
      </c>
      <c r="F19" s="204" t="str">
        <f ca="1">IF(FIRE1201_historical_raw!E21="N/A","N/A",IF(FIRE1201_historical_raw!E21="..","..",ROUND(FIRE1201_historical_raw!E21,0)))</f>
        <v>N/A</v>
      </c>
      <c r="G19" s="204"/>
      <c r="H19" s="204" t="str">
        <f ca="1">IF(FIRE1201_historical_raw!F21="N/A","N/A",IF(FIRE1201_historical_raw!F21="..","..",ROUND(FIRE1201_historical_raw!F21,0)))</f>
        <v>N/A</v>
      </c>
      <c r="I19" s="204" t="str">
        <f ca="1">IF(FIRE1201_historical_raw!G21="N/A","N/A",IF(FIRE1201_historical_raw!G21="..","..",ROUND(FIRE1201_historical_raw!G21,0)))</f>
        <v>N/A</v>
      </c>
      <c r="J19" s="204"/>
      <c r="K19" s="204">
        <f ca="1">IF(FIRE1201_historical_raw!H21="N/A","N/A",IF(FIRE1201_historical_raw!H21="..","..",ROUND(FIRE1201_historical_raw!H21,0)))</f>
        <v>417</v>
      </c>
      <c r="L19" s="204">
        <f ca="1">IF(FIRE1201_historical_raw!I21="N/A","N/A",IF(FIRE1201_historical_raw!I21="..","..",ROUND(FIRE1201_historical_raw!I21,0)))</f>
        <v>291</v>
      </c>
      <c r="M19" s="190"/>
      <c r="O19" s="200"/>
      <c r="P19" s="200"/>
      <c r="R19" s="200"/>
      <c r="S19" s="200"/>
      <c r="U19" s="203"/>
      <c r="V19" s="203"/>
      <c r="W19" s="203"/>
      <c r="X19" s="203"/>
      <c r="Y19" s="203"/>
      <c r="AA19" s="201"/>
      <c r="AB19" s="201"/>
      <c r="AC19" s="201"/>
      <c r="AD19" s="201"/>
      <c r="AE19" s="201"/>
      <c r="AF19" s="201"/>
      <c r="AG19" s="201"/>
      <c r="AH19" s="201"/>
      <c r="AI19" s="201"/>
      <c r="AJ19" s="201"/>
      <c r="AK19" s="201"/>
    </row>
    <row r="20" spans="1:37" s="191" customFormat="1" ht="15" customHeight="1" x14ac:dyDescent="0.35">
      <c r="A20" s="190" t="s">
        <v>18</v>
      </c>
      <c r="B20" s="204">
        <f ca="1">IF(FIRE1201_historical_raw!B22="N/A","N/A",IF(FIRE1201_historical_raw!B22="..","..",ROUND(FIRE1201_historical_raw!B22,0)))</f>
        <v>18175</v>
      </c>
      <c r="C20" s="204">
        <f ca="1">IF(FIRE1201_historical_raw!C22="N/A","N/A",IF(FIRE1201_historical_raw!C22="..","..",ROUND(FIRE1201_historical_raw!C22,0)))</f>
        <v>13631</v>
      </c>
      <c r="D20" s="204"/>
      <c r="E20" s="204">
        <f ca="1">IF(FIRE1201_historical_raw!D22="N/A","N/A",IF(FIRE1201_historical_raw!D22="..","..",ROUND(FIRE1201_historical_raw!D22,0)))</f>
        <v>9656</v>
      </c>
      <c r="F20" s="204">
        <f ca="1">IF(FIRE1201_historical_raw!E22="N/A","N/A",IF(FIRE1201_historical_raw!E22="..","..",ROUND(FIRE1201_historical_raw!E22,0)))</f>
        <v>7242</v>
      </c>
      <c r="G20" s="204"/>
      <c r="H20" s="204" t="str">
        <f ca="1">IF(FIRE1201_historical_raw!F22="N/A","N/A",IF(FIRE1201_historical_raw!F22="..","..",ROUND(FIRE1201_historical_raw!F22,0)))</f>
        <v>N/A</v>
      </c>
      <c r="I20" s="204" t="str">
        <f ca="1">IF(FIRE1201_historical_raw!G22="N/A","N/A",IF(FIRE1201_historical_raw!G22="..","..",ROUND(FIRE1201_historical_raw!G22,0)))</f>
        <v>N/A</v>
      </c>
      <c r="J20" s="204"/>
      <c r="K20" s="204">
        <f ca="1">IF(FIRE1201_historical_raw!H22="N/A","N/A",IF(FIRE1201_historical_raw!H22="..","..",ROUND(FIRE1201_historical_raw!H22,0)))</f>
        <v>114</v>
      </c>
      <c r="L20" s="204">
        <f ca="1">IF(FIRE1201_historical_raw!I22="N/A","N/A",IF(FIRE1201_historical_raw!I22="..","..",ROUND(FIRE1201_historical_raw!I22,0)))</f>
        <v>86</v>
      </c>
      <c r="M20" s="190"/>
      <c r="O20" s="200"/>
      <c r="P20" s="200"/>
      <c r="R20" s="200"/>
      <c r="S20" s="200"/>
      <c r="U20" s="203"/>
      <c r="V20" s="203"/>
      <c r="W20" s="203"/>
      <c r="X20" s="203"/>
      <c r="Y20" s="203"/>
      <c r="AA20" s="201"/>
      <c r="AB20" s="201"/>
      <c r="AC20" s="201"/>
      <c r="AD20" s="201"/>
      <c r="AE20" s="201"/>
      <c r="AF20" s="201"/>
      <c r="AG20" s="201"/>
      <c r="AH20" s="201"/>
      <c r="AI20" s="201"/>
      <c r="AJ20" s="201"/>
      <c r="AK20" s="201"/>
    </row>
    <row r="21" spans="1:37" s="191" customFormat="1" ht="15" customHeight="1" x14ac:dyDescent="0.35">
      <c r="A21" s="190" t="s">
        <v>19</v>
      </c>
      <c r="B21" s="204">
        <f ca="1">IF(FIRE1201_historical_raw!B23="N/A","N/A",IF(FIRE1201_historical_raw!B23="..","..",ROUND(FIRE1201_historical_raw!B23,0)))</f>
        <v>5407</v>
      </c>
      <c r="C21" s="204">
        <f ca="1">IF(FIRE1201_historical_raw!C23="N/A","N/A",IF(FIRE1201_historical_raw!C23="..","..",ROUND(FIRE1201_historical_raw!C23,0)))</f>
        <v>9980</v>
      </c>
      <c r="D21" s="204"/>
      <c r="E21" s="204">
        <f ca="1">IF(FIRE1201_historical_raw!D23="N/A","N/A",IF(FIRE1201_historical_raw!D23="..","..",ROUND(FIRE1201_historical_raw!D23,0)))</f>
        <v>1968</v>
      </c>
      <c r="F21" s="204">
        <f ca="1">IF(FIRE1201_historical_raw!E23="N/A","N/A",IF(FIRE1201_historical_raw!E23="..","..",ROUND(FIRE1201_historical_raw!E23,0)))</f>
        <v>3556</v>
      </c>
      <c r="G21" s="204"/>
      <c r="H21" s="204">
        <f ca="1">IF(FIRE1201_historical_raw!F23="N/A","N/A",IF(FIRE1201_historical_raw!F23="..","..",ROUND(FIRE1201_historical_raw!F23,0)))</f>
        <v>1875</v>
      </c>
      <c r="I21" s="204">
        <f ca="1">IF(FIRE1201_historical_raw!G23="N/A","N/A",IF(FIRE1201_historical_raw!G23="..","..",ROUND(FIRE1201_historical_raw!G23,0)))</f>
        <v>3178</v>
      </c>
      <c r="J21" s="204"/>
      <c r="K21" s="204">
        <f ca="1">IF(FIRE1201_historical_raw!H23="N/A","N/A",IF(FIRE1201_historical_raw!H23="..","..",ROUND(FIRE1201_historical_raw!H23,0)))</f>
        <v>4645</v>
      </c>
      <c r="L21" s="204">
        <f ca="1">IF(FIRE1201_historical_raw!I23="N/A","N/A",IF(FIRE1201_historical_raw!I23="..","..",ROUND(FIRE1201_historical_raw!I23,0)))</f>
        <v>4820</v>
      </c>
      <c r="M21" s="190"/>
      <c r="O21" s="200"/>
      <c r="P21" s="200"/>
      <c r="R21" s="200"/>
      <c r="S21" s="200"/>
      <c r="U21" s="203"/>
      <c r="V21" s="203"/>
      <c r="W21" s="203"/>
      <c r="X21" s="203"/>
      <c r="Y21" s="203"/>
      <c r="AA21" s="201"/>
      <c r="AB21" s="201"/>
      <c r="AC21" s="201"/>
      <c r="AD21" s="201"/>
      <c r="AE21" s="201"/>
      <c r="AF21" s="201"/>
      <c r="AG21" s="201"/>
      <c r="AH21" s="201"/>
      <c r="AI21" s="201"/>
      <c r="AJ21" s="201"/>
      <c r="AK21" s="201"/>
    </row>
    <row r="22" spans="1:37" s="191" customFormat="1" ht="15" customHeight="1" x14ac:dyDescent="0.35">
      <c r="A22" s="190" t="s">
        <v>20</v>
      </c>
      <c r="B22" s="204">
        <f ca="1">IF(FIRE1201_historical_raw!B24="N/A","N/A",IF(FIRE1201_historical_raw!B24="..","..",ROUND(FIRE1201_historical_raw!B24,0)))</f>
        <v>9455</v>
      </c>
      <c r="C22" s="204">
        <f ca="1">IF(FIRE1201_historical_raw!C24="N/A","N/A",IF(FIRE1201_historical_raw!C24="..","..",ROUND(FIRE1201_historical_raw!C24,0)))</f>
        <v>23939</v>
      </c>
      <c r="D22" s="204"/>
      <c r="E22" s="204" t="str">
        <f ca="1">IF(FIRE1201_historical_raw!D24="N/A","N/A",IF(FIRE1201_historical_raw!D24="..","..",ROUND(FIRE1201_historical_raw!D24,0)))</f>
        <v>N/A</v>
      </c>
      <c r="F22" s="204" t="str">
        <f ca="1">IF(FIRE1201_historical_raw!E24="N/A","N/A",IF(FIRE1201_historical_raw!E24="..","..",ROUND(FIRE1201_historical_raw!E24,0)))</f>
        <v>N/A</v>
      </c>
      <c r="G22" s="204"/>
      <c r="H22" s="204" t="str">
        <f ca="1">IF(FIRE1201_historical_raw!F24="N/A","N/A",IF(FIRE1201_historical_raw!F24="..","..",ROUND(FIRE1201_historical_raw!F24,0)))</f>
        <v>N/A</v>
      </c>
      <c r="I22" s="204" t="str">
        <f ca="1">IF(FIRE1201_historical_raw!G24="N/A","N/A",IF(FIRE1201_historical_raw!G24="..","..",ROUND(FIRE1201_historical_raw!G24,0)))</f>
        <v>N/A</v>
      </c>
      <c r="J22" s="204"/>
      <c r="K22" s="204">
        <f ca="1">IF(FIRE1201_historical_raw!H24="N/A","N/A",IF(FIRE1201_historical_raw!H24="..","..",ROUND(FIRE1201_historical_raw!H24,0)))</f>
        <v>0</v>
      </c>
      <c r="L22" s="204">
        <f ca="1">IF(FIRE1201_historical_raw!I24="N/A","N/A",IF(FIRE1201_historical_raw!I24="..","..",ROUND(FIRE1201_historical_raw!I24,0)))</f>
        <v>0</v>
      </c>
      <c r="M22" s="190"/>
      <c r="O22" s="200"/>
      <c r="P22" s="200"/>
      <c r="R22" s="200"/>
      <c r="S22" s="200"/>
      <c r="U22" s="203"/>
      <c r="V22" s="203"/>
      <c r="W22" s="203"/>
      <c r="X22" s="203"/>
      <c r="Y22" s="203"/>
      <c r="AA22" s="201"/>
      <c r="AB22" s="201"/>
      <c r="AC22" s="201"/>
      <c r="AD22" s="201"/>
      <c r="AE22" s="201"/>
      <c r="AF22" s="201"/>
      <c r="AG22" s="201"/>
      <c r="AH22" s="201"/>
      <c r="AI22" s="201"/>
      <c r="AJ22" s="201"/>
      <c r="AK22" s="201"/>
    </row>
    <row r="23" spans="1:37" s="191" customFormat="1" ht="15" customHeight="1" x14ac:dyDescent="0.35">
      <c r="A23" s="190" t="s">
        <v>275</v>
      </c>
      <c r="B23" s="204">
        <f ca="1">IF(FIRE1201_historical_raw!B25="N/A","N/A",IF(FIRE1201_historical_raw!B25="..","..",ROUND(FIRE1201_historical_raw!B25,0)))</f>
        <v>11855</v>
      </c>
      <c r="C23" s="204">
        <f ca="1">IF(FIRE1201_historical_raw!C25="N/A","N/A",IF(FIRE1201_historical_raw!C25="..","..",ROUND(FIRE1201_historical_raw!C25,0)))</f>
        <v>16626</v>
      </c>
      <c r="D23" s="204"/>
      <c r="E23" s="204">
        <f ca="1">IF(FIRE1201_historical_raw!D25="N/A","N/A",IF(FIRE1201_historical_raw!D25="..","..",ROUND(FIRE1201_historical_raw!D25,0)))</f>
        <v>6075</v>
      </c>
      <c r="F23" s="204">
        <f ca="1">IF(FIRE1201_historical_raw!E25="N/A","N/A",IF(FIRE1201_historical_raw!E25="..","..",ROUND(FIRE1201_historical_raw!E25,0)))</f>
        <v>8025</v>
      </c>
      <c r="G23" s="204"/>
      <c r="H23" s="204">
        <f ca="1">IF(FIRE1201_historical_raw!F25="N/A","N/A",IF(FIRE1201_historical_raw!F25="..","..",ROUND(FIRE1201_historical_raw!F25,0)))</f>
        <v>2265</v>
      </c>
      <c r="I23" s="204">
        <f ca="1">IF(FIRE1201_historical_raw!G25="N/A","N/A",IF(FIRE1201_historical_raw!G25="..","..",ROUND(FIRE1201_historical_raw!G25,0)))</f>
        <v>3017</v>
      </c>
      <c r="J23" s="204"/>
      <c r="K23" s="204">
        <f ca="1">IF(FIRE1201_historical_raw!H25="N/A","N/A",IF(FIRE1201_historical_raw!H25="..","..",ROUND(FIRE1201_historical_raw!H25,0)))</f>
        <v>980</v>
      </c>
      <c r="L23" s="204">
        <f ca="1">IF(FIRE1201_historical_raw!I25="N/A","N/A",IF(FIRE1201_historical_raw!I25="..","..",ROUND(FIRE1201_historical_raw!I25,0)))</f>
        <v>475</v>
      </c>
      <c r="M23" s="190"/>
      <c r="O23" s="200"/>
      <c r="P23" s="200"/>
      <c r="R23" s="200"/>
      <c r="S23" s="200"/>
      <c r="U23" s="203"/>
      <c r="V23" s="203"/>
      <c r="W23" s="203"/>
      <c r="X23" s="203"/>
      <c r="Y23" s="203"/>
      <c r="AA23" s="201"/>
      <c r="AB23" s="201"/>
      <c r="AC23" s="201"/>
      <c r="AD23" s="201"/>
      <c r="AE23" s="201"/>
      <c r="AF23" s="201"/>
      <c r="AG23" s="201"/>
      <c r="AH23" s="201"/>
      <c r="AI23" s="201"/>
      <c r="AJ23" s="201"/>
      <c r="AK23" s="201"/>
    </row>
    <row r="24" spans="1:37" s="191" customFormat="1" ht="15" customHeight="1" x14ac:dyDescent="0.35">
      <c r="A24" s="190" t="s">
        <v>22</v>
      </c>
      <c r="B24" s="204">
        <f ca="1">IF(FIRE1201_historical_raw!B26="N/A","N/A",IF(FIRE1201_historical_raw!B26="..","..",ROUND(FIRE1201_historical_raw!B26,0)))</f>
        <v>9583</v>
      </c>
      <c r="C24" s="204">
        <f ca="1">IF(FIRE1201_historical_raw!C26="N/A","N/A",IF(FIRE1201_historical_raw!C26="..","..",ROUND(FIRE1201_historical_raw!C26,0)))</f>
        <v>8671</v>
      </c>
      <c r="D24" s="204"/>
      <c r="E24" s="204">
        <f ca="1">IF(FIRE1201_historical_raw!D26="N/A","N/A",IF(FIRE1201_historical_raw!D26="..","..",ROUND(FIRE1201_historical_raw!D26,0)))</f>
        <v>3212</v>
      </c>
      <c r="F24" s="204">
        <f ca="1">IF(FIRE1201_historical_raw!E26="N/A","N/A",IF(FIRE1201_historical_raw!E26="..","..",ROUND(FIRE1201_historical_raw!E26,0)))</f>
        <v>3882</v>
      </c>
      <c r="G24" s="204"/>
      <c r="H24" s="204">
        <f ca="1">IF(FIRE1201_historical_raw!F26="N/A","N/A",IF(FIRE1201_historical_raw!F26="..","..",ROUND(FIRE1201_historical_raw!F26,0)))</f>
        <v>4</v>
      </c>
      <c r="I24" s="204">
        <f ca="1">IF(FIRE1201_historical_raw!G26="N/A","N/A",IF(FIRE1201_historical_raw!G26="..","..",ROUND(FIRE1201_historical_raw!G26,0)))</f>
        <v>5</v>
      </c>
      <c r="J24" s="204"/>
      <c r="K24" s="204">
        <f ca="1">IF(FIRE1201_historical_raw!H26="N/A","N/A",IF(FIRE1201_historical_raw!H26="..","..",ROUND(FIRE1201_historical_raw!H26,0)))</f>
        <v>0</v>
      </c>
      <c r="L24" s="204">
        <f ca="1">IF(FIRE1201_historical_raw!I26="N/A","N/A",IF(FIRE1201_historical_raw!I26="..","..",ROUND(FIRE1201_historical_raw!I26,0)))</f>
        <v>0</v>
      </c>
      <c r="M24" s="190"/>
      <c r="O24" s="200"/>
      <c r="P24" s="200"/>
      <c r="R24" s="200"/>
      <c r="S24" s="200"/>
      <c r="U24" s="203"/>
      <c r="V24" s="203"/>
      <c r="W24" s="203"/>
      <c r="X24" s="203"/>
      <c r="Y24" s="203"/>
      <c r="AA24" s="201"/>
      <c r="AB24" s="201"/>
      <c r="AC24" s="201"/>
      <c r="AD24" s="201"/>
      <c r="AE24" s="201"/>
      <c r="AF24" s="201"/>
      <c r="AG24" s="201"/>
      <c r="AH24" s="201"/>
      <c r="AI24" s="201"/>
      <c r="AJ24" s="201"/>
      <c r="AK24" s="201"/>
    </row>
    <row r="25" spans="1:37" s="191" customFormat="1" ht="15" customHeight="1" x14ac:dyDescent="0.35">
      <c r="A25" s="190" t="s">
        <v>23</v>
      </c>
      <c r="B25" s="204">
        <f ca="1">IF(FIRE1201_historical_raw!B27="N/A","N/A",IF(FIRE1201_historical_raw!B27="..","..",ROUND(FIRE1201_historical_raw!B27,0)))</f>
        <v>10144</v>
      </c>
      <c r="C25" s="204">
        <f ca="1">IF(FIRE1201_historical_raw!C27="N/A","N/A",IF(FIRE1201_historical_raw!C27="..","..",ROUND(FIRE1201_historical_raw!C27,0)))</f>
        <v>15884</v>
      </c>
      <c r="D25" s="204"/>
      <c r="E25" s="204">
        <f ca="1">IF(FIRE1201_historical_raw!D27="N/A","N/A",IF(FIRE1201_historical_raw!D27="..","..",ROUND(FIRE1201_historical_raw!D27,0)))</f>
        <v>5328</v>
      </c>
      <c r="F25" s="204">
        <f ca="1">IF(FIRE1201_historical_raw!E27="N/A","N/A",IF(FIRE1201_historical_raw!E27="..","..",ROUND(FIRE1201_historical_raw!E27,0)))</f>
        <v>6369</v>
      </c>
      <c r="G25" s="204"/>
      <c r="H25" s="204">
        <f ca="1">IF(FIRE1201_historical_raw!F27="N/A","N/A",IF(FIRE1201_historical_raw!F27="..","..",ROUND(FIRE1201_historical_raw!F27,0)))</f>
        <v>352</v>
      </c>
      <c r="I25" s="204">
        <f ca="1">IF(FIRE1201_historical_raw!G27="N/A","N/A",IF(FIRE1201_historical_raw!G27="..","..",ROUND(FIRE1201_historical_raw!G27,0)))</f>
        <v>792</v>
      </c>
      <c r="J25" s="204"/>
      <c r="K25" s="204" t="str">
        <f ca="1">IF(FIRE1201_historical_raw!H27="N/A","N/A",IF(FIRE1201_historical_raw!H27="..","..",ROUND(FIRE1201_historical_raw!H27,0)))</f>
        <v>N/A</v>
      </c>
      <c r="L25" s="204" t="str">
        <f ca="1">IF(FIRE1201_historical_raw!I27="N/A","N/A",IF(FIRE1201_historical_raw!I27="..","..",ROUND(FIRE1201_historical_raw!I27,0)))</f>
        <v>N/A</v>
      </c>
      <c r="M25" s="190"/>
      <c r="O25" s="200"/>
      <c r="P25" s="200"/>
      <c r="R25" s="200"/>
      <c r="S25" s="200"/>
      <c r="U25" s="203"/>
      <c r="V25" s="203"/>
      <c r="W25" s="203"/>
      <c r="X25" s="203"/>
      <c r="Y25" s="203"/>
      <c r="AA25" s="201"/>
      <c r="AB25" s="201"/>
      <c r="AC25" s="201"/>
      <c r="AD25" s="201"/>
      <c r="AE25" s="201"/>
      <c r="AF25" s="201"/>
      <c r="AG25" s="201"/>
      <c r="AH25" s="201"/>
      <c r="AI25" s="201"/>
      <c r="AJ25" s="201"/>
      <c r="AK25" s="201"/>
    </row>
    <row r="26" spans="1:37" s="191" customFormat="1" ht="15" customHeight="1" x14ac:dyDescent="0.35">
      <c r="A26" s="190" t="s">
        <v>24</v>
      </c>
      <c r="B26" s="204">
        <f ca="1">IF(FIRE1201_historical_raw!B28="N/A","N/A",IF(FIRE1201_historical_raw!B28="..","..",ROUND(FIRE1201_historical_raw!B28,0)))</f>
        <v>6770</v>
      </c>
      <c r="C26" s="204">
        <f ca="1">IF(FIRE1201_historical_raw!C28="N/A","N/A",IF(FIRE1201_historical_raw!C28="..","..",ROUND(FIRE1201_historical_raw!C28,0)))</f>
        <v>10161</v>
      </c>
      <c r="D26" s="204"/>
      <c r="E26" s="204">
        <f ca="1">IF(FIRE1201_historical_raw!D28="N/A","N/A",IF(FIRE1201_historical_raw!D28="..","..",ROUND(FIRE1201_historical_raw!D28,0)))</f>
        <v>3149</v>
      </c>
      <c r="F26" s="204">
        <f ca="1">IF(FIRE1201_historical_raw!E28="N/A","N/A",IF(FIRE1201_historical_raw!E28="..","..",ROUND(FIRE1201_historical_raw!E28,0)))</f>
        <v>4703</v>
      </c>
      <c r="G26" s="204"/>
      <c r="H26" s="204">
        <f ca="1">IF(FIRE1201_historical_raw!F28="N/A","N/A",IF(FIRE1201_historical_raw!F28="..","..",ROUND(FIRE1201_historical_raw!F28,0)))</f>
        <v>1039</v>
      </c>
      <c r="I26" s="204">
        <f ca="1">IF(FIRE1201_historical_raw!G28="N/A","N/A",IF(FIRE1201_historical_raw!G28="..","..",ROUND(FIRE1201_historical_raw!G28,0)))</f>
        <v>1568</v>
      </c>
      <c r="J26" s="204"/>
      <c r="K26" s="204">
        <f ca="1">IF(FIRE1201_historical_raw!H28="N/A","N/A",IF(FIRE1201_historical_raw!H28="..","..",ROUND(FIRE1201_historical_raw!H28,0)))</f>
        <v>697</v>
      </c>
      <c r="L26" s="204">
        <f ca="1">IF(FIRE1201_historical_raw!I28="N/A","N/A",IF(FIRE1201_historical_raw!I28="..","..",ROUND(FIRE1201_historical_raw!I28,0)))</f>
        <v>508</v>
      </c>
      <c r="M26" s="190"/>
      <c r="O26" s="200"/>
      <c r="P26" s="200"/>
      <c r="R26" s="200"/>
      <c r="S26" s="200"/>
      <c r="U26" s="203"/>
      <c r="V26" s="203"/>
      <c r="W26" s="203"/>
      <c r="X26" s="203"/>
      <c r="Y26" s="203"/>
      <c r="AA26" s="201"/>
      <c r="AB26" s="201"/>
      <c r="AC26" s="201"/>
      <c r="AD26" s="201"/>
      <c r="AE26" s="201"/>
      <c r="AF26" s="201"/>
      <c r="AG26" s="201"/>
      <c r="AH26" s="201"/>
      <c r="AI26" s="201"/>
      <c r="AJ26" s="201"/>
      <c r="AK26" s="201"/>
    </row>
    <row r="27" spans="1:37" s="191" customFormat="1" ht="15" customHeight="1" x14ac:dyDescent="0.35">
      <c r="A27" s="190" t="s">
        <v>25</v>
      </c>
      <c r="B27" s="204">
        <f ca="1">IF(FIRE1201_historical_raw!B29="N/A","N/A",IF(FIRE1201_historical_raw!B29="..","..",ROUND(FIRE1201_historical_raw!B29,0)))</f>
        <v>2896</v>
      </c>
      <c r="C27" s="204">
        <f ca="1">IF(FIRE1201_historical_raw!C29="N/A","N/A",IF(FIRE1201_historical_raw!C29="..","..",ROUND(FIRE1201_historical_raw!C29,0)))</f>
        <v>3134</v>
      </c>
      <c r="D27" s="204"/>
      <c r="E27" s="204">
        <f ca="1">IF(FIRE1201_historical_raw!D29="N/A","N/A",IF(FIRE1201_historical_raw!D29="..","..",ROUND(FIRE1201_historical_raw!D29,0)))</f>
        <v>1178</v>
      </c>
      <c r="F27" s="204">
        <f ca="1">IF(FIRE1201_historical_raw!E29="N/A","N/A",IF(FIRE1201_historical_raw!E29="..","..",ROUND(FIRE1201_historical_raw!E29,0)))</f>
        <v>1232</v>
      </c>
      <c r="G27" s="204"/>
      <c r="H27" s="204">
        <f ca="1">IF(FIRE1201_historical_raw!F29="N/A","N/A",IF(FIRE1201_historical_raw!F29="..","..",ROUND(FIRE1201_historical_raw!F29,0)))</f>
        <v>500</v>
      </c>
      <c r="I27" s="204">
        <f ca="1">IF(FIRE1201_historical_raw!G29="N/A","N/A",IF(FIRE1201_historical_raw!G29="..","..",ROUND(FIRE1201_historical_raw!G29,0)))</f>
        <v>1229</v>
      </c>
      <c r="J27" s="204"/>
      <c r="K27" s="204">
        <f ca="1">IF(FIRE1201_historical_raw!H29="N/A","N/A",IF(FIRE1201_historical_raw!H29="..","..",ROUND(FIRE1201_historical_raw!H29,0)))</f>
        <v>71</v>
      </c>
      <c r="L27" s="204">
        <f ca="1">IF(FIRE1201_historical_raw!I29="N/A","N/A",IF(FIRE1201_historical_raw!I29="..","..",ROUND(FIRE1201_historical_raw!I29,0)))</f>
        <v>40</v>
      </c>
      <c r="M27" s="190"/>
      <c r="O27" s="200"/>
      <c r="P27" s="200"/>
      <c r="R27" s="200"/>
      <c r="S27" s="200"/>
      <c r="U27" s="203"/>
      <c r="V27" s="203"/>
      <c r="W27" s="203"/>
      <c r="X27" s="203"/>
      <c r="Y27" s="203"/>
      <c r="AA27" s="201"/>
      <c r="AB27" s="201"/>
      <c r="AC27" s="201"/>
      <c r="AD27" s="201"/>
      <c r="AE27" s="201"/>
      <c r="AF27" s="201"/>
      <c r="AG27" s="201"/>
      <c r="AH27" s="201"/>
      <c r="AI27" s="201"/>
      <c r="AJ27" s="201"/>
      <c r="AK27" s="201"/>
    </row>
    <row r="28" spans="1:37" s="191" customFormat="1" ht="15" customHeight="1" x14ac:dyDescent="0.35">
      <c r="A28" s="190" t="s">
        <v>276</v>
      </c>
      <c r="B28" s="204">
        <f ca="1">IF(FIRE1201_historical_raw!B30="N/A","N/A",IF(FIRE1201_historical_raw!B30="..","..",ROUND(FIRE1201_historical_raw!B30,0)))</f>
        <v>70016</v>
      </c>
      <c r="C28" s="204">
        <f ca="1">IF(FIRE1201_historical_raw!C30="N/A","N/A",IF(FIRE1201_historical_raw!C30="..","..",ROUND(FIRE1201_historical_raw!C30,0)))</f>
        <v>71842</v>
      </c>
      <c r="D28" s="204"/>
      <c r="E28" s="204">
        <f ca="1">IF(FIRE1201_historical_raw!D30="N/A","N/A",IF(FIRE1201_historical_raw!D30="..","..",ROUND(FIRE1201_historical_raw!D30,0)))</f>
        <v>27042</v>
      </c>
      <c r="F28" s="204">
        <f ca="1">IF(FIRE1201_historical_raw!E30="N/A","N/A",IF(FIRE1201_historical_raw!E30="..","..",ROUND(FIRE1201_historical_raw!E30,0)))</f>
        <v>28258</v>
      </c>
      <c r="G28" s="204"/>
      <c r="H28" s="204">
        <f ca="1">IF(FIRE1201_historical_raw!F30="N/A","N/A",IF(FIRE1201_historical_raw!F30="..","..",ROUND(FIRE1201_historical_raw!F30,0)))</f>
        <v>10272</v>
      </c>
      <c r="I28" s="204">
        <f ca="1">IF(FIRE1201_historical_raw!G30="N/A","N/A",IF(FIRE1201_historical_raw!G30="..","..",ROUND(FIRE1201_historical_raw!G30,0)))</f>
        <v>10464</v>
      </c>
      <c r="J28" s="204"/>
      <c r="K28" s="204">
        <f ca="1">IF(FIRE1201_historical_raw!H30="N/A","N/A",IF(FIRE1201_historical_raw!H30="..","..",ROUND(FIRE1201_historical_raw!H30,0)))</f>
        <v>8797</v>
      </c>
      <c r="L28" s="204">
        <f ca="1">IF(FIRE1201_historical_raw!I30="N/A","N/A",IF(FIRE1201_historical_raw!I30="..","..",ROUND(FIRE1201_historical_raw!I30,0)))</f>
        <v>9026</v>
      </c>
      <c r="M28" s="190"/>
      <c r="O28" s="200"/>
      <c r="P28" s="200"/>
      <c r="R28" s="200"/>
      <c r="S28" s="200"/>
      <c r="U28" s="203"/>
      <c r="V28" s="203"/>
      <c r="W28" s="203"/>
      <c r="X28" s="203"/>
      <c r="Y28" s="203"/>
      <c r="AA28" s="201"/>
      <c r="AB28" s="201"/>
      <c r="AC28" s="201"/>
      <c r="AD28" s="201"/>
      <c r="AE28" s="201"/>
      <c r="AF28" s="201"/>
      <c r="AG28" s="201"/>
      <c r="AH28" s="201"/>
      <c r="AI28" s="201"/>
      <c r="AJ28" s="201"/>
      <c r="AK28" s="201"/>
    </row>
    <row r="29" spans="1:37" s="191" customFormat="1" ht="15" customHeight="1" x14ac:dyDescent="0.35">
      <c r="A29" s="190" t="s">
        <v>27</v>
      </c>
      <c r="B29" s="204">
        <f ca="1">IF(FIRE1201_historical_raw!B31="N/A","N/A",IF(FIRE1201_historical_raw!B31="..","..",ROUND(FIRE1201_historical_raw!B31,0)))</f>
        <v>55115</v>
      </c>
      <c r="C29" s="204">
        <f ca="1">IF(FIRE1201_historical_raw!C31="N/A","N/A",IF(FIRE1201_historical_raw!C31="..","..",ROUND(FIRE1201_historical_raw!C31,0)))</f>
        <v>108642</v>
      </c>
      <c r="D29" s="204"/>
      <c r="E29" s="204">
        <f ca="1">IF(FIRE1201_historical_raw!D31="N/A","N/A",IF(FIRE1201_historical_raw!D31="..","..",ROUND(FIRE1201_historical_raw!D31,0)))</f>
        <v>16238</v>
      </c>
      <c r="F29" s="204">
        <f ca="1">IF(FIRE1201_historical_raw!E31="N/A","N/A",IF(FIRE1201_historical_raw!E31="..","..",ROUND(FIRE1201_historical_raw!E31,0)))</f>
        <v>32745</v>
      </c>
      <c r="G29" s="204"/>
      <c r="H29" s="204" t="str">
        <f ca="1">IF(FIRE1201_historical_raw!F31="N/A","N/A",IF(FIRE1201_historical_raw!F31="..","..",ROUND(FIRE1201_historical_raw!F31,0)))</f>
        <v>N/A</v>
      </c>
      <c r="I29" s="204" t="str">
        <f ca="1">IF(FIRE1201_historical_raw!G31="N/A","N/A",IF(FIRE1201_historical_raw!G31="..","..",ROUND(FIRE1201_historical_raw!G31,0)))</f>
        <v>N/A</v>
      </c>
      <c r="J29" s="204"/>
      <c r="K29" s="204">
        <f ca="1">IF(FIRE1201_historical_raw!H31="N/A","N/A",IF(FIRE1201_historical_raw!H31="..","..",ROUND(FIRE1201_historical_raw!H31,0)))</f>
        <v>18961</v>
      </c>
      <c r="L29" s="204">
        <f ca="1">IF(FIRE1201_historical_raw!I31="N/A","N/A",IF(FIRE1201_historical_raw!I31="..","..",ROUND(FIRE1201_historical_raw!I31,0)))</f>
        <v>13941</v>
      </c>
      <c r="M29" s="190"/>
      <c r="O29" s="200"/>
      <c r="P29" s="200"/>
      <c r="R29" s="200"/>
      <c r="S29" s="200"/>
      <c r="U29" s="203"/>
      <c r="V29" s="203"/>
      <c r="W29" s="203"/>
      <c r="X29" s="203"/>
      <c r="Y29" s="203"/>
      <c r="AA29" s="201"/>
      <c r="AB29" s="201"/>
      <c r="AC29" s="201"/>
      <c r="AD29" s="201"/>
      <c r="AE29" s="201"/>
      <c r="AF29" s="201"/>
      <c r="AG29" s="201"/>
      <c r="AH29" s="201"/>
      <c r="AI29" s="201"/>
      <c r="AJ29" s="201"/>
      <c r="AK29" s="201"/>
    </row>
    <row r="30" spans="1:37" s="191" customFormat="1" ht="15" customHeight="1" x14ac:dyDescent="0.35">
      <c r="A30" s="191" t="s">
        <v>93</v>
      </c>
      <c r="B30" s="204">
        <f ca="1">IF(FIRE1201_historical_raw!B32="N/A","N/A",IF(FIRE1201_historical_raw!B32="..","..",ROUND(FIRE1201_historical_raw!B32,0)))</f>
        <v>11585</v>
      </c>
      <c r="C30" s="204">
        <f ca="1">IF(FIRE1201_historical_raw!C32="N/A","N/A",IF(FIRE1201_historical_raw!C32="..","..",ROUND(FIRE1201_historical_raw!C32,0)))</f>
        <v>21356</v>
      </c>
      <c r="D30" s="204"/>
      <c r="E30" s="204">
        <f ca="1">IF(FIRE1201_historical_raw!D32="N/A","N/A",IF(FIRE1201_historical_raw!D32="..","..",ROUND(FIRE1201_historical_raw!D32,0)))</f>
        <v>6003</v>
      </c>
      <c r="F30" s="204">
        <f ca="1">IF(FIRE1201_historical_raw!E32="N/A","N/A",IF(FIRE1201_historical_raw!E32="..","..",ROUND(FIRE1201_historical_raw!E32,0)))</f>
        <v>10236</v>
      </c>
      <c r="G30" s="204"/>
      <c r="H30" s="204">
        <f ca="1">IF(FIRE1201_historical_raw!F32="N/A","N/A",IF(FIRE1201_historical_raw!F32="..","..",ROUND(FIRE1201_historical_raw!F32,0)))</f>
        <v>1502</v>
      </c>
      <c r="I30" s="204">
        <f ca="1">IF(FIRE1201_historical_raw!G32="N/A","N/A",IF(FIRE1201_historical_raw!G32="..","..",ROUND(FIRE1201_historical_raw!G32,0)))</f>
        <v>2503</v>
      </c>
      <c r="J30" s="204"/>
      <c r="K30" s="204">
        <f ca="1">IF(FIRE1201_historical_raw!H32="N/A","N/A",IF(FIRE1201_historical_raw!H32="..","..",ROUND(FIRE1201_historical_raw!H32,0)))</f>
        <v>201</v>
      </c>
      <c r="L30" s="204">
        <f ca="1">IF(FIRE1201_historical_raw!I32="N/A","N/A",IF(FIRE1201_historical_raw!I32="..","..",ROUND(FIRE1201_historical_raw!I32,0)))</f>
        <v>150</v>
      </c>
      <c r="M30" s="190"/>
      <c r="O30" s="200"/>
      <c r="P30" s="200"/>
      <c r="R30" s="200"/>
      <c r="S30" s="200"/>
      <c r="U30" s="203"/>
      <c r="V30" s="203"/>
      <c r="W30" s="203"/>
      <c r="X30" s="203"/>
      <c r="Y30" s="203"/>
      <c r="AA30" s="201"/>
      <c r="AB30" s="201"/>
      <c r="AC30" s="201"/>
      <c r="AD30" s="201"/>
      <c r="AE30" s="201"/>
      <c r="AF30" s="201"/>
      <c r="AG30" s="201"/>
      <c r="AH30" s="201"/>
      <c r="AI30" s="201"/>
      <c r="AJ30" s="201"/>
      <c r="AK30" s="201"/>
    </row>
    <row r="31" spans="1:37" s="191" customFormat="1" ht="15" customHeight="1" x14ac:dyDescent="0.35">
      <c r="A31" s="191" t="s">
        <v>28</v>
      </c>
      <c r="B31" s="204">
        <f ca="1">IF(FIRE1201_historical_raw!B33="N/A","N/A",IF(FIRE1201_historical_raw!B33="..","..",ROUND(FIRE1201_historical_raw!B33,0)))</f>
        <v>3868</v>
      </c>
      <c r="C31" s="204">
        <f ca="1">IF(FIRE1201_historical_raw!C33="N/A","N/A",IF(FIRE1201_historical_raw!C33="..","..",ROUND(FIRE1201_historical_raw!C33,0)))</f>
        <v>9487</v>
      </c>
      <c r="D31" s="204"/>
      <c r="E31" s="204">
        <f ca="1">IF(FIRE1201_historical_raw!D33="N/A","N/A",IF(FIRE1201_historical_raw!D33="..","..",ROUND(FIRE1201_historical_raw!D33,0)))</f>
        <v>986</v>
      </c>
      <c r="F31" s="204">
        <f ca="1">IF(FIRE1201_historical_raw!E33="N/A","N/A",IF(FIRE1201_historical_raw!E33="..","..",ROUND(FIRE1201_historical_raw!E33,0)))</f>
        <v>2902</v>
      </c>
      <c r="G31" s="204"/>
      <c r="H31" s="204" t="str">
        <f ca="1">IF(FIRE1201_historical_raw!F33="N/A","N/A",IF(FIRE1201_historical_raw!F33="..","..",ROUND(FIRE1201_historical_raw!F33,0)))</f>
        <v>N/A</v>
      </c>
      <c r="I31" s="204" t="str">
        <f ca="1">IF(FIRE1201_historical_raw!G33="N/A","N/A",IF(FIRE1201_historical_raw!G33="..","..",ROUND(FIRE1201_historical_raw!G33,0)))</f>
        <v>N/A</v>
      </c>
      <c r="J31" s="204"/>
      <c r="K31" s="204">
        <f ca="1">IF(FIRE1201_historical_raw!H33="N/A","N/A",IF(FIRE1201_historical_raw!H33="..","..",ROUND(FIRE1201_historical_raw!H33,0)))</f>
        <v>0</v>
      </c>
      <c r="L31" s="204">
        <f ca="1">IF(FIRE1201_historical_raw!I33="N/A","N/A",IF(FIRE1201_historical_raw!I33="..","..",ROUND(FIRE1201_historical_raw!I33,0)))</f>
        <v>0</v>
      </c>
      <c r="M31" s="190"/>
      <c r="O31" s="200"/>
      <c r="P31" s="200"/>
      <c r="R31" s="200"/>
      <c r="S31" s="200"/>
      <c r="U31" s="203"/>
      <c r="V31" s="203"/>
      <c r="W31" s="203"/>
      <c r="X31" s="203"/>
      <c r="Y31" s="203"/>
      <c r="AA31" s="201"/>
      <c r="AB31" s="201"/>
      <c r="AC31" s="201"/>
      <c r="AD31" s="201"/>
      <c r="AE31" s="201"/>
      <c r="AF31" s="201"/>
      <c r="AG31" s="201"/>
      <c r="AH31" s="201"/>
      <c r="AI31" s="201"/>
      <c r="AJ31" s="201"/>
      <c r="AK31" s="201"/>
    </row>
    <row r="32" spans="1:37" s="191" customFormat="1" ht="15" customHeight="1" x14ac:dyDescent="0.35">
      <c r="A32" s="190" t="s">
        <v>29</v>
      </c>
      <c r="B32" s="204">
        <f ca="1">IF(FIRE1201_historical_raw!B34="N/A","N/A",IF(FIRE1201_historical_raw!B34="..","..",ROUND(FIRE1201_historical_raw!B34,0)))</f>
        <v>3519</v>
      </c>
      <c r="C32" s="204">
        <f ca="1">IF(FIRE1201_historical_raw!C34="N/A","N/A",IF(FIRE1201_historical_raw!C34="..","..",ROUND(FIRE1201_historical_raw!C34,0)))</f>
        <v>9309</v>
      </c>
      <c r="D32" s="204"/>
      <c r="E32" s="204">
        <f ca="1">IF(FIRE1201_historical_raw!D34="N/A","N/A",IF(FIRE1201_historical_raw!D34="..","..",ROUND(FIRE1201_historical_raw!D34,0)))</f>
        <v>1335</v>
      </c>
      <c r="F32" s="204">
        <f ca="1">IF(FIRE1201_historical_raw!E34="N/A","N/A",IF(FIRE1201_historical_raw!E34="..","..",ROUND(FIRE1201_historical_raw!E34,0)))</f>
        <v>2430</v>
      </c>
      <c r="G32" s="204"/>
      <c r="H32" s="204">
        <f ca="1">IF(FIRE1201_historical_raw!F34="N/A","N/A",IF(FIRE1201_historical_raw!F34="..","..",ROUND(FIRE1201_historical_raw!F34,0)))</f>
        <v>19</v>
      </c>
      <c r="I32" s="204">
        <f ca="1">IF(FIRE1201_historical_raw!G34="N/A","N/A",IF(FIRE1201_historical_raw!G34="..","..",ROUND(FIRE1201_historical_raw!G34,0)))</f>
        <v>96</v>
      </c>
      <c r="J32" s="204"/>
      <c r="K32" s="204">
        <f ca="1">IF(FIRE1201_historical_raw!H34="N/A","N/A",IF(FIRE1201_historical_raw!H34="..","..",ROUND(FIRE1201_historical_raw!H34,0)))</f>
        <v>441</v>
      </c>
      <c r="L32" s="204">
        <f ca="1">IF(FIRE1201_historical_raw!I34="N/A","N/A",IF(FIRE1201_historical_raw!I34="..","..",ROUND(FIRE1201_historical_raw!I34,0)))</f>
        <v>287</v>
      </c>
      <c r="M32" s="190"/>
      <c r="O32" s="200"/>
      <c r="P32" s="200"/>
      <c r="R32" s="200"/>
      <c r="S32" s="200"/>
      <c r="U32" s="203"/>
      <c r="V32" s="203"/>
      <c r="W32" s="203"/>
      <c r="X32" s="203"/>
      <c r="Y32" s="203"/>
      <c r="AA32" s="201"/>
      <c r="AB32" s="201"/>
      <c r="AC32" s="201"/>
      <c r="AD32" s="201"/>
      <c r="AE32" s="201"/>
      <c r="AF32" s="201"/>
      <c r="AG32" s="201"/>
      <c r="AH32" s="201"/>
      <c r="AI32" s="201"/>
      <c r="AJ32" s="201"/>
      <c r="AK32" s="201"/>
    </row>
    <row r="33" spans="1:37" s="191" customFormat="1" ht="15" customHeight="1" x14ac:dyDescent="0.35">
      <c r="A33" s="191" t="s">
        <v>30</v>
      </c>
      <c r="B33" s="204">
        <f ca="1">IF(FIRE1201_historical_raw!B35="N/A","N/A",IF(FIRE1201_historical_raw!B35="..","..",ROUND(FIRE1201_historical_raw!B35,0)))</f>
        <v>23347</v>
      </c>
      <c r="C33" s="204">
        <f ca="1">IF(FIRE1201_historical_raw!C35="N/A","N/A",IF(FIRE1201_historical_raw!C35="..","..",ROUND(FIRE1201_historical_raw!C35,0)))</f>
        <v>36116</v>
      </c>
      <c r="D33" s="204"/>
      <c r="E33" s="204">
        <f ca="1">IF(FIRE1201_historical_raw!D35="N/A","N/A",IF(FIRE1201_historical_raw!D35="..","..",ROUND(FIRE1201_historical_raw!D35,0)))</f>
        <v>6649</v>
      </c>
      <c r="F33" s="204">
        <f ca="1">IF(FIRE1201_historical_raw!E35="N/A","N/A",IF(FIRE1201_historical_raw!E35="..","..",ROUND(FIRE1201_historical_raw!E35,0)))</f>
        <v>10306</v>
      </c>
      <c r="G33" s="204"/>
      <c r="H33" s="204">
        <f ca="1">IF(FIRE1201_historical_raw!F35="N/A","N/A",IF(FIRE1201_historical_raw!F35="..","..",ROUND(FIRE1201_historical_raw!F35,0)))</f>
        <v>1723</v>
      </c>
      <c r="I33" s="204">
        <f ca="1">IF(FIRE1201_historical_raw!G35="N/A","N/A",IF(FIRE1201_historical_raw!G35="..","..",ROUND(FIRE1201_historical_raw!G35,0)))</f>
        <v>2671</v>
      </c>
      <c r="J33" s="204"/>
      <c r="K33" s="204">
        <f ca="1">IF(FIRE1201_historical_raw!H35="N/A","N/A",IF(FIRE1201_historical_raw!H35="..","..",ROUND(FIRE1201_historical_raw!H35,0)))</f>
        <v>2896</v>
      </c>
      <c r="L33" s="204">
        <f ca="1">IF(FIRE1201_historical_raw!I35="N/A","N/A",IF(FIRE1201_historical_raw!I35="..","..",ROUND(FIRE1201_historical_raw!I35,0)))</f>
        <v>1535</v>
      </c>
      <c r="M33" s="190"/>
      <c r="O33" s="200"/>
      <c r="P33" s="200"/>
      <c r="R33" s="200"/>
      <c r="S33" s="200"/>
      <c r="U33" s="203"/>
      <c r="V33" s="203"/>
      <c r="W33" s="203"/>
      <c r="X33" s="203"/>
      <c r="Y33" s="203"/>
      <c r="AA33" s="201"/>
      <c r="AB33" s="201"/>
      <c r="AC33" s="201"/>
      <c r="AD33" s="201"/>
      <c r="AE33" s="201"/>
      <c r="AF33" s="201"/>
      <c r="AG33" s="201"/>
      <c r="AH33" s="201"/>
      <c r="AI33" s="201"/>
      <c r="AJ33" s="201"/>
      <c r="AK33" s="201"/>
    </row>
    <row r="34" spans="1:37" s="191" customFormat="1" ht="15" customHeight="1" x14ac:dyDescent="0.35">
      <c r="A34" s="191" t="s">
        <v>94</v>
      </c>
      <c r="B34" s="204">
        <f ca="1">IF(FIRE1201_historical_raw!B36="N/A","N/A",IF(FIRE1201_historical_raw!B36="..","..",ROUND(FIRE1201_historical_raw!B36,0)))</f>
        <v>47</v>
      </c>
      <c r="C34" s="204">
        <f ca="1">IF(FIRE1201_historical_raw!C36="N/A","N/A",IF(FIRE1201_historical_raw!C36="..","..",ROUND(FIRE1201_historical_raw!C36,0)))</f>
        <v>25</v>
      </c>
      <c r="D34" s="204"/>
      <c r="E34" s="204" t="str">
        <f ca="1">IF(FIRE1201_historical_raw!D36="N/A","N/A",IF(FIRE1201_historical_raw!D36="..","..",ROUND(FIRE1201_historical_raw!D36,0)))</f>
        <v>N/A</v>
      </c>
      <c r="F34" s="204" t="str">
        <f ca="1">IF(FIRE1201_historical_raw!E36="N/A","N/A",IF(FIRE1201_historical_raw!E36="..","..",ROUND(FIRE1201_historical_raw!E36,0)))</f>
        <v>N/A</v>
      </c>
      <c r="G34" s="204"/>
      <c r="H34" s="204" t="str">
        <f ca="1">IF(FIRE1201_historical_raw!F36="N/A","N/A",IF(FIRE1201_historical_raw!F36="..","..",ROUND(FIRE1201_historical_raw!F36,0)))</f>
        <v>N/A</v>
      </c>
      <c r="I34" s="204" t="str">
        <f ca="1">IF(FIRE1201_historical_raw!G36="N/A","N/A",IF(FIRE1201_historical_raw!G36="..","..",ROUND(FIRE1201_historical_raw!G36,0)))</f>
        <v>N/A</v>
      </c>
      <c r="J34" s="204"/>
      <c r="K34" s="204">
        <f ca="1">IF(FIRE1201_historical_raw!H36="N/A","N/A",IF(FIRE1201_historical_raw!H36="..","..",ROUND(FIRE1201_historical_raw!H36,0)))</f>
        <v>0</v>
      </c>
      <c r="L34" s="204">
        <f ca="1">IF(FIRE1201_historical_raw!I36="N/A","N/A",IF(FIRE1201_historical_raw!I36="..","..",ROUND(FIRE1201_historical_raw!I36,0)))</f>
        <v>0</v>
      </c>
      <c r="M34" s="190"/>
      <c r="O34" s="200"/>
      <c r="P34" s="200"/>
      <c r="R34" s="200"/>
      <c r="S34" s="200"/>
      <c r="U34" s="203"/>
      <c r="V34" s="203"/>
      <c r="W34" s="203"/>
      <c r="X34" s="203"/>
      <c r="Y34" s="203"/>
      <c r="AA34" s="201"/>
      <c r="AB34" s="201"/>
      <c r="AC34" s="201"/>
      <c r="AD34" s="201"/>
      <c r="AE34" s="201"/>
      <c r="AF34" s="201"/>
      <c r="AG34" s="201"/>
      <c r="AH34" s="201"/>
      <c r="AI34" s="201"/>
      <c r="AJ34" s="201"/>
      <c r="AK34" s="201"/>
    </row>
    <row r="35" spans="1:37" s="191" customFormat="1" ht="15" customHeight="1" x14ac:dyDescent="0.35">
      <c r="A35" s="191" t="s">
        <v>32</v>
      </c>
      <c r="B35" s="204">
        <f ca="1">IF(FIRE1201_historical_raw!B37="N/A","N/A",IF(FIRE1201_historical_raw!B37="..","..",ROUND(FIRE1201_historical_raw!B37,0)))</f>
        <v>12919</v>
      </c>
      <c r="C35" s="204">
        <f ca="1">IF(FIRE1201_historical_raw!C37="N/A","N/A",IF(FIRE1201_historical_raw!C37="..","..",ROUND(FIRE1201_historical_raw!C37,0)))</f>
        <v>18542</v>
      </c>
      <c r="D35" s="204"/>
      <c r="E35" s="204">
        <f ca="1">IF(FIRE1201_historical_raw!D37="N/A","N/A",IF(FIRE1201_historical_raw!D37="..","..",ROUND(FIRE1201_historical_raw!D37,0)))</f>
        <v>2253</v>
      </c>
      <c r="F35" s="204">
        <f ca="1">IF(FIRE1201_historical_raw!E37="N/A","N/A",IF(FIRE1201_historical_raw!E37="..","..",ROUND(FIRE1201_historical_raw!E37,0)))</f>
        <v>3319</v>
      </c>
      <c r="G35" s="204"/>
      <c r="H35" s="204">
        <f ca="1">IF(FIRE1201_historical_raw!F37="N/A","N/A",IF(FIRE1201_historical_raw!F37="..","..",ROUND(FIRE1201_historical_raw!F37,0)))</f>
        <v>3298</v>
      </c>
      <c r="I35" s="204">
        <f ca="1">IF(FIRE1201_historical_raw!G37="N/A","N/A",IF(FIRE1201_historical_raw!G37="..","..",ROUND(FIRE1201_historical_raw!G37,0)))</f>
        <v>4091</v>
      </c>
      <c r="J35" s="204"/>
      <c r="K35" s="204">
        <f ca="1">IF(FIRE1201_historical_raw!H37="N/A","N/A",IF(FIRE1201_historical_raw!H37="..","..",ROUND(FIRE1201_historical_raw!H37,0)))</f>
        <v>664</v>
      </c>
      <c r="L35" s="204" t="str">
        <f ca="1">IF(FIRE1201_historical_raw!I37="N/A","N/A",IF(FIRE1201_historical_raw!I37="..","..",ROUND(FIRE1201_historical_raw!I37,0)))</f>
        <v>N/A</v>
      </c>
      <c r="M35" s="190"/>
      <c r="O35" s="200"/>
      <c r="P35" s="200"/>
      <c r="R35" s="200"/>
      <c r="S35" s="200"/>
      <c r="U35" s="203"/>
      <c r="V35" s="203"/>
      <c r="W35" s="203"/>
      <c r="X35" s="203"/>
      <c r="Y35" s="203"/>
      <c r="AA35" s="201"/>
      <c r="AB35" s="201"/>
      <c r="AC35" s="201"/>
      <c r="AD35" s="201"/>
      <c r="AE35" s="201"/>
      <c r="AF35" s="201"/>
      <c r="AG35" s="201"/>
      <c r="AH35" s="201"/>
      <c r="AI35" s="201"/>
      <c r="AJ35" s="201"/>
      <c r="AK35" s="201"/>
    </row>
    <row r="36" spans="1:37" s="191" customFormat="1" ht="15" customHeight="1" x14ac:dyDescent="0.35">
      <c r="A36" s="191" t="s">
        <v>33</v>
      </c>
      <c r="B36" s="204">
        <f ca="1">IF(FIRE1201_historical_raw!B38="N/A","N/A",IF(FIRE1201_historical_raw!B38="..","..",ROUND(FIRE1201_historical_raw!B38,0)))</f>
        <v>54680</v>
      </c>
      <c r="C36" s="204">
        <f ca="1">IF(FIRE1201_historical_raw!C38="N/A","N/A",IF(FIRE1201_historical_raw!C38="..","..",ROUND(FIRE1201_historical_raw!C38,0)))</f>
        <v>73252</v>
      </c>
      <c r="D36" s="204"/>
      <c r="E36" s="204">
        <f ca="1">IF(FIRE1201_historical_raw!D38="N/A","N/A",IF(FIRE1201_historical_raw!D38="..","..",ROUND(FIRE1201_historical_raw!D38,0)))</f>
        <v>22674</v>
      </c>
      <c r="F36" s="204">
        <f ca="1">IF(FIRE1201_historical_raw!E38="N/A","N/A",IF(FIRE1201_historical_raw!E38="..","..",ROUND(FIRE1201_historical_raw!E38,0)))</f>
        <v>31512</v>
      </c>
      <c r="G36" s="204"/>
      <c r="H36" s="204">
        <f ca="1">IF(FIRE1201_historical_raw!F38="N/A","N/A",IF(FIRE1201_historical_raw!F38="..","..",ROUND(FIRE1201_historical_raw!F38,0)))</f>
        <v>12522</v>
      </c>
      <c r="I36" s="204">
        <f ca="1">IF(FIRE1201_historical_raw!G38="N/A","N/A",IF(FIRE1201_historical_raw!G38="..","..",ROUND(FIRE1201_historical_raw!G38,0)))</f>
        <v>18090</v>
      </c>
      <c r="J36" s="204"/>
      <c r="K36" s="204">
        <f ca="1">IF(FIRE1201_historical_raw!H38="N/A","N/A",IF(FIRE1201_historical_raw!H38="..","..",ROUND(FIRE1201_historical_raw!H38,0)))</f>
        <v>562</v>
      </c>
      <c r="L36" s="204">
        <f ca="1">IF(FIRE1201_historical_raw!I38="N/A","N/A",IF(FIRE1201_historical_raw!I38="..","..",ROUND(FIRE1201_historical_raw!I38,0)))</f>
        <v>378</v>
      </c>
      <c r="M36" s="190"/>
      <c r="O36" s="200"/>
      <c r="P36" s="200"/>
      <c r="R36" s="200"/>
      <c r="S36" s="200"/>
      <c r="U36" s="203"/>
      <c r="V36" s="203"/>
      <c r="W36" s="203"/>
      <c r="X36" s="203"/>
      <c r="Y36" s="203"/>
      <c r="AA36" s="201"/>
      <c r="AB36" s="201"/>
      <c r="AC36" s="201"/>
      <c r="AD36" s="201"/>
      <c r="AE36" s="201"/>
      <c r="AF36" s="201"/>
      <c r="AG36" s="201"/>
      <c r="AH36" s="201"/>
      <c r="AI36" s="201"/>
      <c r="AJ36" s="201"/>
      <c r="AK36" s="201"/>
    </row>
    <row r="37" spans="1:37" s="191" customFormat="1" ht="15" customHeight="1" x14ac:dyDescent="0.35">
      <c r="A37" s="190" t="s">
        <v>34</v>
      </c>
      <c r="B37" s="204">
        <f ca="1">IF(FIRE1201_historical_raw!B39="N/A","N/A",IF(FIRE1201_historical_raw!B39="..","..",ROUND(FIRE1201_historical_raw!B39,0)))</f>
        <v>4235</v>
      </c>
      <c r="C37" s="204">
        <f ca="1">IF(FIRE1201_historical_raw!C39="N/A","N/A",IF(FIRE1201_historical_raw!C39="..","..",ROUND(FIRE1201_historical_raw!C39,0)))</f>
        <v>7411</v>
      </c>
      <c r="D37" s="204"/>
      <c r="E37" s="204">
        <f ca="1">IF(FIRE1201_historical_raw!D39="N/A","N/A",IF(FIRE1201_historical_raw!D39="..","..",ROUND(FIRE1201_historical_raw!D39,0)))</f>
        <v>1238</v>
      </c>
      <c r="F37" s="204">
        <f ca="1">IF(FIRE1201_historical_raw!E39="N/A","N/A",IF(FIRE1201_historical_raw!E39="..","..",ROUND(FIRE1201_historical_raw!E39,0)))</f>
        <v>2167</v>
      </c>
      <c r="G37" s="204"/>
      <c r="H37" s="204">
        <f ca="1">IF(FIRE1201_historical_raw!F39="N/A","N/A",IF(FIRE1201_historical_raw!F39="..","..",ROUND(FIRE1201_historical_raw!F39,0)))</f>
        <v>716</v>
      </c>
      <c r="I37" s="204">
        <f ca="1">IF(FIRE1201_historical_raw!G39="N/A","N/A",IF(FIRE1201_historical_raw!G39="..","..",ROUND(FIRE1201_historical_raw!G39,0)))</f>
        <v>1253</v>
      </c>
      <c r="J37" s="204"/>
      <c r="K37" s="204">
        <f ca="1">IF(FIRE1201_historical_raw!H39="N/A","N/A",IF(FIRE1201_historical_raw!H39="..","..",ROUND(FIRE1201_historical_raw!H39,0)))</f>
        <v>86</v>
      </c>
      <c r="L37" s="204">
        <f ca="1">IF(FIRE1201_historical_raw!I39="N/A","N/A",IF(FIRE1201_historical_raw!I39="..","..",ROUND(FIRE1201_historical_raw!I39,0)))</f>
        <v>151</v>
      </c>
      <c r="M37" s="190"/>
      <c r="O37" s="200"/>
      <c r="P37" s="200"/>
      <c r="R37" s="200"/>
      <c r="S37" s="200"/>
      <c r="U37" s="203"/>
      <c r="V37" s="203"/>
      <c r="W37" s="203"/>
      <c r="X37" s="203"/>
      <c r="Y37" s="203"/>
      <c r="AA37" s="201"/>
      <c r="AB37" s="201"/>
      <c r="AC37" s="201"/>
      <c r="AD37" s="201"/>
      <c r="AE37" s="201"/>
      <c r="AF37" s="201"/>
      <c r="AG37" s="201"/>
      <c r="AH37" s="201"/>
      <c r="AI37" s="201"/>
      <c r="AJ37" s="201"/>
      <c r="AK37" s="201"/>
    </row>
    <row r="38" spans="1:37" s="191" customFormat="1" ht="15" customHeight="1" x14ac:dyDescent="0.35">
      <c r="A38" s="190" t="s">
        <v>35</v>
      </c>
      <c r="B38" s="204">
        <f ca="1">IF(FIRE1201_historical_raw!B40="N/A","N/A",IF(FIRE1201_historical_raw!B40="..","..",ROUND(FIRE1201_historical_raw!B40,0)))</f>
        <v>9300</v>
      </c>
      <c r="C38" s="204">
        <f ca="1">IF(FIRE1201_historical_raw!C40="N/A","N/A",IF(FIRE1201_historical_raw!C40="..","..",ROUND(FIRE1201_historical_raw!C40,0)))</f>
        <v>13900</v>
      </c>
      <c r="D38" s="204"/>
      <c r="E38" s="204" t="str">
        <f ca="1">IF(FIRE1201_historical_raw!D40="N/A","N/A",IF(FIRE1201_historical_raw!D40="..","..",ROUND(FIRE1201_historical_raw!D40,0)))</f>
        <v>N/A</v>
      </c>
      <c r="F38" s="204" t="str">
        <f ca="1">IF(FIRE1201_historical_raw!E40="N/A","N/A",IF(FIRE1201_historical_raw!E40="..","..",ROUND(FIRE1201_historical_raw!E40,0)))</f>
        <v>N/A</v>
      </c>
      <c r="G38" s="204"/>
      <c r="H38" s="204" t="str">
        <f ca="1">IF(FIRE1201_historical_raw!F40="N/A","N/A",IF(FIRE1201_historical_raw!F40="..","..",ROUND(FIRE1201_historical_raw!F40,0)))</f>
        <v>N/A</v>
      </c>
      <c r="I38" s="204" t="str">
        <f ca="1">IF(FIRE1201_historical_raw!G40="N/A","N/A",IF(FIRE1201_historical_raw!G40="..","..",ROUND(FIRE1201_historical_raw!G40,0)))</f>
        <v>N/A</v>
      </c>
      <c r="J38" s="204"/>
      <c r="K38" s="204" t="str">
        <f ca="1">IF(FIRE1201_historical_raw!H40="N/A","N/A",IF(FIRE1201_historical_raw!H40="..","..",ROUND(FIRE1201_historical_raw!H40,0)))</f>
        <v>N/A</v>
      </c>
      <c r="L38" s="204" t="str">
        <f ca="1">IF(FIRE1201_historical_raw!I40="N/A","N/A",IF(FIRE1201_historical_raw!I40="..","..",ROUND(FIRE1201_historical_raw!I40,0)))</f>
        <v>N/A</v>
      </c>
      <c r="M38" s="190"/>
      <c r="O38" s="200"/>
      <c r="P38" s="200"/>
      <c r="R38" s="200"/>
      <c r="S38" s="200"/>
      <c r="U38" s="203"/>
      <c r="V38" s="203"/>
      <c r="W38" s="203"/>
      <c r="X38" s="203"/>
      <c r="Y38" s="203"/>
      <c r="AA38" s="201"/>
      <c r="AB38" s="201"/>
      <c r="AC38" s="201"/>
      <c r="AD38" s="201"/>
      <c r="AE38" s="201"/>
      <c r="AF38" s="201"/>
      <c r="AG38" s="201"/>
      <c r="AH38" s="201"/>
      <c r="AI38" s="201"/>
      <c r="AJ38" s="201"/>
      <c r="AK38" s="201"/>
    </row>
    <row r="39" spans="1:37" s="191" customFormat="1" ht="15" customHeight="1" x14ac:dyDescent="0.35">
      <c r="A39" s="190" t="s">
        <v>36</v>
      </c>
      <c r="B39" s="204">
        <f ca="1">IF(FIRE1201_historical_raw!B41="N/A","N/A",IF(FIRE1201_historical_raw!B41="..","..",ROUND(FIRE1201_historical_raw!B41,0)))</f>
        <v>70477</v>
      </c>
      <c r="C39" s="204">
        <f ca="1">IF(FIRE1201_historical_raw!C41="N/A","N/A",IF(FIRE1201_historical_raw!C41="..","..",ROUND(FIRE1201_historical_raw!C41,0)))</f>
        <v>110181</v>
      </c>
      <c r="D39" s="204"/>
      <c r="E39" s="204">
        <f ca="1">IF(FIRE1201_historical_raw!D41="N/A","N/A",IF(FIRE1201_historical_raw!D41="..","..",ROUND(FIRE1201_historical_raw!D41,0)))</f>
        <v>25134</v>
      </c>
      <c r="F39" s="204">
        <f ca="1">IF(FIRE1201_historical_raw!E41="N/A","N/A",IF(FIRE1201_historical_raw!E41="..","..",ROUND(FIRE1201_historical_raw!E41,0)))</f>
        <v>39294</v>
      </c>
      <c r="G39" s="204"/>
      <c r="H39" s="204">
        <f ca="1">IF(FIRE1201_historical_raw!F41="N/A","N/A",IF(FIRE1201_historical_raw!F41="..","..",ROUND(FIRE1201_historical_raw!F41,0)))</f>
        <v>7924</v>
      </c>
      <c r="I39" s="204">
        <f ca="1">IF(FIRE1201_historical_raw!G41="N/A","N/A",IF(FIRE1201_historical_raw!G41="..","..",ROUND(FIRE1201_historical_raw!G41,0)))</f>
        <v>12388</v>
      </c>
      <c r="J39" s="204"/>
      <c r="K39" s="204">
        <f ca="1">IF(FIRE1201_historical_raw!H41="N/A","N/A",IF(FIRE1201_historical_raw!H41="..","..",ROUND(FIRE1201_historical_raw!H41,0)))</f>
        <v>4459</v>
      </c>
      <c r="L39" s="204">
        <f ca="1">IF(FIRE1201_historical_raw!I41="N/A","N/A",IF(FIRE1201_historical_raw!I41="..","..",ROUND(FIRE1201_historical_raw!I41,0)))</f>
        <v>6689</v>
      </c>
      <c r="M39" s="190"/>
      <c r="O39" s="200"/>
      <c r="P39" s="200"/>
      <c r="R39" s="200"/>
      <c r="S39" s="200"/>
      <c r="U39" s="203"/>
      <c r="V39" s="203"/>
      <c r="W39" s="203"/>
      <c r="X39" s="203"/>
      <c r="Y39" s="203"/>
      <c r="AA39" s="201"/>
      <c r="AB39" s="201"/>
      <c r="AC39" s="201"/>
      <c r="AD39" s="201"/>
      <c r="AE39" s="201"/>
      <c r="AF39" s="201"/>
      <c r="AG39" s="201"/>
      <c r="AH39" s="201"/>
      <c r="AI39" s="201"/>
      <c r="AJ39" s="201"/>
      <c r="AK39" s="201"/>
    </row>
    <row r="40" spans="1:37" s="191" customFormat="1" ht="15" customHeight="1" x14ac:dyDescent="0.35">
      <c r="A40" s="190" t="s">
        <v>37</v>
      </c>
      <c r="B40" s="204">
        <f ca="1">IF(FIRE1201_historical_raw!B42="N/A","N/A",IF(FIRE1201_historical_raw!B42="..","..",ROUND(FIRE1201_historical_raw!B42,0)))</f>
        <v>2175</v>
      </c>
      <c r="C40" s="204">
        <f ca="1">IF(FIRE1201_historical_raw!C42="N/A","N/A",IF(FIRE1201_historical_raw!C42="..","..",ROUND(FIRE1201_historical_raw!C42,0)))</f>
        <v>2505</v>
      </c>
      <c r="D40" s="204"/>
      <c r="E40" s="204">
        <f ca="1">IF(FIRE1201_historical_raw!D42="N/A","N/A",IF(FIRE1201_historical_raw!D42="..","..",ROUND(FIRE1201_historical_raw!D42,0)))</f>
        <v>1450</v>
      </c>
      <c r="F40" s="204">
        <f ca="1">IF(FIRE1201_historical_raw!E42="N/A","N/A",IF(FIRE1201_historical_raw!E42="..","..",ROUND(FIRE1201_historical_raw!E42,0)))</f>
        <v>1669</v>
      </c>
      <c r="G40" s="204"/>
      <c r="H40" s="204" t="str">
        <f ca="1">IF(FIRE1201_historical_raw!F42="N/A","N/A",IF(FIRE1201_historical_raw!F42="..","..",ROUND(FIRE1201_historical_raw!F42,0)))</f>
        <v>N/A</v>
      </c>
      <c r="I40" s="204" t="str">
        <f ca="1">IF(FIRE1201_historical_raw!G42="N/A","N/A",IF(FIRE1201_historical_raw!G42="..","..",ROUND(FIRE1201_historical_raw!G42,0)))</f>
        <v>N/A</v>
      </c>
      <c r="J40" s="204"/>
      <c r="K40" s="204">
        <f ca="1">IF(FIRE1201_historical_raw!H42="N/A","N/A",IF(FIRE1201_historical_raw!H42="..","..",ROUND(FIRE1201_historical_raw!H42,0)))</f>
        <v>476</v>
      </c>
      <c r="L40" s="204">
        <f ca="1">IF(FIRE1201_historical_raw!I42="N/A","N/A",IF(FIRE1201_historical_raw!I42="..","..",ROUND(FIRE1201_historical_raw!I42,0)))</f>
        <v>534</v>
      </c>
      <c r="M40" s="190"/>
      <c r="O40" s="200"/>
      <c r="P40" s="200"/>
      <c r="R40" s="200"/>
      <c r="S40" s="200"/>
      <c r="U40" s="203"/>
      <c r="V40" s="203"/>
      <c r="W40" s="203"/>
      <c r="X40" s="203"/>
      <c r="Y40" s="203"/>
      <c r="AA40" s="201"/>
      <c r="AB40" s="201"/>
      <c r="AC40" s="201"/>
      <c r="AD40" s="201"/>
      <c r="AE40" s="201"/>
      <c r="AF40" s="201"/>
      <c r="AG40" s="201"/>
      <c r="AH40" s="201"/>
      <c r="AI40" s="201"/>
      <c r="AJ40" s="201"/>
      <c r="AK40" s="201"/>
    </row>
    <row r="41" spans="1:37" s="191" customFormat="1" ht="15" customHeight="1" x14ac:dyDescent="0.35">
      <c r="A41" s="190" t="s">
        <v>38</v>
      </c>
      <c r="B41" s="204">
        <f ca="1">IF(FIRE1201_historical_raw!B43="N/A","N/A",IF(FIRE1201_historical_raw!B43="..","..",ROUND(FIRE1201_historical_raw!B43,0)))</f>
        <v>4870</v>
      </c>
      <c r="C41" s="204">
        <f ca="1">IF(FIRE1201_historical_raw!C43="N/A","N/A",IF(FIRE1201_historical_raw!C43="..","..",ROUND(FIRE1201_historical_raw!C43,0)))</f>
        <v>6353</v>
      </c>
      <c r="D41" s="204"/>
      <c r="E41" s="204">
        <f ca="1">IF(FIRE1201_historical_raw!D43="N/A","N/A",IF(FIRE1201_historical_raw!D43="..","..",ROUND(FIRE1201_historical_raw!D43,0)))</f>
        <v>2642</v>
      </c>
      <c r="F41" s="204">
        <f ca="1">IF(FIRE1201_historical_raw!E43="N/A","N/A",IF(FIRE1201_historical_raw!E43="..","..",ROUND(FIRE1201_historical_raw!E43,0)))</f>
        <v>3402</v>
      </c>
      <c r="G41" s="204"/>
      <c r="H41" s="204" t="str">
        <f ca="1">IF(FIRE1201_historical_raw!F43="N/A","N/A",IF(FIRE1201_historical_raw!F43="..","..",ROUND(FIRE1201_historical_raw!F43,0)))</f>
        <v>N/A</v>
      </c>
      <c r="I41" s="204" t="str">
        <f ca="1">IF(FIRE1201_historical_raw!G43="N/A","N/A",IF(FIRE1201_historical_raw!G43="..","..",ROUND(FIRE1201_historical_raw!G43,0)))</f>
        <v>N/A</v>
      </c>
      <c r="J41" s="204"/>
      <c r="K41" s="204">
        <f ca="1">IF(FIRE1201_historical_raw!H43="N/A","N/A",IF(FIRE1201_historical_raw!H43="..","..",ROUND(FIRE1201_historical_raw!H43,0)))</f>
        <v>357</v>
      </c>
      <c r="L41" s="204">
        <f ca="1">IF(FIRE1201_historical_raw!I43="N/A","N/A",IF(FIRE1201_historical_raw!I43="..","..",ROUND(FIRE1201_historical_raw!I43,0)))</f>
        <v>97</v>
      </c>
      <c r="M41" s="190"/>
      <c r="O41" s="200"/>
      <c r="P41" s="200"/>
      <c r="R41" s="200"/>
      <c r="S41" s="200"/>
      <c r="U41" s="203"/>
      <c r="V41" s="203"/>
      <c r="W41" s="203"/>
      <c r="X41" s="203"/>
      <c r="Y41" s="203"/>
      <c r="AA41" s="201"/>
      <c r="AB41" s="201"/>
      <c r="AC41" s="201"/>
      <c r="AD41" s="201"/>
      <c r="AE41" s="201"/>
      <c r="AF41" s="201"/>
      <c r="AG41" s="201"/>
      <c r="AH41" s="201"/>
      <c r="AI41" s="201"/>
      <c r="AJ41" s="201"/>
      <c r="AK41" s="201"/>
    </row>
    <row r="42" spans="1:37" s="191" customFormat="1" ht="15" customHeight="1" x14ac:dyDescent="0.35">
      <c r="A42" s="190" t="s">
        <v>39</v>
      </c>
      <c r="B42" s="204">
        <f ca="1">IF(FIRE1201_historical_raw!B44="N/A","N/A",IF(FIRE1201_historical_raw!B44="..","..",ROUND(FIRE1201_historical_raw!B44,0)))</f>
        <v>11262</v>
      </c>
      <c r="C42" s="204">
        <f ca="1">IF(FIRE1201_historical_raw!C44="N/A","N/A",IF(FIRE1201_historical_raw!C44="..","..",ROUND(FIRE1201_historical_raw!C44,0)))</f>
        <v>22524</v>
      </c>
      <c r="D42" s="204"/>
      <c r="E42" s="204">
        <f ca="1">IF(FIRE1201_historical_raw!D44="N/A","N/A",IF(FIRE1201_historical_raw!D44="..","..",ROUND(FIRE1201_historical_raw!D44,0)))</f>
        <v>2959</v>
      </c>
      <c r="F42" s="204">
        <f ca="1">IF(FIRE1201_historical_raw!E44="N/A","N/A",IF(FIRE1201_historical_raw!E44="..","..",ROUND(FIRE1201_historical_raw!E44,0)))</f>
        <v>5918</v>
      </c>
      <c r="G42" s="204"/>
      <c r="H42" s="204">
        <f ca="1">IF(FIRE1201_historical_raw!F44="N/A","N/A",IF(FIRE1201_historical_raw!F44="..","..",ROUND(FIRE1201_historical_raw!F44,0)))</f>
        <v>1175</v>
      </c>
      <c r="I42" s="204">
        <f ca="1">IF(FIRE1201_historical_raw!G44="N/A","N/A",IF(FIRE1201_historical_raw!G44="..","..",ROUND(FIRE1201_historical_raw!G44,0)))</f>
        <v>2938</v>
      </c>
      <c r="J42" s="204"/>
      <c r="K42" s="204">
        <f ca="1">IF(FIRE1201_historical_raw!H44="N/A","N/A",IF(FIRE1201_historical_raw!H44="..","..",ROUND(FIRE1201_historical_raw!H44,0)))</f>
        <v>459</v>
      </c>
      <c r="L42" s="204">
        <f ca="1">IF(FIRE1201_historical_raw!I44="N/A","N/A",IF(FIRE1201_historical_raw!I44="..","..",ROUND(FIRE1201_historical_raw!I44,0)))</f>
        <v>1148</v>
      </c>
      <c r="M42" s="190"/>
      <c r="O42" s="200"/>
      <c r="P42" s="200"/>
      <c r="R42" s="200"/>
      <c r="S42" s="200"/>
      <c r="U42" s="203"/>
      <c r="V42" s="203"/>
      <c r="W42" s="203"/>
      <c r="X42" s="203"/>
      <c r="Y42" s="203"/>
      <c r="AA42" s="201"/>
      <c r="AB42" s="201"/>
      <c r="AC42" s="201"/>
      <c r="AD42" s="201"/>
      <c r="AE42" s="201"/>
      <c r="AF42" s="201"/>
      <c r="AG42" s="201"/>
      <c r="AH42" s="201"/>
      <c r="AI42" s="201"/>
      <c r="AJ42" s="201"/>
      <c r="AK42" s="201"/>
    </row>
    <row r="43" spans="1:37" s="191" customFormat="1" ht="15" customHeight="1" x14ac:dyDescent="0.35">
      <c r="A43" s="190" t="s">
        <v>40</v>
      </c>
      <c r="B43" s="204">
        <f ca="1">IF(FIRE1201_historical_raw!B45="N/A","N/A",IF(FIRE1201_historical_raw!B45="..","..",ROUND(FIRE1201_historical_raw!B45,0)))</f>
        <v>10291</v>
      </c>
      <c r="C43" s="204">
        <f ca="1">IF(FIRE1201_historical_raw!C45="N/A","N/A",IF(FIRE1201_historical_raw!C45="..","..",ROUND(FIRE1201_historical_raw!C45,0)))</f>
        <v>10565</v>
      </c>
      <c r="D43" s="204"/>
      <c r="E43" s="204">
        <f ca="1">IF(FIRE1201_historical_raw!D45="N/A","N/A",IF(FIRE1201_historical_raw!D45="..","..",ROUND(FIRE1201_historical_raw!D45,0)))</f>
        <v>2999</v>
      </c>
      <c r="F43" s="204">
        <f ca="1">IF(FIRE1201_historical_raw!E45="N/A","N/A",IF(FIRE1201_historical_raw!E45="..","..",ROUND(FIRE1201_historical_raw!E45,0)))</f>
        <v>3065</v>
      </c>
      <c r="G43" s="204"/>
      <c r="H43" s="204">
        <f ca="1">IF(FIRE1201_historical_raw!F45="N/A","N/A",IF(FIRE1201_historical_raw!F45="..","..",ROUND(FIRE1201_historical_raw!F45,0)))</f>
        <v>396</v>
      </c>
      <c r="I43" s="204">
        <f ca="1">IF(FIRE1201_historical_raw!G45="N/A","N/A",IF(FIRE1201_historical_raw!G45="..","..",ROUND(FIRE1201_historical_raw!G45,0)))</f>
        <v>431</v>
      </c>
      <c r="J43" s="204"/>
      <c r="K43" s="204">
        <f ca="1">IF(FIRE1201_historical_raw!H45="N/A","N/A",IF(FIRE1201_historical_raw!H45="..","..",ROUND(FIRE1201_historical_raw!H45,0)))</f>
        <v>273</v>
      </c>
      <c r="L43" s="204">
        <f ca="1">IF(FIRE1201_historical_raw!I45="N/A","N/A",IF(FIRE1201_historical_raw!I45="..","..",ROUND(FIRE1201_historical_raw!I45,0)))</f>
        <v>237</v>
      </c>
      <c r="M43" s="190"/>
      <c r="O43" s="200"/>
      <c r="P43" s="200"/>
      <c r="R43" s="200"/>
      <c r="S43" s="200"/>
      <c r="U43" s="203"/>
      <c r="V43" s="203"/>
      <c r="W43" s="203"/>
      <c r="X43" s="203"/>
      <c r="Y43" s="203"/>
      <c r="AA43" s="201"/>
      <c r="AB43" s="201"/>
      <c r="AC43" s="201"/>
      <c r="AD43" s="201"/>
      <c r="AE43" s="201"/>
      <c r="AF43" s="201"/>
      <c r="AG43" s="201"/>
      <c r="AH43" s="201"/>
      <c r="AI43" s="201"/>
      <c r="AJ43" s="201"/>
      <c r="AK43" s="201"/>
    </row>
    <row r="44" spans="1:37" s="191" customFormat="1" ht="15" customHeight="1" x14ac:dyDescent="0.35">
      <c r="A44" s="190" t="s">
        <v>41</v>
      </c>
      <c r="B44" s="204">
        <f ca="1">IF(FIRE1201_historical_raw!B46="N/A","N/A",IF(FIRE1201_historical_raw!B46="..","..",ROUND(FIRE1201_historical_raw!B46,0)))</f>
        <v>4799</v>
      </c>
      <c r="C44" s="204">
        <f ca="1">IF(FIRE1201_historical_raw!C46="N/A","N/A",IF(FIRE1201_historical_raw!C46="..","..",ROUND(FIRE1201_historical_raw!C46,0)))</f>
        <v>13045</v>
      </c>
      <c r="D44" s="204"/>
      <c r="E44" s="204">
        <f ca="1">IF(FIRE1201_historical_raw!D46="N/A","N/A",IF(FIRE1201_historical_raw!D46="..","..",ROUND(FIRE1201_historical_raw!D46,0)))</f>
        <v>2359</v>
      </c>
      <c r="F44" s="204">
        <f ca="1">IF(FIRE1201_historical_raw!E46="N/A","N/A",IF(FIRE1201_historical_raw!E46="..","..",ROUND(FIRE1201_historical_raw!E46,0)))</f>
        <v>3833</v>
      </c>
      <c r="G44" s="204"/>
      <c r="H44" s="204">
        <f ca="1">IF(FIRE1201_historical_raw!F46="N/A","N/A",IF(FIRE1201_historical_raw!F46="..","..",ROUND(FIRE1201_historical_raw!F46,0)))</f>
        <v>81</v>
      </c>
      <c r="I44" s="204">
        <f ca="1">IF(FIRE1201_historical_raw!G46="N/A","N/A",IF(FIRE1201_historical_raw!G46="..","..",ROUND(FIRE1201_historical_raw!G46,0)))</f>
        <v>103</v>
      </c>
      <c r="J44" s="204"/>
      <c r="K44" s="204">
        <f ca="1">IF(FIRE1201_historical_raw!H46="N/A","N/A",IF(FIRE1201_historical_raw!H46="..","..",ROUND(FIRE1201_historical_raw!H46,0)))</f>
        <v>394</v>
      </c>
      <c r="L44" s="204">
        <f ca="1">IF(FIRE1201_historical_raw!I46="N/A","N/A",IF(FIRE1201_historical_raw!I46="..","..",ROUND(FIRE1201_historical_raw!I46,0)))</f>
        <v>352</v>
      </c>
      <c r="M44" s="190"/>
      <c r="O44" s="200"/>
      <c r="P44" s="200"/>
      <c r="R44" s="200"/>
      <c r="S44" s="200"/>
      <c r="U44" s="203"/>
      <c r="V44" s="203"/>
      <c r="W44" s="203"/>
      <c r="X44" s="203"/>
      <c r="Y44" s="203"/>
      <c r="AA44" s="201"/>
      <c r="AB44" s="201"/>
      <c r="AC44" s="201"/>
      <c r="AD44" s="201"/>
      <c r="AE44" s="201"/>
      <c r="AF44" s="201"/>
      <c r="AG44" s="201"/>
      <c r="AH44" s="201"/>
      <c r="AI44" s="201"/>
      <c r="AJ44" s="201"/>
      <c r="AK44" s="201"/>
    </row>
    <row r="45" spans="1:37" s="191" customFormat="1" ht="15" customHeight="1" x14ac:dyDescent="0.35">
      <c r="A45" s="190" t="s">
        <v>42</v>
      </c>
      <c r="B45" s="204">
        <f ca="1">IF(FIRE1201_historical_raw!B47="N/A","N/A",IF(FIRE1201_historical_raw!B47="..","..",ROUND(FIRE1201_historical_raw!B47,0)))</f>
        <v>1880</v>
      </c>
      <c r="C45" s="204">
        <f ca="1">IF(FIRE1201_historical_raw!C47="N/A","N/A",IF(FIRE1201_historical_raw!C47="..","..",ROUND(FIRE1201_historical_raw!C47,0)))</f>
        <v>6973</v>
      </c>
      <c r="D45" s="204"/>
      <c r="E45" s="204">
        <f ca="1">IF(FIRE1201_historical_raw!D47="N/A","N/A",IF(FIRE1201_historical_raw!D47="..","..",ROUND(FIRE1201_historical_raw!D47,0)))</f>
        <v>870</v>
      </c>
      <c r="F45" s="204">
        <f ca="1">IF(FIRE1201_historical_raw!E47="N/A","N/A",IF(FIRE1201_historical_raw!E47="..","..",ROUND(FIRE1201_historical_raw!E47,0)))</f>
        <v>3484</v>
      </c>
      <c r="G45" s="204"/>
      <c r="H45" s="204" t="str">
        <f ca="1">IF(FIRE1201_historical_raw!F47="N/A","N/A",IF(FIRE1201_historical_raw!F47="..","..",ROUND(FIRE1201_historical_raw!F47,0)))</f>
        <v>N/A</v>
      </c>
      <c r="I45" s="204" t="str">
        <f ca="1">IF(FIRE1201_historical_raw!G47="N/A","N/A",IF(FIRE1201_historical_raw!G47="..","..",ROUND(FIRE1201_historical_raw!G47,0)))</f>
        <v>N/A</v>
      </c>
      <c r="J45" s="204"/>
      <c r="K45" s="204">
        <f ca="1">IF(FIRE1201_historical_raw!H47="N/A","N/A",IF(FIRE1201_historical_raw!H47="..","..",ROUND(FIRE1201_historical_raw!H47,0)))</f>
        <v>58</v>
      </c>
      <c r="L45" s="204">
        <f ca="1">IF(FIRE1201_historical_raw!I47="N/A","N/A",IF(FIRE1201_historical_raw!I47="..","..",ROUND(FIRE1201_historical_raw!I47,0)))</f>
        <v>155</v>
      </c>
      <c r="M45" s="190"/>
      <c r="O45" s="200"/>
      <c r="P45" s="200"/>
      <c r="R45" s="200"/>
      <c r="S45" s="200"/>
      <c r="U45" s="203"/>
      <c r="V45" s="203"/>
      <c r="W45" s="203"/>
      <c r="X45" s="203"/>
      <c r="Y45" s="203"/>
      <c r="AA45" s="201"/>
      <c r="AB45" s="201"/>
      <c r="AC45" s="201"/>
      <c r="AD45" s="201"/>
      <c r="AE45" s="201"/>
      <c r="AF45" s="201"/>
      <c r="AG45" s="201"/>
      <c r="AH45" s="201"/>
      <c r="AI45" s="201"/>
      <c r="AJ45" s="201"/>
      <c r="AK45" s="201"/>
    </row>
    <row r="46" spans="1:37" s="191" customFormat="1" ht="15" customHeight="1" x14ac:dyDescent="0.35">
      <c r="A46" s="190" t="s">
        <v>43</v>
      </c>
      <c r="B46" s="204">
        <f ca="1">IF(FIRE1201_historical_raw!B48="N/A","N/A",IF(FIRE1201_historical_raw!B48="..","..",ROUND(FIRE1201_historical_raw!B48,0)))</f>
        <v>1477</v>
      </c>
      <c r="C46" s="204">
        <f ca="1">IF(FIRE1201_historical_raw!C48="N/A","N/A",IF(FIRE1201_historical_raw!C48="..","..",ROUND(FIRE1201_historical_raw!C48,0)))</f>
        <v>1332</v>
      </c>
      <c r="D46" s="204"/>
      <c r="E46" s="204">
        <f ca="1">IF(FIRE1201_historical_raw!D48="N/A","N/A",IF(FIRE1201_historical_raw!D48="..","..",ROUND(FIRE1201_historical_raw!D48,0)))</f>
        <v>1025</v>
      </c>
      <c r="F46" s="204">
        <f ca="1">IF(FIRE1201_historical_raw!E48="N/A","N/A",IF(FIRE1201_historical_raw!E48="..","..",ROUND(FIRE1201_historical_raw!E48,0)))</f>
        <v>1085</v>
      </c>
      <c r="G46" s="204"/>
      <c r="H46" s="204" t="str">
        <f ca="1">IF(FIRE1201_historical_raw!F48="N/A","N/A",IF(FIRE1201_historical_raw!F48="..","..",ROUND(FIRE1201_historical_raw!F48,0)))</f>
        <v>N/A</v>
      </c>
      <c r="I46" s="204" t="str">
        <f ca="1">IF(FIRE1201_historical_raw!G48="N/A","N/A",IF(FIRE1201_historical_raw!G48="..","..",ROUND(FIRE1201_historical_raw!G48,0)))</f>
        <v>N/A</v>
      </c>
      <c r="J46" s="204"/>
      <c r="K46" s="204">
        <f ca="1">IF(FIRE1201_historical_raw!H48="N/A","N/A",IF(FIRE1201_historical_raw!H48="..","..",ROUND(FIRE1201_historical_raw!H48,0)))</f>
        <v>560</v>
      </c>
      <c r="L46" s="204" t="str">
        <f ca="1">IF(FIRE1201_historical_raw!I48="N/A","N/A",IF(FIRE1201_historical_raw!I48="..","..",ROUND(FIRE1201_historical_raw!I48,0)))</f>
        <v>N/A</v>
      </c>
      <c r="M46" s="190"/>
      <c r="O46" s="200"/>
      <c r="P46" s="200"/>
      <c r="R46" s="200"/>
      <c r="S46" s="200"/>
      <c r="U46" s="203"/>
      <c r="V46" s="203"/>
      <c r="W46" s="203"/>
      <c r="X46" s="203"/>
      <c r="Y46" s="203"/>
      <c r="AA46" s="201"/>
      <c r="AB46" s="201"/>
      <c r="AC46" s="201"/>
      <c r="AD46" s="201"/>
      <c r="AE46" s="201"/>
      <c r="AF46" s="201"/>
      <c r="AG46" s="201"/>
      <c r="AH46" s="201"/>
      <c r="AI46" s="201"/>
      <c r="AJ46" s="201"/>
      <c r="AK46" s="201"/>
    </row>
    <row r="47" spans="1:37" s="191" customFormat="1" ht="15" customHeight="1" x14ac:dyDescent="0.35">
      <c r="A47" s="190" t="s">
        <v>44</v>
      </c>
      <c r="B47" s="204">
        <f ca="1">IF(FIRE1201_historical_raw!B49="N/A","N/A",IF(FIRE1201_historical_raw!B49="..","..",ROUND(FIRE1201_historical_raw!B49,0)))</f>
        <v>35634</v>
      </c>
      <c r="C47" s="204">
        <f ca="1">IF(FIRE1201_historical_raw!C49="N/A","N/A",IF(FIRE1201_historical_raw!C49="..","..",ROUND(FIRE1201_historical_raw!C49,0)))</f>
        <v>30050</v>
      </c>
      <c r="D47" s="204"/>
      <c r="E47" s="204">
        <f ca="1">IF(FIRE1201_historical_raw!D49="N/A","N/A",IF(FIRE1201_historical_raw!D49="..","..",ROUND(FIRE1201_historical_raw!D49,0)))</f>
        <v>13076</v>
      </c>
      <c r="F47" s="204">
        <f ca="1">IF(FIRE1201_historical_raw!E49="N/A","N/A",IF(FIRE1201_historical_raw!E49="..","..",ROUND(FIRE1201_historical_raw!E49,0)))</f>
        <v>11046</v>
      </c>
      <c r="G47" s="204"/>
      <c r="H47" s="204">
        <f ca="1">IF(FIRE1201_historical_raw!F49="N/A","N/A",IF(FIRE1201_historical_raw!F49="..","..",ROUND(FIRE1201_historical_raw!F49,0)))</f>
        <v>7214</v>
      </c>
      <c r="I47" s="204">
        <f ca="1">IF(FIRE1201_historical_raw!G49="N/A","N/A",IF(FIRE1201_historical_raw!G49="..","..",ROUND(FIRE1201_historical_raw!G49,0)))</f>
        <v>6123</v>
      </c>
      <c r="J47" s="204"/>
      <c r="K47" s="204">
        <f ca="1">IF(FIRE1201_historical_raw!H49="N/A","N/A",IF(FIRE1201_historical_raw!H49="..","..",ROUND(FIRE1201_historical_raw!H49,0)))</f>
        <v>345</v>
      </c>
      <c r="L47" s="204">
        <f ca="1">IF(FIRE1201_historical_raw!I49="N/A","N/A",IF(FIRE1201_historical_raw!I49="..","..",ROUND(FIRE1201_historical_raw!I49,0)))</f>
        <v>345</v>
      </c>
      <c r="M47" s="190"/>
      <c r="O47" s="200"/>
      <c r="P47" s="200"/>
      <c r="R47" s="200"/>
      <c r="S47" s="200"/>
      <c r="U47" s="203"/>
      <c r="V47" s="203"/>
      <c r="W47" s="203"/>
      <c r="X47" s="203"/>
      <c r="Y47" s="203"/>
      <c r="AA47" s="201"/>
      <c r="AB47" s="201"/>
      <c r="AC47" s="201"/>
      <c r="AD47" s="201"/>
      <c r="AE47" s="201"/>
      <c r="AF47" s="201"/>
      <c r="AG47" s="201"/>
      <c r="AH47" s="201"/>
      <c r="AI47" s="201"/>
      <c r="AJ47" s="201"/>
      <c r="AK47" s="201"/>
    </row>
    <row r="48" spans="1:37" s="191" customFormat="1" ht="15" customHeight="1" x14ac:dyDescent="0.35">
      <c r="A48" s="190" t="s">
        <v>45</v>
      </c>
      <c r="B48" s="204">
        <f ca="1">IF(FIRE1201_historical_raw!B50="N/A","N/A",IF(FIRE1201_historical_raw!B50="..","..",ROUND(FIRE1201_historical_raw!B50,0)))</f>
        <v>22578</v>
      </c>
      <c r="C48" s="204">
        <f ca="1">IF(FIRE1201_historical_raw!C50="N/A","N/A",IF(FIRE1201_historical_raw!C50="..","..",ROUND(FIRE1201_historical_raw!C50,0)))</f>
        <v>29245</v>
      </c>
      <c r="D48" s="204"/>
      <c r="E48" s="204">
        <f ca="1">IF(FIRE1201_historical_raw!D50="N/A","N/A",IF(FIRE1201_historical_raw!D50="..","..",ROUND(FIRE1201_historical_raw!D50,0)))</f>
        <v>10688</v>
      </c>
      <c r="F48" s="204">
        <f ca="1">IF(FIRE1201_historical_raw!E50="N/A","N/A",IF(FIRE1201_historical_raw!E50="..","..",ROUND(FIRE1201_historical_raw!E50,0)))</f>
        <v>13367</v>
      </c>
      <c r="G48" s="204"/>
      <c r="H48" s="204">
        <f ca="1">IF(FIRE1201_historical_raw!F50="N/A","N/A",IF(FIRE1201_historical_raw!F50="..","..",ROUND(FIRE1201_historical_raw!F50,0)))</f>
        <v>4930</v>
      </c>
      <c r="I48" s="204">
        <f ca="1">IF(FIRE1201_historical_raw!G50="N/A","N/A",IF(FIRE1201_historical_raw!G50="..","..",ROUND(FIRE1201_historical_raw!G50,0)))</f>
        <v>6041</v>
      </c>
      <c r="J48" s="204"/>
      <c r="K48" s="204">
        <f ca="1">IF(FIRE1201_historical_raw!H50="N/A","N/A",IF(FIRE1201_historical_raw!H50="..","..",ROUND(FIRE1201_historical_raw!H50,0)))</f>
        <v>988</v>
      </c>
      <c r="L48" s="204">
        <f ca="1">IF(FIRE1201_historical_raw!I50="N/A","N/A",IF(FIRE1201_historical_raw!I50="..","..",ROUND(FIRE1201_historical_raw!I50,0)))</f>
        <v>1097</v>
      </c>
      <c r="M48" s="190"/>
      <c r="O48" s="200"/>
      <c r="P48" s="200"/>
      <c r="R48" s="200"/>
      <c r="S48" s="200"/>
      <c r="U48" s="203"/>
      <c r="V48" s="203"/>
      <c r="W48" s="203"/>
      <c r="X48" s="203"/>
      <c r="Y48" s="203"/>
      <c r="AA48" s="201"/>
      <c r="AB48" s="201"/>
      <c r="AC48" s="201"/>
      <c r="AD48" s="201"/>
      <c r="AE48" s="201"/>
      <c r="AF48" s="201"/>
      <c r="AG48" s="201"/>
      <c r="AH48" s="201"/>
      <c r="AI48" s="201"/>
      <c r="AJ48" s="201"/>
      <c r="AK48" s="201"/>
    </row>
    <row r="49" spans="1:37" s="191" customFormat="1" ht="15" customHeight="1" x14ac:dyDescent="0.35">
      <c r="A49" s="190" t="s">
        <v>46</v>
      </c>
      <c r="B49" s="204">
        <f ca="1">IF(FIRE1201_historical_raw!B51="N/A","N/A",IF(FIRE1201_historical_raw!B51="..","..",ROUND(FIRE1201_historical_raw!B51,0)))</f>
        <v>3894</v>
      </c>
      <c r="C49" s="204">
        <f ca="1">IF(FIRE1201_historical_raw!C51="N/A","N/A",IF(FIRE1201_historical_raw!C51="..","..",ROUND(FIRE1201_historical_raw!C51,0)))</f>
        <v>10709</v>
      </c>
      <c r="D49" s="204"/>
      <c r="E49" s="204">
        <f ca="1">IF(FIRE1201_historical_raw!D51="N/A","N/A",IF(FIRE1201_historical_raw!D51="..","..",ROUND(FIRE1201_historical_raw!D51,0)))</f>
        <v>2686</v>
      </c>
      <c r="F49" s="204">
        <f ca="1">IF(FIRE1201_historical_raw!E51="N/A","N/A",IF(FIRE1201_historical_raw!E51="..","..",ROUND(FIRE1201_historical_raw!E51,0)))</f>
        <v>7741</v>
      </c>
      <c r="G49" s="204"/>
      <c r="H49" s="204">
        <f ca="1">IF(FIRE1201_historical_raw!F51="N/A","N/A",IF(FIRE1201_historical_raw!F51="..","..",ROUND(FIRE1201_historical_raw!F51,0)))</f>
        <v>188</v>
      </c>
      <c r="I49" s="204">
        <f ca="1">IF(FIRE1201_historical_raw!G51="N/A","N/A",IF(FIRE1201_historical_raw!G51="..","..",ROUND(FIRE1201_historical_raw!G51,0)))</f>
        <v>581</v>
      </c>
      <c r="J49" s="204"/>
      <c r="K49" s="204" t="str">
        <f ca="1">IF(FIRE1201_historical_raw!H51="N/A","N/A",IF(FIRE1201_historical_raw!H51="..","..",ROUND(FIRE1201_historical_raw!H51,0)))</f>
        <v>N/A</v>
      </c>
      <c r="L49" s="204" t="str">
        <f ca="1">IF(FIRE1201_historical_raw!I51="N/A","N/A",IF(FIRE1201_historical_raw!I51="..","..",ROUND(FIRE1201_historical_raw!I51,0)))</f>
        <v>N/A</v>
      </c>
      <c r="M49" s="190"/>
      <c r="O49" s="200"/>
      <c r="P49" s="200"/>
      <c r="R49" s="200"/>
      <c r="S49" s="200"/>
      <c r="U49" s="203"/>
      <c r="V49" s="203"/>
      <c r="W49" s="203"/>
      <c r="X49" s="203"/>
      <c r="Y49" s="203"/>
      <c r="AA49" s="201"/>
      <c r="AB49" s="201"/>
      <c r="AC49" s="201"/>
      <c r="AD49" s="201"/>
      <c r="AE49" s="201"/>
      <c r="AF49" s="201"/>
      <c r="AG49" s="201"/>
      <c r="AH49" s="201"/>
      <c r="AI49" s="201"/>
      <c r="AJ49" s="201"/>
      <c r="AK49" s="201"/>
    </row>
    <row r="50" spans="1:37" s="191" customFormat="1" ht="15" customHeight="1" x14ac:dyDescent="0.35">
      <c r="A50" s="190" t="s">
        <v>47</v>
      </c>
      <c r="B50" s="204">
        <f ca="1">IF(FIRE1201_historical_raw!B52="N/A","N/A",IF(FIRE1201_historical_raw!B52="..","..",ROUND(FIRE1201_historical_raw!B52,0)))</f>
        <v>5535</v>
      </c>
      <c r="C50" s="204">
        <f ca="1">IF(FIRE1201_historical_raw!C52="N/A","N/A",IF(FIRE1201_historical_raw!C52="..","..",ROUND(FIRE1201_historical_raw!C52,0)))</f>
        <v>7947</v>
      </c>
      <c r="D50" s="204"/>
      <c r="E50" s="204">
        <f ca="1">IF(FIRE1201_historical_raw!D52="N/A","N/A",IF(FIRE1201_historical_raw!D52="..","..",ROUND(FIRE1201_historical_raw!D52,0)))</f>
        <v>2840</v>
      </c>
      <c r="F50" s="204">
        <f ca="1">IF(FIRE1201_historical_raw!E52="N/A","N/A",IF(FIRE1201_historical_raw!E52="..","..",ROUND(FIRE1201_historical_raw!E52,0)))</f>
        <v>4123</v>
      </c>
      <c r="G50" s="204"/>
      <c r="H50" s="204">
        <f ca="1">IF(FIRE1201_historical_raw!F52="N/A","N/A",IF(FIRE1201_historical_raw!F52="..","..",ROUND(FIRE1201_historical_raw!F52,0)))</f>
        <v>739</v>
      </c>
      <c r="I50" s="204">
        <f ca="1">IF(FIRE1201_historical_raw!G52="N/A","N/A",IF(FIRE1201_historical_raw!G52="..","..",ROUND(FIRE1201_historical_raw!G52,0)))</f>
        <v>1096</v>
      </c>
      <c r="J50" s="204"/>
      <c r="K50" s="204">
        <f ca="1">IF(FIRE1201_historical_raw!H52="N/A","N/A",IF(FIRE1201_historical_raw!H52="..","..",ROUND(FIRE1201_historical_raw!H52,0)))</f>
        <v>17</v>
      </c>
      <c r="L50" s="204">
        <f ca="1">IF(FIRE1201_historical_raw!I52="N/A","N/A",IF(FIRE1201_historical_raw!I52="..","..",ROUND(FIRE1201_historical_raw!I52,0)))</f>
        <v>24</v>
      </c>
      <c r="M50" s="190"/>
      <c r="O50" s="200"/>
      <c r="P50" s="200"/>
      <c r="R50" s="200"/>
      <c r="S50" s="200"/>
      <c r="U50" s="203"/>
      <c r="V50" s="203"/>
      <c r="W50" s="203"/>
      <c r="X50" s="203"/>
      <c r="Y50" s="203"/>
      <c r="AA50" s="201"/>
      <c r="AB50" s="201"/>
      <c r="AC50" s="201"/>
      <c r="AD50" s="201"/>
      <c r="AE50" s="201"/>
      <c r="AF50" s="201"/>
      <c r="AG50" s="201"/>
      <c r="AH50" s="201"/>
      <c r="AI50" s="201"/>
      <c r="AJ50" s="201"/>
      <c r="AK50" s="201"/>
    </row>
    <row r="51" spans="1:37" s="191" customFormat="1" ht="15" customHeight="1" x14ac:dyDescent="0.35">
      <c r="A51" s="190" t="s">
        <v>48</v>
      </c>
      <c r="B51" s="204">
        <f ca="1">IF(FIRE1201_historical_raw!B53="N/A","N/A",IF(FIRE1201_historical_raw!B53="..","..",ROUND(FIRE1201_historical_raw!B53,0)))</f>
        <v>30153</v>
      </c>
      <c r="C51" s="204">
        <f ca="1">IF(FIRE1201_historical_raw!C53="N/A","N/A",IF(FIRE1201_historical_raw!C53="..","..",ROUND(FIRE1201_historical_raw!C53,0)))</f>
        <v>11737</v>
      </c>
      <c r="D51" s="204"/>
      <c r="E51" s="204">
        <f ca="1">IF(FIRE1201_historical_raw!D53="N/A","N/A",IF(FIRE1201_historical_raw!D53="..","..",ROUND(FIRE1201_historical_raw!D53,0)))</f>
        <v>13870</v>
      </c>
      <c r="F51" s="204">
        <f ca="1">IF(FIRE1201_historical_raw!E53="N/A","N/A",IF(FIRE1201_historical_raw!E53="..","..",ROUND(FIRE1201_historical_raw!E53,0)))</f>
        <v>5412</v>
      </c>
      <c r="G51" s="204"/>
      <c r="H51" s="204">
        <f ca="1">IF(FIRE1201_historical_raw!F53="N/A","N/A",IF(FIRE1201_historical_raw!F53="..","..",ROUND(FIRE1201_historical_raw!F53,0)))</f>
        <v>3263</v>
      </c>
      <c r="I51" s="204">
        <f ca="1">IF(FIRE1201_historical_raw!G53="N/A","N/A",IF(FIRE1201_historical_raw!G53="..","..",ROUND(FIRE1201_historical_raw!G53,0)))</f>
        <v>1397</v>
      </c>
      <c r="J51" s="204"/>
      <c r="K51" s="204">
        <f ca="1">IF(FIRE1201_historical_raw!H53="N/A","N/A",IF(FIRE1201_historical_raw!H53="..","..",ROUND(FIRE1201_historical_raw!H53,0)))</f>
        <v>106</v>
      </c>
      <c r="L51" s="204">
        <f ca="1">IF(FIRE1201_historical_raw!I53="N/A","N/A",IF(FIRE1201_historical_raw!I53="..","..",ROUND(FIRE1201_historical_raw!I53,0)))</f>
        <v>35</v>
      </c>
      <c r="M51" s="190"/>
      <c r="O51" s="200"/>
      <c r="P51" s="200"/>
      <c r="R51" s="200"/>
      <c r="S51" s="200"/>
      <c r="U51" s="203"/>
      <c r="V51" s="203"/>
      <c r="W51" s="203"/>
      <c r="X51" s="203"/>
      <c r="Y51" s="203"/>
      <c r="AA51" s="201"/>
      <c r="AB51" s="201"/>
      <c r="AC51" s="201"/>
      <c r="AD51" s="201"/>
      <c r="AE51" s="201"/>
      <c r="AF51" s="201"/>
      <c r="AG51" s="201"/>
      <c r="AH51" s="201"/>
      <c r="AI51" s="201"/>
      <c r="AJ51" s="201"/>
      <c r="AK51" s="201"/>
    </row>
    <row r="52" spans="1:37" s="191" customFormat="1" ht="15" customHeight="1" x14ac:dyDescent="0.35">
      <c r="A52" s="190" t="s">
        <v>49</v>
      </c>
      <c r="B52" s="204">
        <f ca="1">IF(FIRE1201_historical_raw!B54="N/A","N/A",IF(FIRE1201_historical_raw!B54="..","..",ROUND(FIRE1201_historical_raw!B54,0)))</f>
        <v>10893</v>
      </c>
      <c r="C52" s="204">
        <f ca="1">IF(FIRE1201_historical_raw!C54="N/A","N/A",IF(FIRE1201_historical_raw!C54="..","..",ROUND(FIRE1201_historical_raw!C54,0)))</f>
        <v>20999</v>
      </c>
      <c r="D52" s="204"/>
      <c r="E52" s="204">
        <f ca="1">IF(FIRE1201_historical_raw!D54="N/A","N/A",IF(FIRE1201_historical_raw!D54="..","..",ROUND(FIRE1201_historical_raw!D54,0)))</f>
        <v>3781</v>
      </c>
      <c r="F52" s="204">
        <f ca="1">IF(FIRE1201_historical_raw!E54="N/A","N/A",IF(FIRE1201_historical_raw!E54="..","..",ROUND(FIRE1201_historical_raw!E54,0)))</f>
        <v>7800</v>
      </c>
      <c r="G52" s="204"/>
      <c r="H52" s="204">
        <f ca="1">IF(FIRE1201_historical_raw!F54="N/A","N/A",IF(FIRE1201_historical_raw!F54="..","..",ROUND(FIRE1201_historical_raw!F54,0)))</f>
        <v>1747</v>
      </c>
      <c r="I52" s="204">
        <f ca="1">IF(FIRE1201_historical_raw!G54="N/A","N/A",IF(FIRE1201_historical_raw!G54="..","..",ROUND(FIRE1201_historical_raw!G54,0)))</f>
        <v>860</v>
      </c>
      <c r="J52" s="204"/>
      <c r="K52" s="204">
        <f ca="1">IF(FIRE1201_historical_raw!H54="N/A","N/A",IF(FIRE1201_historical_raw!H54="..","..",ROUND(FIRE1201_historical_raw!H54,0)))</f>
        <v>525</v>
      </c>
      <c r="L52" s="204" t="str">
        <f ca="1">IF(FIRE1201_historical_raw!I54="N/A","N/A",IF(FIRE1201_historical_raw!I54="..","..",ROUND(FIRE1201_historical_raw!I54,0)))</f>
        <v>N/A</v>
      </c>
      <c r="M52" s="190"/>
      <c r="O52" s="200"/>
      <c r="P52" s="200"/>
      <c r="R52" s="200"/>
      <c r="S52" s="200"/>
      <c r="U52" s="203"/>
      <c r="V52" s="203"/>
      <c r="W52" s="203"/>
      <c r="X52" s="203"/>
      <c r="Y52" s="203"/>
      <c r="AA52" s="201"/>
      <c r="AB52" s="201"/>
      <c r="AC52" s="201"/>
      <c r="AD52" s="201"/>
      <c r="AE52" s="201"/>
      <c r="AF52" s="201"/>
      <c r="AG52" s="201"/>
      <c r="AH52" s="201"/>
      <c r="AI52" s="201"/>
      <c r="AJ52" s="201"/>
      <c r="AK52" s="201"/>
    </row>
    <row r="53" spans="1:37" s="191" customFormat="1" ht="15" customHeight="1" x14ac:dyDescent="0.35">
      <c r="A53" s="190" t="s">
        <v>50</v>
      </c>
      <c r="B53" s="204">
        <f ca="1">IF(FIRE1201_historical_raw!B55="N/A","N/A",IF(FIRE1201_historical_raw!B55="..","..",ROUND(FIRE1201_historical_raw!B55,0)))</f>
        <v>40908</v>
      </c>
      <c r="C53" s="204">
        <f ca="1">IF(FIRE1201_historical_raw!C55="N/A","N/A",IF(FIRE1201_historical_raw!C55="..","..",ROUND(FIRE1201_historical_raw!C55,0)))</f>
        <v>82816</v>
      </c>
      <c r="D53" s="204"/>
      <c r="E53" s="204">
        <f ca="1">IF(FIRE1201_historical_raw!D55="N/A","N/A",IF(FIRE1201_historical_raw!D55="..","..",ROUND(FIRE1201_historical_raw!D55,0)))</f>
        <v>14651</v>
      </c>
      <c r="F53" s="204">
        <f ca="1">IF(FIRE1201_historical_raw!E55="N/A","N/A",IF(FIRE1201_historical_raw!E55="..","..",ROUND(FIRE1201_historical_raw!E55,0)))</f>
        <v>29302</v>
      </c>
      <c r="G53" s="204"/>
      <c r="H53" s="204">
        <f ca="1">IF(FIRE1201_historical_raw!F55="N/A","N/A",IF(FIRE1201_historical_raw!F55="..","..",ROUND(FIRE1201_historical_raw!F55,0)))</f>
        <v>11502</v>
      </c>
      <c r="I53" s="204">
        <f ca="1">IF(FIRE1201_historical_raw!G55="N/A","N/A",IF(FIRE1201_historical_raw!G55="..","..",ROUND(FIRE1201_historical_raw!G55,0)))</f>
        <v>23300</v>
      </c>
      <c r="J53" s="204"/>
      <c r="K53" s="204" t="str">
        <f ca="1">IF(FIRE1201_historical_raw!H55="N/A","N/A",IF(FIRE1201_historical_raw!H55="..","..",ROUND(FIRE1201_historical_raw!H55,0)))</f>
        <v>N/A</v>
      </c>
      <c r="L53" s="204" t="str">
        <f ca="1">IF(FIRE1201_historical_raw!I55="N/A","N/A",IF(FIRE1201_historical_raw!I55="..","..",ROUND(FIRE1201_historical_raw!I55,0)))</f>
        <v>N/A</v>
      </c>
      <c r="M53" s="190"/>
      <c r="O53" s="200"/>
      <c r="P53" s="200"/>
      <c r="R53" s="200"/>
      <c r="S53" s="200"/>
      <c r="U53" s="203"/>
      <c r="V53" s="203"/>
      <c r="W53" s="203"/>
      <c r="X53" s="203"/>
      <c r="Y53" s="203"/>
      <c r="AA53" s="201"/>
      <c r="AB53" s="201"/>
      <c r="AC53" s="201"/>
      <c r="AD53" s="201"/>
      <c r="AE53" s="201"/>
      <c r="AF53" s="201"/>
      <c r="AG53" s="201"/>
      <c r="AH53" s="201"/>
      <c r="AI53" s="201"/>
      <c r="AJ53" s="201"/>
      <c r="AK53" s="201"/>
    </row>
    <row r="54" spans="1:37" s="191" customFormat="1" ht="15" customHeight="1" x14ac:dyDescent="0.35">
      <c r="A54" s="190" t="s">
        <v>51</v>
      </c>
      <c r="B54" s="204">
        <f ca="1">IF(FIRE1201_historical_raw!B56="N/A","N/A",IF(FIRE1201_historical_raw!B56="..","..",ROUND(FIRE1201_historical_raw!B56,0)))</f>
        <v>6970</v>
      </c>
      <c r="C54" s="204">
        <f ca="1">IF(FIRE1201_historical_raw!C56="N/A","N/A",IF(FIRE1201_historical_raw!C56="..","..",ROUND(FIRE1201_historical_raw!C56,0)))</f>
        <v>8513</v>
      </c>
      <c r="D54" s="204"/>
      <c r="E54" s="204">
        <f ca="1">IF(FIRE1201_historical_raw!D56="N/A","N/A",IF(FIRE1201_historical_raw!D56="..","..",ROUND(FIRE1201_historical_raw!D56,0)))</f>
        <v>4978</v>
      </c>
      <c r="F54" s="204">
        <f ca="1">IF(FIRE1201_historical_raw!E56="N/A","N/A",IF(FIRE1201_historical_raw!E56="..","..",ROUND(FIRE1201_historical_raw!E56,0)))</f>
        <v>3529</v>
      </c>
      <c r="G54" s="204"/>
      <c r="H54" s="204">
        <f ca="1">IF(FIRE1201_historical_raw!F56="N/A","N/A",IF(FIRE1201_historical_raw!F56="..","..",ROUND(FIRE1201_historical_raw!F56,0)))</f>
        <v>1884</v>
      </c>
      <c r="I54" s="204">
        <f ca="1">IF(FIRE1201_historical_raw!G56="N/A","N/A",IF(FIRE1201_historical_raw!G56="..","..",ROUND(FIRE1201_historical_raw!G56,0)))</f>
        <v>1337</v>
      </c>
      <c r="J54" s="204"/>
      <c r="K54" s="204" t="str">
        <f ca="1">IF(FIRE1201_historical_raw!H56="N/A","N/A",IF(FIRE1201_historical_raw!H56="..","..",ROUND(FIRE1201_historical_raw!H56,0)))</f>
        <v>N/A</v>
      </c>
      <c r="L54" s="204" t="str">
        <f ca="1">IF(FIRE1201_historical_raw!I56="N/A","N/A",IF(FIRE1201_historical_raw!I56="..","..",ROUND(FIRE1201_historical_raw!I56,0)))</f>
        <v>N/A</v>
      </c>
      <c r="M54" s="190"/>
      <c r="O54" s="200"/>
      <c r="P54" s="200"/>
      <c r="R54" s="200"/>
      <c r="S54" s="200"/>
      <c r="U54" s="203"/>
      <c r="V54" s="203"/>
      <c r="W54" s="203"/>
      <c r="X54" s="203"/>
      <c r="Y54" s="203"/>
      <c r="AA54" s="201"/>
      <c r="AB54" s="201"/>
      <c r="AC54" s="201"/>
      <c r="AD54" s="201"/>
      <c r="AE54" s="201"/>
      <c r="AF54" s="201"/>
      <c r="AG54" s="201"/>
      <c r="AH54" s="201"/>
      <c r="AI54" s="201"/>
      <c r="AJ54" s="201"/>
      <c r="AK54" s="201"/>
    </row>
    <row r="55" spans="1:37" s="191" customFormat="1" ht="15" customHeight="1" thickBot="1" x14ac:dyDescent="0.4">
      <c r="A55" s="206" t="s">
        <v>52</v>
      </c>
      <c r="B55" s="207">
        <f ca="1">IF(FIRE1201_historical_raw!B57="N/A","N/A",IF(FIRE1201_historical_raw!B57="..","..",ROUND(FIRE1201_historical_raw!B57,0)))</f>
        <v>63010</v>
      </c>
      <c r="C55" s="207">
        <f ca="1">IF(FIRE1201_historical_raw!C57="N/A","N/A",IF(FIRE1201_historical_raw!C57="..","..",ROUND(FIRE1201_historical_raw!C57,0)))</f>
        <v>54953</v>
      </c>
      <c r="D55" s="207"/>
      <c r="E55" s="207">
        <f ca="1">IF(FIRE1201_historical_raw!D57="N/A","N/A",IF(FIRE1201_historical_raw!D57="..","..",ROUND(FIRE1201_historical_raw!D57,0)))</f>
        <v>20083</v>
      </c>
      <c r="F55" s="207">
        <f ca="1">IF(FIRE1201_historical_raw!E57="N/A","N/A",IF(FIRE1201_historical_raw!E57="..","..",ROUND(FIRE1201_historical_raw!E57,0)))</f>
        <v>17515</v>
      </c>
      <c r="G55" s="207"/>
      <c r="H55" s="207" t="str">
        <f ca="1">IF(FIRE1201_historical_raw!F57="N/A","N/A",IF(FIRE1201_historical_raw!F57="..","..",ROUND(FIRE1201_historical_raw!F57,0)))</f>
        <v>N/A</v>
      </c>
      <c r="I55" s="207" t="str">
        <f ca="1">IF(FIRE1201_historical_raw!G57="N/A","N/A",IF(FIRE1201_historical_raw!G57="..","..",ROUND(FIRE1201_historical_raw!G57,0)))</f>
        <v>N/A</v>
      </c>
      <c r="J55" s="207"/>
      <c r="K55" s="207">
        <f ca="1">IF(FIRE1201_historical_raw!H57="N/A","N/A",IF(FIRE1201_historical_raw!H57="..","..",ROUND(FIRE1201_historical_raw!H57,0)))</f>
        <v>77</v>
      </c>
      <c r="L55" s="207">
        <f ca="1">IF(FIRE1201_historical_raw!I57="N/A","N/A",IF(FIRE1201_historical_raw!I57="..","..",ROUND(FIRE1201_historical_raw!I57,0)))</f>
        <v>67</v>
      </c>
      <c r="M55" s="190"/>
      <c r="O55" s="200"/>
      <c r="P55" s="200"/>
      <c r="R55" s="200"/>
      <c r="S55" s="200"/>
      <c r="U55" s="203"/>
      <c r="V55" s="203"/>
      <c r="W55" s="203"/>
      <c r="X55" s="203"/>
      <c r="Y55" s="203"/>
      <c r="AA55" s="201"/>
      <c r="AB55" s="201"/>
      <c r="AC55" s="201"/>
      <c r="AD55" s="201"/>
      <c r="AE55" s="201"/>
      <c r="AF55" s="201"/>
      <c r="AG55" s="201"/>
      <c r="AH55" s="201"/>
      <c r="AI55" s="201"/>
      <c r="AJ55" s="201"/>
      <c r="AK55" s="201"/>
    </row>
    <row r="56" spans="1:37" ht="30" customHeight="1" x14ac:dyDescent="0.35">
      <c r="A56" s="190" t="s">
        <v>208</v>
      </c>
      <c r="O56" s="200"/>
      <c r="P56" s="200"/>
      <c r="R56" s="200"/>
      <c r="S56" s="200"/>
      <c r="T56" s="200"/>
      <c r="U56" s="200"/>
      <c r="V56" s="200"/>
      <c r="W56" s="200"/>
      <c r="X56" s="200"/>
      <c r="Y56" s="200"/>
    </row>
    <row r="57" spans="1:37" s="191" customFormat="1" ht="15" customHeight="1" x14ac:dyDescent="0.35">
      <c r="A57" s="190" t="s">
        <v>240</v>
      </c>
      <c r="B57" s="190"/>
      <c r="C57" s="190"/>
      <c r="D57" s="190"/>
      <c r="E57" s="190"/>
      <c r="F57" s="190"/>
      <c r="G57" s="190"/>
      <c r="H57" s="190"/>
      <c r="I57" s="190"/>
      <c r="J57" s="190"/>
      <c r="K57" s="190"/>
      <c r="L57" s="190"/>
      <c r="M57" s="190"/>
      <c r="N57" s="190"/>
      <c r="O57" s="200"/>
      <c r="P57" s="200"/>
      <c r="Q57" s="190"/>
      <c r="R57" s="200"/>
      <c r="S57" s="200"/>
      <c r="T57" s="200"/>
      <c r="U57" s="200"/>
      <c r="V57" s="200"/>
      <c r="W57" s="200"/>
      <c r="X57" s="200"/>
      <c r="Y57" s="200"/>
    </row>
    <row r="58" spans="1:37" s="191" customFormat="1" ht="15" customHeight="1" x14ac:dyDescent="0.35">
      <c r="A58" s="191" t="s">
        <v>129</v>
      </c>
      <c r="M58" s="190"/>
      <c r="N58" s="190"/>
      <c r="O58" s="200"/>
      <c r="P58" s="200"/>
      <c r="Q58" s="190"/>
      <c r="R58" s="200"/>
      <c r="S58" s="200"/>
      <c r="T58" s="200"/>
      <c r="U58" s="200"/>
      <c r="V58" s="200"/>
      <c r="W58" s="200"/>
      <c r="X58" s="200"/>
      <c r="Y58" s="200"/>
    </row>
    <row r="59" spans="1:37" s="191" customFormat="1" ht="27.75" customHeight="1" x14ac:dyDescent="0.35">
      <c r="A59" s="208" t="s">
        <v>130</v>
      </c>
      <c r="B59" s="209"/>
      <c r="C59" s="209"/>
      <c r="D59" s="209"/>
      <c r="E59" s="209"/>
      <c r="F59" s="209"/>
      <c r="G59" s="209"/>
      <c r="H59" s="209"/>
      <c r="I59" s="209"/>
      <c r="J59" s="209"/>
      <c r="K59" s="209"/>
      <c r="L59" s="209"/>
      <c r="M59" s="190"/>
      <c r="N59" s="190"/>
      <c r="O59" s="200"/>
      <c r="P59" s="200"/>
      <c r="Q59" s="190"/>
      <c r="R59" s="200"/>
      <c r="S59" s="200"/>
      <c r="T59" s="200"/>
      <c r="U59" s="200"/>
      <c r="V59" s="200"/>
      <c r="W59" s="200"/>
      <c r="X59" s="200"/>
      <c r="Y59" s="200"/>
    </row>
    <row r="60" spans="1:37" s="191" customFormat="1" ht="15" customHeight="1" x14ac:dyDescent="0.35">
      <c r="A60" s="210" t="s">
        <v>131</v>
      </c>
      <c r="B60" s="209"/>
      <c r="C60" s="209"/>
      <c r="D60" s="209"/>
      <c r="E60" s="209"/>
      <c r="F60" s="209"/>
      <c r="G60" s="209"/>
      <c r="H60" s="209"/>
      <c r="I60" s="209"/>
      <c r="J60" s="209"/>
      <c r="K60" s="209"/>
      <c r="L60" s="209"/>
      <c r="M60" s="190"/>
      <c r="N60" s="190"/>
      <c r="O60" s="200"/>
      <c r="P60" s="200"/>
      <c r="Q60" s="190"/>
      <c r="R60" s="200"/>
      <c r="S60" s="200"/>
      <c r="T60" s="200"/>
      <c r="U60" s="200"/>
      <c r="V60" s="200"/>
      <c r="W60" s="200"/>
      <c r="X60" s="200"/>
      <c r="Y60" s="200"/>
    </row>
    <row r="61" spans="1:37" s="191" customFormat="1" ht="27" customHeight="1" x14ac:dyDescent="0.35">
      <c r="A61" s="211" t="s">
        <v>132</v>
      </c>
      <c r="B61" s="190"/>
      <c r="C61" s="190"/>
      <c r="D61" s="190"/>
      <c r="E61" s="190"/>
      <c r="F61" s="190"/>
      <c r="G61" s="190"/>
      <c r="H61" s="190"/>
      <c r="I61" s="190"/>
      <c r="J61" s="190"/>
      <c r="K61" s="190"/>
      <c r="L61" s="190"/>
      <c r="M61" s="190"/>
      <c r="N61" s="190"/>
      <c r="O61" s="200"/>
      <c r="P61" s="200"/>
      <c r="Q61" s="190"/>
      <c r="R61" s="200"/>
      <c r="S61" s="200"/>
      <c r="T61" s="200"/>
      <c r="U61" s="200"/>
      <c r="V61" s="200"/>
      <c r="W61" s="200"/>
      <c r="X61" s="200"/>
      <c r="Y61" s="200"/>
    </row>
    <row r="62" spans="1:37" s="191" customFormat="1" ht="15" customHeight="1" x14ac:dyDescent="0.35">
      <c r="A62" s="190" t="s">
        <v>255</v>
      </c>
      <c r="B62" s="190"/>
      <c r="C62" s="190"/>
      <c r="D62" s="190"/>
      <c r="E62" s="190"/>
      <c r="F62" s="190"/>
      <c r="G62" s="190"/>
      <c r="H62" s="190"/>
      <c r="I62" s="190"/>
      <c r="J62" s="190"/>
      <c r="K62" s="190"/>
      <c r="L62" s="190"/>
      <c r="M62" s="190"/>
      <c r="N62" s="190"/>
      <c r="O62" s="200"/>
      <c r="P62" s="200"/>
      <c r="Q62" s="190"/>
      <c r="R62" s="200"/>
      <c r="S62" s="200"/>
      <c r="T62" s="200"/>
      <c r="U62" s="200"/>
      <c r="V62" s="200"/>
      <c r="W62" s="200"/>
      <c r="X62" s="200"/>
      <c r="Y62" s="200"/>
    </row>
    <row r="63" spans="1:37" s="191" customFormat="1" x14ac:dyDescent="0.35">
      <c r="A63" s="210" t="s">
        <v>133</v>
      </c>
      <c r="B63" s="209"/>
      <c r="C63" s="209"/>
      <c r="D63" s="209"/>
      <c r="E63" s="209"/>
      <c r="F63" s="209"/>
      <c r="G63" s="209"/>
      <c r="H63" s="209"/>
      <c r="I63" s="209"/>
      <c r="J63" s="209"/>
      <c r="K63" s="209"/>
      <c r="L63" s="209"/>
      <c r="M63" s="190"/>
      <c r="N63" s="190"/>
      <c r="O63" s="200"/>
      <c r="P63" s="200"/>
      <c r="Q63" s="190"/>
      <c r="R63" s="200"/>
      <c r="S63" s="200"/>
      <c r="T63" s="200"/>
      <c r="U63" s="200"/>
      <c r="V63" s="200"/>
      <c r="W63" s="200"/>
      <c r="X63" s="200"/>
      <c r="Y63" s="200"/>
    </row>
    <row r="64" spans="1:37" s="191" customFormat="1" x14ac:dyDescent="0.35">
      <c r="A64" s="210" t="s">
        <v>134</v>
      </c>
      <c r="B64" s="209"/>
      <c r="C64" s="209"/>
      <c r="D64" s="209"/>
      <c r="E64" s="209"/>
      <c r="F64" s="209"/>
      <c r="G64" s="209"/>
      <c r="H64" s="209"/>
      <c r="I64" s="209"/>
      <c r="J64" s="209"/>
      <c r="K64" s="209"/>
      <c r="L64" s="209"/>
      <c r="M64" s="190"/>
      <c r="N64" s="190"/>
      <c r="O64" s="200"/>
      <c r="P64" s="200"/>
      <c r="Q64" s="190"/>
      <c r="R64" s="200"/>
      <c r="S64" s="200"/>
      <c r="T64" s="200"/>
      <c r="U64" s="200"/>
      <c r="V64" s="200"/>
      <c r="W64" s="200"/>
      <c r="X64" s="200"/>
      <c r="Y64" s="200"/>
    </row>
    <row r="65" spans="1:25" s="191" customFormat="1" x14ac:dyDescent="0.35">
      <c r="A65" s="190" t="s">
        <v>135</v>
      </c>
      <c r="B65" s="186"/>
      <c r="C65" s="186"/>
      <c r="D65" s="186"/>
      <c r="E65" s="186"/>
      <c r="F65" s="186"/>
      <c r="G65" s="186"/>
      <c r="H65" s="186"/>
      <c r="I65" s="186"/>
      <c r="J65" s="186"/>
      <c r="K65" s="186"/>
      <c r="L65" s="186"/>
      <c r="M65" s="190"/>
      <c r="N65" s="190"/>
      <c r="O65" s="200"/>
      <c r="P65" s="200"/>
      <c r="Q65" s="190"/>
      <c r="R65" s="200"/>
      <c r="S65" s="200"/>
      <c r="T65" s="200"/>
      <c r="U65" s="200"/>
      <c r="V65" s="200"/>
      <c r="W65" s="200"/>
      <c r="X65" s="200"/>
      <c r="Y65" s="200"/>
    </row>
    <row r="66" spans="1:25" s="191" customFormat="1" x14ac:dyDescent="0.35">
      <c r="A66" s="190" t="s">
        <v>136</v>
      </c>
      <c r="B66" s="186"/>
      <c r="C66" s="186"/>
      <c r="D66" s="186"/>
      <c r="E66" s="186"/>
      <c r="F66" s="186"/>
      <c r="G66" s="186"/>
      <c r="H66" s="186"/>
      <c r="I66" s="186"/>
      <c r="J66" s="186"/>
      <c r="K66" s="186"/>
      <c r="L66" s="186"/>
      <c r="M66" s="190"/>
      <c r="N66" s="190"/>
      <c r="O66" s="200"/>
      <c r="P66" s="200"/>
      <c r="Q66" s="190"/>
      <c r="R66" s="200"/>
      <c r="S66" s="200"/>
      <c r="T66" s="200"/>
      <c r="U66" s="200"/>
      <c r="V66" s="200"/>
      <c r="W66" s="200"/>
      <c r="X66" s="200"/>
      <c r="Y66" s="200"/>
    </row>
    <row r="67" spans="1:25" s="191" customFormat="1" ht="31" x14ac:dyDescent="0.35">
      <c r="A67" s="209" t="s">
        <v>137</v>
      </c>
      <c r="B67" s="209"/>
      <c r="C67" s="209"/>
      <c r="D67" s="209"/>
      <c r="E67" s="209"/>
      <c r="F67" s="209"/>
      <c r="G67" s="209"/>
      <c r="H67" s="209"/>
      <c r="I67" s="209"/>
      <c r="J67" s="209"/>
      <c r="K67" s="209"/>
      <c r="L67" s="209"/>
      <c r="M67" s="190"/>
      <c r="N67" s="190"/>
      <c r="O67" s="200"/>
      <c r="P67" s="200"/>
      <c r="Q67" s="190"/>
      <c r="R67" s="200"/>
      <c r="S67" s="200"/>
      <c r="T67" s="200"/>
      <c r="U67" s="200"/>
      <c r="V67" s="200"/>
      <c r="W67" s="200"/>
      <c r="X67" s="200"/>
      <c r="Y67" s="200"/>
    </row>
    <row r="68" spans="1:25" s="191" customFormat="1" ht="31" x14ac:dyDescent="0.35">
      <c r="A68" s="209" t="s">
        <v>138</v>
      </c>
      <c r="B68" s="209"/>
      <c r="C68" s="209"/>
      <c r="D68" s="209"/>
      <c r="E68" s="209"/>
      <c r="F68" s="209"/>
      <c r="G68" s="209"/>
      <c r="H68" s="209"/>
      <c r="I68" s="209"/>
      <c r="J68" s="209"/>
      <c r="K68" s="209"/>
      <c r="L68" s="209"/>
      <c r="M68" s="190"/>
      <c r="N68" s="190"/>
      <c r="O68" s="200"/>
      <c r="P68" s="200"/>
      <c r="Q68" s="190"/>
      <c r="R68" s="200"/>
      <c r="S68" s="200"/>
      <c r="T68" s="200"/>
      <c r="U68" s="200"/>
      <c r="V68" s="200"/>
      <c r="W68" s="200"/>
      <c r="X68" s="200"/>
      <c r="Y68" s="200"/>
    </row>
    <row r="69" spans="1:25" s="191" customFormat="1" x14ac:dyDescent="0.35">
      <c r="A69" s="209" t="s">
        <v>139</v>
      </c>
      <c r="B69" s="209"/>
      <c r="C69" s="209"/>
      <c r="D69" s="209"/>
      <c r="E69" s="209"/>
      <c r="F69" s="209"/>
      <c r="G69" s="209"/>
      <c r="H69" s="209"/>
      <c r="I69" s="209"/>
      <c r="J69" s="209"/>
      <c r="K69" s="209"/>
      <c r="L69" s="209"/>
      <c r="M69" s="190"/>
      <c r="N69" s="190"/>
      <c r="O69" s="200"/>
      <c r="P69" s="200"/>
      <c r="Q69" s="190"/>
      <c r="R69" s="200"/>
      <c r="S69" s="200"/>
      <c r="T69" s="200"/>
      <c r="U69" s="200"/>
      <c r="V69" s="200"/>
      <c r="W69" s="200"/>
      <c r="X69" s="200"/>
      <c r="Y69" s="200"/>
    </row>
    <row r="70" spans="1:25" s="191" customFormat="1" x14ac:dyDescent="0.35">
      <c r="A70" s="210" t="s">
        <v>140</v>
      </c>
      <c r="B70" s="209"/>
      <c r="C70" s="209"/>
      <c r="D70" s="209"/>
      <c r="E70" s="209"/>
      <c r="F70" s="209"/>
      <c r="G70" s="209"/>
      <c r="H70" s="209"/>
      <c r="I70" s="209"/>
      <c r="J70" s="209"/>
      <c r="K70" s="209"/>
      <c r="L70" s="209"/>
      <c r="M70" s="190"/>
      <c r="N70" s="190"/>
      <c r="O70" s="200"/>
      <c r="P70" s="200"/>
      <c r="Q70" s="190"/>
      <c r="R70" s="200"/>
      <c r="S70" s="200"/>
      <c r="T70" s="200"/>
      <c r="U70" s="200"/>
      <c r="V70" s="200"/>
      <c r="W70" s="200"/>
      <c r="X70" s="200"/>
      <c r="Y70" s="200"/>
    </row>
    <row r="71" spans="1:25" s="191" customFormat="1" ht="29.15" customHeight="1" x14ac:dyDescent="0.35">
      <c r="A71" s="190" t="s">
        <v>254</v>
      </c>
      <c r="B71" s="190"/>
      <c r="C71" s="190"/>
      <c r="D71" s="190"/>
      <c r="E71" s="190"/>
      <c r="F71" s="190"/>
      <c r="G71" s="190"/>
      <c r="H71" s="190"/>
      <c r="I71" s="190"/>
      <c r="J71" s="190"/>
      <c r="K71" s="190"/>
      <c r="L71" s="190"/>
      <c r="M71" s="190"/>
      <c r="N71" s="190"/>
      <c r="O71" s="200"/>
      <c r="P71" s="200"/>
      <c r="Q71" s="190"/>
      <c r="R71" s="200"/>
      <c r="S71" s="200"/>
      <c r="T71" s="200"/>
      <c r="U71" s="200"/>
      <c r="V71" s="200"/>
      <c r="W71" s="200"/>
      <c r="X71" s="200"/>
      <c r="Y71" s="200"/>
    </row>
    <row r="72" spans="1:25" s="191" customFormat="1" x14ac:dyDescent="0.35">
      <c r="A72" s="210" t="s">
        <v>141</v>
      </c>
      <c r="B72" s="190"/>
      <c r="C72" s="190"/>
      <c r="D72" s="190"/>
      <c r="E72" s="190"/>
      <c r="F72" s="190"/>
      <c r="G72" s="190"/>
      <c r="H72" s="190"/>
      <c r="I72" s="190"/>
      <c r="J72" s="190"/>
      <c r="K72" s="190"/>
      <c r="L72" s="190"/>
      <c r="M72" s="190"/>
      <c r="N72" s="190"/>
      <c r="O72" s="200"/>
      <c r="P72" s="200"/>
      <c r="Q72" s="190"/>
      <c r="R72" s="200"/>
      <c r="S72" s="200"/>
      <c r="T72" s="200"/>
      <c r="U72" s="200"/>
      <c r="V72" s="200"/>
      <c r="W72" s="200"/>
      <c r="X72" s="200"/>
      <c r="Y72" s="200"/>
    </row>
    <row r="73" spans="1:25" s="191" customFormat="1" ht="26.9" customHeight="1" x14ac:dyDescent="0.35">
      <c r="A73" s="210" t="s">
        <v>142</v>
      </c>
      <c r="B73" s="209"/>
      <c r="C73" s="209"/>
      <c r="D73" s="209"/>
      <c r="E73" s="209"/>
      <c r="F73" s="209"/>
      <c r="G73" s="209"/>
      <c r="H73" s="209"/>
      <c r="I73" s="209"/>
      <c r="J73" s="209"/>
      <c r="K73" s="209"/>
      <c r="L73" s="209"/>
      <c r="M73" s="190"/>
      <c r="N73" s="190"/>
      <c r="O73" s="200"/>
      <c r="P73" s="200"/>
      <c r="Q73" s="190"/>
      <c r="R73" s="200"/>
      <c r="S73" s="200"/>
      <c r="T73" s="200"/>
      <c r="U73" s="200"/>
      <c r="V73" s="200"/>
      <c r="W73" s="200"/>
      <c r="X73" s="200"/>
      <c r="Y73" s="200"/>
    </row>
    <row r="74" spans="1:25" s="191" customFormat="1" ht="27" customHeight="1" x14ac:dyDescent="0.35">
      <c r="A74" s="190" t="s">
        <v>115</v>
      </c>
      <c r="B74" s="186"/>
      <c r="C74" s="186"/>
      <c r="D74" s="186"/>
      <c r="E74" s="186"/>
      <c r="F74" s="186"/>
      <c r="G74" s="186"/>
      <c r="H74" s="186"/>
      <c r="I74" s="186"/>
      <c r="J74" s="186"/>
      <c r="K74" s="186"/>
      <c r="L74" s="186"/>
      <c r="Q74" s="190"/>
    </row>
    <row r="75" spans="1:25" s="191" customFormat="1" ht="15" customHeight="1" x14ac:dyDescent="0.35">
      <c r="A75" s="212" t="s">
        <v>116</v>
      </c>
      <c r="B75" s="212"/>
      <c r="C75" s="186"/>
      <c r="D75" s="186"/>
      <c r="E75" s="186"/>
      <c r="F75" s="186"/>
      <c r="G75" s="186"/>
      <c r="H75" s="186"/>
      <c r="I75" s="186"/>
      <c r="J75" s="186"/>
      <c r="K75" s="186"/>
      <c r="L75" s="186"/>
      <c r="Q75" s="190"/>
    </row>
    <row r="76" spans="1:25" s="191" customFormat="1" ht="27" customHeight="1" x14ac:dyDescent="0.35">
      <c r="A76" s="190" t="s">
        <v>117</v>
      </c>
      <c r="B76" s="190"/>
      <c r="C76" s="190"/>
      <c r="D76" s="190"/>
      <c r="E76" s="190"/>
      <c r="F76" s="190"/>
      <c r="G76" s="190"/>
      <c r="H76" s="190"/>
      <c r="I76" s="190"/>
      <c r="K76" s="190"/>
      <c r="L76" s="190"/>
      <c r="Q76" s="190"/>
    </row>
    <row r="77" spans="1:25" s="191" customFormat="1" ht="29.25" customHeight="1" x14ac:dyDescent="0.35">
      <c r="A77" s="190" t="s">
        <v>113</v>
      </c>
      <c r="B77" s="190"/>
      <c r="C77" s="190"/>
      <c r="D77" s="190"/>
      <c r="E77" s="190"/>
      <c r="F77" s="190"/>
      <c r="G77" s="190"/>
      <c r="H77" s="213"/>
      <c r="I77" s="213"/>
      <c r="Q77" s="190"/>
    </row>
    <row r="78" spans="1:25" s="191" customFormat="1" x14ac:dyDescent="0.35">
      <c r="A78" s="214" t="s">
        <v>118</v>
      </c>
      <c r="B78" s="190"/>
      <c r="C78" s="190"/>
      <c r="D78" s="190"/>
      <c r="E78" s="190"/>
      <c r="F78" s="190"/>
      <c r="G78" s="190"/>
      <c r="H78" s="213"/>
      <c r="I78" s="213"/>
      <c r="J78" s="213"/>
      <c r="Q78" s="190"/>
    </row>
    <row r="79" spans="1:25" x14ac:dyDescent="0.35">
      <c r="A79" s="215"/>
    </row>
    <row r="85" spans="15:16" x14ac:dyDescent="0.35">
      <c r="O85" s="190" t="s">
        <v>143</v>
      </c>
      <c r="P85" s="191"/>
    </row>
    <row r="86" spans="15:16" x14ac:dyDescent="0.35">
      <c r="O86" s="190" t="s">
        <v>144</v>
      </c>
    </row>
    <row r="87" spans="15:16" x14ac:dyDescent="0.35">
      <c r="O87" s="190" t="s">
        <v>145</v>
      </c>
    </row>
    <row r="88" spans="15:16" x14ac:dyDescent="0.35">
      <c r="O88" s="190" t="s">
        <v>146</v>
      </c>
    </row>
    <row r="89" spans="15:16" x14ac:dyDescent="0.35">
      <c r="O89" s="190" t="s">
        <v>147</v>
      </c>
    </row>
    <row r="90" spans="15:16" x14ac:dyDescent="0.35">
      <c r="O90" s="190" t="s">
        <v>148</v>
      </c>
    </row>
    <row r="91" spans="15:16" x14ac:dyDescent="0.35">
      <c r="O91" s="190" t="s">
        <v>149</v>
      </c>
    </row>
    <row r="92" spans="15:16" x14ac:dyDescent="0.35">
      <c r="O92" s="190" t="s">
        <v>125</v>
      </c>
    </row>
  </sheetData>
  <mergeCells count="4">
    <mergeCell ref="B4:C4"/>
    <mergeCell ref="E4:F4"/>
    <mergeCell ref="H4:I4"/>
    <mergeCell ref="K4:L4"/>
  </mergeCells>
  <dataValidations count="1">
    <dataValidation type="list" allowBlank="1" showInputMessage="1" showErrorMessage="1" sqref="A3 F3" xr:uid="{2C4478E3-D8D8-4C30-943D-48151EB8D026}">
      <formula1>$O$85:$O$92</formula1>
    </dataValidation>
  </dataValidations>
  <hyperlinks>
    <hyperlink ref="A75" r:id="rId1" xr:uid="{0BD3D3F6-D6CD-4DEC-9AF5-540CA5D2FE03}"/>
    <hyperlink ref="A78" r:id="rId2" xr:uid="{3019C9FE-3C8F-4243-B110-5C57D61D7312}"/>
  </hyperlinks>
  <pageMargins left="0.7" right="0.7" top="0.75" bottom="0.75" header="0.3" footer="0.3"/>
  <pageSetup paperSize="9" orientation="portrait" r:id="rId3"/>
  <headerFooter>
    <oddHeader>&amp;C&amp;"Aptos"&amp;10&amp;K000000 OFFICIAL&amp;1#_x000D_</oddHeader>
    <oddFooter>&amp;C_x000D_&amp;1#&amp;"Aptos"&amp;10&amp;K000000 OFFICIAL</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122272-3E66-4C53-AC6F-40239665307A}">
  <dimension ref="A1:Y102"/>
  <sheetViews>
    <sheetView showGridLines="0" zoomScaleNormal="100" workbookViewId="0">
      <selection activeCell="A3" sqref="A3"/>
    </sheetView>
  </sheetViews>
  <sheetFormatPr defaultColWidth="8.81640625" defaultRowHeight="15.5" x14ac:dyDescent="0.35"/>
  <cols>
    <col min="1" max="1" width="15.54296875" style="109" customWidth="1"/>
    <col min="2" max="2" width="10.54296875" style="109" customWidth="1"/>
    <col min="3" max="3" width="21.54296875" style="109" customWidth="1"/>
    <col min="4" max="4" width="24.1796875" style="109" customWidth="1"/>
    <col min="5" max="5" width="20.453125" style="109" customWidth="1"/>
    <col min="6" max="6" width="17.81640625" style="109" customWidth="1"/>
    <col min="7" max="7" width="15.54296875" style="109" customWidth="1"/>
    <col min="8" max="8" width="2.1796875" style="109" customWidth="1"/>
    <col min="9" max="9" width="10.54296875" style="109" customWidth="1"/>
    <col min="10" max="10" width="21.453125" style="109" customWidth="1"/>
    <col min="11" max="11" width="22.453125" style="109" customWidth="1"/>
    <col min="12" max="12" width="27.81640625" style="109" customWidth="1"/>
    <col min="13" max="13" width="23.81640625" style="109" customWidth="1"/>
    <col min="14" max="14" width="14.54296875" style="109" customWidth="1"/>
    <col min="15" max="15" width="2.81640625" style="109" customWidth="1"/>
    <col min="16" max="16" width="10.54296875" style="109" customWidth="1"/>
    <col min="17" max="17" width="22.81640625" style="109" customWidth="1"/>
    <col min="18" max="18" width="25.54296875" style="109" customWidth="1"/>
    <col min="19" max="19" width="22.453125" style="109" customWidth="1"/>
    <col min="20" max="20" width="15.81640625" style="109" customWidth="1"/>
    <col min="21" max="21" width="8.81640625" style="109" customWidth="1"/>
    <col min="22" max="23" width="8.81640625" style="109" hidden="1" customWidth="1"/>
    <col min="24" max="25" width="8.81640625" style="109" customWidth="1"/>
    <col min="26" max="16384" width="8.81640625" style="109"/>
  </cols>
  <sheetData>
    <row r="1" spans="1:21" s="129" customFormat="1" ht="20" x14ac:dyDescent="0.5">
      <c r="A1" s="228" t="s">
        <v>283</v>
      </c>
      <c r="B1" s="128"/>
      <c r="C1" s="128"/>
      <c r="D1" s="128"/>
      <c r="E1" s="128"/>
      <c r="F1" s="128"/>
      <c r="G1" s="128"/>
      <c r="H1" s="128"/>
      <c r="I1" s="128"/>
      <c r="J1" s="128"/>
      <c r="K1" s="128"/>
      <c r="L1" s="128"/>
      <c r="M1" s="128"/>
      <c r="N1" s="128"/>
      <c r="O1" s="128"/>
      <c r="P1" s="128"/>
      <c r="Q1" s="128"/>
      <c r="R1" s="128"/>
      <c r="S1" s="128"/>
      <c r="T1" s="128"/>
    </row>
    <row r="2" spans="1:21" ht="28" customHeight="1" x14ac:dyDescent="0.35">
      <c r="A2" s="107" t="s">
        <v>271</v>
      </c>
    </row>
    <row r="3" spans="1:21" x14ac:dyDescent="0.35">
      <c r="A3" s="130" t="s">
        <v>76</v>
      </c>
      <c r="B3" s="157"/>
    </row>
    <row r="4" spans="1:21" ht="16" thickBot="1" x14ac:dyDescent="0.4">
      <c r="A4" s="131" t="s">
        <v>10</v>
      </c>
      <c r="B4" s="157"/>
      <c r="H4" s="132"/>
      <c r="I4" s="132"/>
    </row>
    <row r="5" spans="1:21" ht="20.25" customHeight="1" thickBot="1" x14ac:dyDescent="0.4">
      <c r="A5" s="133"/>
      <c r="B5" s="251" t="s">
        <v>231</v>
      </c>
      <c r="C5" s="251"/>
      <c r="D5" s="251"/>
      <c r="E5" s="251"/>
      <c r="F5" s="251"/>
      <c r="G5" s="251"/>
      <c r="H5" s="134"/>
      <c r="I5" s="251" t="s">
        <v>234</v>
      </c>
      <c r="J5" s="251"/>
      <c r="K5" s="251"/>
      <c r="L5" s="251"/>
      <c r="M5" s="251"/>
      <c r="N5" s="251"/>
      <c r="O5" s="134"/>
      <c r="P5" s="251" t="s">
        <v>235</v>
      </c>
      <c r="Q5" s="251"/>
      <c r="R5" s="251"/>
      <c r="S5" s="251"/>
      <c r="T5" s="251"/>
    </row>
    <row r="6" spans="1:21" s="222" customFormat="1" ht="88" customHeight="1" thickBot="1" x14ac:dyDescent="0.4">
      <c r="A6" s="216" t="s">
        <v>77</v>
      </c>
      <c r="B6" s="217" t="s">
        <v>10</v>
      </c>
      <c r="C6" s="218" t="s">
        <v>277</v>
      </c>
      <c r="D6" s="219" t="s">
        <v>278</v>
      </c>
      <c r="E6" s="219" t="s">
        <v>279</v>
      </c>
      <c r="F6" s="219" t="s">
        <v>280</v>
      </c>
      <c r="G6" s="219" t="s">
        <v>281</v>
      </c>
      <c r="H6" s="220"/>
      <c r="I6" s="217" t="s">
        <v>10</v>
      </c>
      <c r="J6" s="218" t="s">
        <v>277</v>
      </c>
      <c r="K6" s="219" t="s">
        <v>278</v>
      </c>
      <c r="L6" s="219" t="s">
        <v>279</v>
      </c>
      <c r="M6" s="219" t="s">
        <v>280</v>
      </c>
      <c r="N6" s="219" t="s">
        <v>281</v>
      </c>
      <c r="O6" s="220"/>
      <c r="P6" s="217" t="s">
        <v>10</v>
      </c>
      <c r="Q6" s="219" t="s">
        <v>278</v>
      </c>
      <c r="R6" s="219" t="s">
        <v>279</v>
      </c>
      <c r="S6" s="219" t="s">
        <v>280</v>
      </c>
      <c r="T6" s="218" t="s">
        <v>282</v>
      </c>
      <c r="U6" s="221"/>
    </row>
    <row r="7" spans="1:21" x14ac:dyDescent="0.35">
      <c r="A7" s="135" t="s">
        <v>7</v>
      </c>
      <c r="B7" s="136">
        <f>IF(FIRE1201a_working!B7="..","..",ROUND(FIRE1201a_working!B7,0))</f>
        <v>597704</v>
      </c>
      <c r="C7" s="136" t="str">
        <f>IF(FIRE1201a_working!C7="..","..",ROUND(FIRE1201a_working!C7,0))</f>
        <v>..</v>
      </c>
      <c r="D7" s="136">
        <f>IF(FIRE1201a_working!D7="..","..",ROUND(FIRE1201a_working!D7,0))</f>
        <v>127781</v>
      </c>
      <c r="E7" s="136">
        <f>IF(FIRE1201a_working!E7="..","..",ROUND(FIRE1201a_working!E7,0))</f>
        <v>220836</v>
      </c>
      <c r="F7" s="136">
        <f>IF(FIRE1201a_working!F7="..","..",ROUND(FIRE1201a_working!F7,0))</f>
        <v>42891</v>
      </c>
      <c r="G7" s="136" t="str">
        <f>IF(FIRE1201a_working!G7="..","..",ROUND(FIRE1201a_working!G7,0))</f>
        <v>..</v>
      </c>
      <c r="H7" s="136"/>
      <c r="I7" s="137">
        <f>IF(FIRE1201a_working!I7="..","..",ROUND(FIRE1201a_working!I7,0))</f>
        <v>581594</v>
      </c>
      <c r="J7" s="137" t="str">
        <f>IF(FIRE1201a_working!J7="..","..",ROUND(FIRE1201a_working!J7,0))</f>
        <v>..</v>
      </c>
      <c r="K7" s="137">
        <f>IF(FIRE1201a_working!K7="..","..",ROUND(FIRE1201a_working!K7,0))</f>
        <v>124670</v>
      </c>
      <c r="L7" s="137">
        <f>IF(FIRE1201a_working!L7="..","..",ROUND(FIRE1201a_working!L7,0))</f>
        <v>216918</v>
      </c>
      <c r="M7" s="137">
        <f>IF(FIRE1201a_working!M7="..","..",ROUND(FIRE1201a_working!M7,0))</f>
        <v>40814</v>
      </c>
      <c r="N7" s="137" t="str">
        <f>IF(FIRE1201a_working!N7="..","..",ROUND(FIRE1201a_working!N7,0))</f>
        <v>..</v>
      </c>
      <c r="O7" s="137"/>
      <c r="P7" s="137">
        <f>IF(FIRE1201a_working!P7="..","..",ROUND(FIRE1201a_working!P7,0))</f>
        <v>16110</v>
      </c>
      <c r="Q7" s="137">
        <f>IF(FIRE1201a_working!Q7="..","..",ROUND(FIRE1201a_working!Q7,0))</f>
        <v>3111</v>
      </c>
      <c r="R7" s="137">
        <f>IF(FIRE1201a_working!R7="..","..",ROUND(FIRE1201a_working!R7,0))</f>
        <v>3918</v>
      </c>
      <c r="S7" s="137">
        <f>IF(FIRE1201a_working!S7="..","..",ROUND(FIRE1201a_working!S7,0))</f>
        <v>2077</v>
      </c>
      <c r="T7" s="137" t="str">
        <f>IF(FIRE1201a_working!T7="..","..",ROUND(FIRE1201a_working!T7,0))</f>
        <v>..</v>
      </c>
    </row>
    <row r="8" spans="1:21" x14ac:dyDescent="0.35">
      <c r="A8" s="135" t="s">
        <v>53</v>
      </c>
      <c r="B8" s="136">
        <f>IF(FIRE1201a_working!B8="..","..",ROUND(FIRE1201a_working!B8,0))</f>
        <v>588666</v>
      </c>
      <c r="C8" s="136" t="str">
        <f>IF(FIRE1201a_working!C8="..","..",ROUND(FIRE1201a_working!C8,0))</f>
        <v>..</v>
      </c>
      <c r="D8" s="136">
        <f>IF(FIRE1201a_working!D8="..","..",ROUND(FIRE1201a_working!D8,0))</f>
        <v>129804</v>
      </c>
      <c r="E8" s="136">
        <f>IF(FIRE1201a_working!E8="..","..",ROUND(FIRE1201a_working!E8,0))</f>
        <v>197510</v>
      </c>
      <c r="F8" s="136">
        <f>IF(FIRE1201a_working!F8="..","..",ROUND(FIRE1201a_working!F8,0))</f>
        <v>43673</v>
      </c>
      <c r="G8" s="136" t="str">
        <f>IF(FIRE1201a_working!G8="..","..",ROUND(FIRE1201a_working!G8,0))</f>
        <v>..</v>
      </c>
      <c r="H8" s="136"/>
      <c r="I8" s="136">
        <f>IF(FIRE1201a_working!I8="..","..",ROUND(FIRE1201a_working!I8,0))</f>
        <v>572310</v>
      </c>
      <c r="J8" s="136" t="str">
        <f>IF(FIRE1201a_working!J8="..","..",ROUND(FIRE1201a_working!J8,0))</f>
        <v>..</v>
      </c>
      <c r="K8" s="136">
        <f>IF(FIRE1201a_working!K8="..","..",ROUND(FIRE1201a_working!K8,0))</f>
        <v>125782</v>
      </c>
      <c r="L8" s="136">
        <f>IF(FIRE1201a_working!L8="..","..",ROUND(FIRE1201a_working!L8,0))</f>
        <v>194062</v>
      </c>
      <c r="M8" s="136">
        <f>IF(FIRE1201a_working!M8="..","..",ROUND(FIRE1201a_working!M8,0))</f>
        <v>41002</v>
      </c>
      <c r="N8" s="136" t="str">
        <f>IF(FIRE1201a_working!N8="..","..",ROUND(FIRE1201a_working!N8,0))</f>
        <v>..</v>
      </c>
      <c r="O8" s="136"/>
      <c r="P8" s="136">
        <f>IF(FIRE1201a_working!P8="..","..",ROUND(FIRE1201a_working!P8,0))</f>
        <v>16356</v>
      </c>
      <c r="Q8" s="136">
        <f>IF(FIRE1201a_working!Q8="..","..",ROUND(FIRE1201a_working!Q8,0))</f>
        <v>4022</v>
      </c>
      <c r="R8" s="136">
        <f>IF(FIRE1201a_working!R8="..","..",ROUND(FIRE1201a_working!R8,0))</f>
        <v>3448</v>
      </c>
      <c r="S8" s="136">
        <f>IF(FIRE1201a_working!S8="..","..",ROUND(FIRE1201a_working!S8,0))</f>
        <v>2671</v>
      </c>
      <c r="T8" s="136" t="str">
        <f>IF(FIRE1201a_working!T8="..","..",ROUND(FIRE1201a_working!T8,0))</f>
        <v>..</v>
      </c>
    </row>
    <row r="9" spans="1:21" x14ac:dyDescent="0.35">
      <c r="A9" s="135" t="s">
        <v>54</v>
      </c>
      <c r="B9" s="136">
        <f>IF(FIRE1201a_working!B9="..","..",ROUND(FIRE1201a_working!B9,0))</f>
        <v>260998</v>
      </c>
      <c r="C9" s="136" t="str">
        <f>IF(FIRE1201a_working!C9="..","..",ROUND(FIRE1201a_working!C9,0))</f>
        <v>..</v>
      </c>
      <c r="D9" s="136">
        <f>IF(FIRE1201a_working!D9="..","..",ROUND(FIRE1201a_working!D9,0))</f>
        <v>68853</v>
      </c>
      <c r="E9" s="136">
        <f>IF(FIRE1201a_working!E9="..","..",ROUND(FIRE1201a_working!E9,0))</f>
        <v>57241</v>
      </c>
      <c r="F9" s="136">
        <f>IF(FIRE1201a_working!F9="..","..",ROUND(FIRE1201a_working!F9,0))</f>
        <v>23274</v>
      </c>
      <c r="G9" s="136" t="str">
        <f>IF(FIRE1201a_working!G9="..","..",ROUND(FIRE1201a_working!G9,0))</f>
        <v>..</v>
      </c>
      <c r="H9" s="136"/>
      <c r="I9" s="136">
        <f>IF(FIRE1201a_working!I9="..","..",ROUND(FIRE1201a_working!I9,0))</f>
        <v>252616</v>
      </c>
      <c r="J9" s="136">
        <f>IF(FIRE1201a_working!J9="..","..",ROUND(FIRE1201a_working!J9,0))</f>
        <v>139400</v>
      </c>
      <c r="K9" s="136">
        <f>IF(FIRE1201a_working!K9="..","..",ROUND(FIRE1201a_working!K9,0))</f>
        <v>67627</v>
      </c>
      <c r="L9" s="136">
        <f>IF(FIRE1201a_working!L9="..","..",ROUND(FIRE1201a_working!L9,0))</f>
        <v>55869</v>
      </c>
      <c r="M9" s="136">
        <f>IF(FIRE1201a_working!M9="..","..",ROUND(FIRE1201a_working!M9,0))</f>
        <v>22163</v>
      </c>
      <c r="N9" s="136">
        <f>IF(FIRE1201a_working!N9="..","..",ROUND(FIRE1201a_working!N9,0))</f>
        <v>113216</v>
      </c>
      <c r="O9" s="136"/>
      <c r="P9" s="136">
        <f>IF(FIRE1201a_working!P9="..","..",ROUND(FIRE1201a_working!P9,0))</f>
        <v>8382</v>
      </c>
      <c r="Q9" s="136">
        <f>IF(FIRE1201a_working!Q9="..","..",ROUND(FIRE1201a_working!Q9,0))</f>
        <v>1226</v>
      </c>
      <c r="R9" s="136">
        <f>IF(FIRE1201a_working!R9="..","..",ROUND(FIRE1201a_working!R9,0))</f>
        <v>1372</v>
      </c>
      <c r="S9" s="136">
        <f>IF(FIRE1201a_working!S9="..","..",ROUND(FIRE1201a_working!S9,0))</f>
        <v>1111</v>
      </c>
      <c r="T9" s="136">
        <f>IF(FIRE1201a_working!T9="..","..",ROUND(FIRE1201a_working!T9,0))</f>
        <v>4673</v>
      </c>
    </row>
    <row r="10" spans="1:21" x14ac:dyDescent="0.35">
      <c r="A10" s="138" t="s">
        <v>56</v>
      </c>
      <c r="B10" s="136">
        <f>IF(FIRE1201a_working!B10="..","..",ROUND(FIRE1201a_working!B10,0))</f>
        <v>440381</v>
      </c>
      <c r="C10" s="136">
        <f>IF(FIRE1201a_working!C10="..","..",ROUND(FIRE1201a_working!C10,0))</f>
        <v>337400</v>
      </c>
      <c r="D10" s="136">
        <f>IF(FIRE1201a_working!D10="..","..",ROUND(FIRE1201a_working!D10,0))</f>
        <v>107212</v>
      </c>
      <c r="E10" s="136">
        <f>IF(FIRE1201a_working!E10="..","..",ROUND(FIRE1201a_working!E10,0))</f>
        <v>128022</v>
      </c>
      <c r="F10" s="136">
        <f>IF(FIRE1201a_working!F10="..","..",ROUND(FIRE1201a_working!F10,0))</f>
        <v>34109</v>
      </c>
      <c r="G10" s="136">
        <f>IF(FIRE1201a_working!G10="..","..",ROUND(FIRE1201a_working!G10,0))</f>
        <v>102981</v>
      </c>
      <c r="H10" s="136"/>
      <c r="I10" s="136">
        <f>IF(FIRE1201a_working!I10="..","..",ROUND(FIRE1201a_working!I10,0))</f>
        <v>430703</v>
      </c>
      <c r="J10" s="136">
        <f>IF(FIRE1201a_working!J10="..","..",ROUND(FIRE1201a_working!J10,0))</f>
        <v>337400</v>
      </c>
      <c r="K10" s="136">
        <f>IF(FIRE1201a_working!K10="..","..",ROUND(FIRE1201a_working!K10,0))</f>
        <v>104975</v>
      </c>
      <c r="L10" s="136">
        <f>IF(FIRE1201a_working!L10="..","..",ROUND(FIRE1201a_working!L10,0))</f>
        <v>126253</v>
      </c>
      <c r="M10" s="136">
        <f>IF(FIRE1201a_working!M10="..","..",ROUND(FIRE1201a_working!M10,0))</f>
        <v>33305</v>
      </c>
      <c r="N10" s="136">
        <f>IF(FIRE1201a_working!N10="..","..",ROUND(FIRE1201a_working!N10,0))</f>
        <v>93303</v>
      </c>
      <c r="O10" s="136"/>
      <c r="P10" s="136">
        <f>IF(FIRE1201a_working!P10="..","..",ROUND(FIRE1201a_working!P10,0))</f>
        <v>9678</v>
      </c>
      <c r="Q10" s="136">
        <f>IF(FIRE1201a_working!Q10="..","..",ROUND(FIRE1201a_working!Q10,0))</f>
        <v>2237</v>
      </c>
      <c r="R10" s="136">
        <f>IF(FIRE1201a_working!R10="..","..",ROUND(FIRE1201a_working!R10,0))</f>
        <v>1769</v>
      </c>
      <c r="S10" s="136">
        <f>IF(FIRE1201a_working!S10="..","..",ROUND(FIRE1201a_working!S10,0))</f>
        <v>804</v>
      </c>
      <c r="T10" s="136">
        <f>IF(FIRE1201a_working!T10="..","..",ROUND(FIRE1201a_working!T10,0))</f>
        <v>4868</v>
      </c>
    </row>
    <row r="11" spans="1:21" x14ac:dyDescent="0.35">
      <c r="A11" s="138" t="s">
        <v>81</v>
      </c>
      <c r="B11" s="136">
        <f>IF(FIRE1201a_working!B11="..","..",ROUND(FIRE1201a_working!B11,0))</f>
        <v>537003</v>
      </c>
      <c r="C11" s="136">
        <f>IF(FIRE1201a_working!C11="..","..",ROUND(FIRE1201a_working!C11,0))</f>
        <v>405283</v>
      </c>
      <c r="D11" s="136">
        <f>IF(FIRE1201a_working!D11="..","..",ROUND(FIRE1201a_working!D11,0))</f>
        <v>125933</v>
      </c>
      <c r="E11" s="136">
        <f>IF(FIRE1201a_working!E11="..","..",ROUND(FIRE1201a_working!E11,0))</f>
        <v>127759</v>
      </c>
      <c r="F11" s="136">
        <f>IF(FIRE1201a_working!F11="..","..",ROUND(FIRE1201a_working!F11,0))</f>
        <v>40811</v>
      </c>
      <c r="G11" s="136">
        <f>IF(FIRE1201a_working!G11="..","..",ROUND(FIRE1201a_working!G11,0))</f>
        <v>131720</v>
      </c>
      <c r="H11" s="136"/>
      <c r="I11" s="136">
        <f>IF(FIRE1201a_working!I11="..","..",ROUND(FIRE1201a_working!I11,0))</f>
        <v>529423</v>
      </c>
      <c r="J11" s="136">
        <f>IF(FIRE1201a_working!J11="..","..",ROUND(FIRE1201a_working!J11,0))</f>
        <v>405283</v>
      </c>
      <c r="K11" s="136">
        <f>IF(FIRE1201a_working!K11="..","..",ROUND(FIRE1201a_working!K11,0))</f>
        <v>124371</v>
      </c>
      <c r="L11" s="136">
        <f>IF(FIRE1201a_working!L11="..","..",ROUND(FIRE1201a_working!L11,0))</f>
        <v>126169</v>
      </c>
      <c r="M11" s="136">
        <f>IF(FIRE1201a_working!M11="..","..",ROUND(FIRE1201a_working!M11,0))</f>
        <v>39517</v>
      </c>
      <c r="N11" s="136">
        <f>IF(FIRE1201a_working!N11="..","..",ROUND(FIRE1201a_working!N11,0))</f>
        <v>124140</v>
      </c>
      <c r="O11" s="136"/>
      <c r="P11" s="136">
        <f>IF(FIRE1201a_working!P11="..","..",ROUND(FIRE1201a_working!P11,0))</f>
        <v>7580</v>
      </c>
      <c r="Q11" s="136">
        <f>IF(FIRE1201a_working!Q11="..","..",ROUND(FIRE1201a_working!Q11,0))</f>
        <v>1562</v>
      </c>
      <c r="R11" s="136">
        <f>IF(FIRE1201a_working!R11="..","..",ROUND(FIRE1201a_working!R11,0))</f>
        <v>1590</v>
      </c>
      <c r="S11" s="136">
        <f>IF(FIRE1201a_working!S11="..","..",ROUND(FIRE1201a_working!S11,0))</f>
        <v>1294</v>
      </c>
      <c r="T11" s="136">
        <f>IF(FIRE1201a_working!T11="..","..",ROUND(FIRE1201a_working!T11,0))</f>
        <v>3134</v>
      </c>
    </row>
    <row r="12" spans="1:21" ht="16" thickBot="1" x14ac:dyDescent="0.4">
      <c r="A12" s="139" t="s">
        <v>247</v>
      </c>
      <c r="B12" s="140">
        <f>IF(FIRE1201a_working!B12="..","..",ROUND(FIRE1201a_working!B12,0))</f>
        <v>598342</v>
      </c>
      <c r="C12" s="140">
        <f>IF(FIRE1201a_working!C12="..","..",ROUND(FIRE1201a_working!C12,0))</f>
        <v>481739</v>
      </c>
      <c r="D12" s="140">
        <f>IF(FIRE1201a_working!D12="..","..",ROUND(FIRE1201a_working!D12,0))</f>
        <v>155514</v>
      </c>
      <c r="E12" s="140">
        <f>IF(FIRE1201a_working!E12="..","..",ROUND(FIRE1201a_working!E12,0))</f>
        <v>169254</v>
      </c>
      <c r="F12" s="140">
        <f>IF(FIRE1201a_working!F12="..","..",ROUND(FIRE1201a_working!F12,0))</f>
        <v>47728</v>
      </c>
      <c r="G12" s="140">
        <f>IF(FIRE1201a_working!G12="..","..",ROUND(FIRE1201a_working!G12,0))</f>
        <v>116603</v>
      </c>
      <c r="H12" s="140"/>
      <c r="I12" s="140">
        <f>IF(FIRE1201a_working!I12="..","..",ROUND(FIRE1201a_working!I12,0))</f>
        <v>564354</v>
      </c>
      <c r="J12" s="140">
        <f>IF(FIRE1201a_working!J12="..","..",ROUND(FIRE1201a_working!J12,0))</f>
        <v>481739</v>
      </c>
      <c r="K12" s="140">
        <f>IF(FIRE1201a_working!K12="..","..",ROUND(FIRE1201a_working!K12,0))</f>
        <v>153844</v>
      </c>
      <c r="L12" s="140">
        <f>IF(FIRE1201a_working!L12="..","..",ROUND(FIRE1201a_working!L12,0))</f>
        <v>168200</v>
      </c>
      <c r="M12" s="140">
        <f>IF(FIRE1201a_working!M12="..","..",ROUND(FIRE1201a_working!M12,0))</f>
        <v>46828</v>
      </c>
      <c r="N12" s="140">
        <f>IF(FIRE1201a_working!N12="..","..",ROUND(FIRE1201a_working!N12,0))</f>
        <v>82615</v>
      </c>
      <c r="O12" s="140"/>
      <c r="P12" s="140">
        <f>IF(FIRE1201a_working!P12="..","..",ROUND(FIRE1201a_working!P12,0))</f>
        <v>33988</v>
      </c>
      <c r="Q12" s="140">
        <f>IF(FIRE1201a_working!Q12="..","..",ROUND(FIRE1201a_working!Q12,0))</f>
        <v>1670</v>
      </c>
      <c r="R12" s="140">
        <f>IF(FIRE1201a_working!R12="..","..",ROUND(FIRE1201a_working!R12,0))</f>
        <v>1054</v>
      </c>
      <c r="S12" s="140">
        <f>IF(FIRE1201a_working!S12="..","..",ROUND(FIRE1201a_working!S12,0))</f>
        <v>900</v>
      </c>
      <c r="T12" s="140">
        <f>IF(FIRE1201a_working!T12="..","..",ROUND(FIRE1201a_working!T12,0))</f>
        <v>30364</v>
      </c>
    </row>
    <row r="13" spans="1:21" ht="33.65" customHeight="1" x14ac:dyDescent="0.35">
      <c r="A13" s="141" t="s">
        <v>122</v>
      </c>
      <c r="B13" s="142"/>
      <c r="C13" s="142"/>
      <c r="D13" s="142"/>
      <c r="E13" s="143"/>
      <c r="F13" s="143"/>
      <c r="G13" s="142"/>
      <c r="I13" s="142"/>
      <c r="J13" s="142"/>
    </row>
    <row r="14" spans="1:21" ht="19.399999999999999" customHeight="1" x14ac:dyDescent="0.35">
      <c r="A14" s="144" t="s">
        <v>264</v>
      </c>
      <c r="B14" s="145"/>
      <c r="C14" s="145"/>
      <c r="D14" s="145"/>
      <c r="E14" s="146"/>
      <c r="F14" s="146"/>
      <c r="G14" s="145"/>
      <c r="I14" s="145"/>
      <c r="J14" s="145"/>
    </row>
    <row r="15" spans="1:21" ht="19.399999999999999" customHeight="1" x14ac:dyDescent="0.35">
      <c r="A15" s="147" t="s">
        <v>265</v>
      </c>
      <c r="B15" s="148"/>
      <c r="C15" s="148"/>
      <c r="D15" s="149"/>
      <c r="E15" s="149"/>
      <c r="F15" s="149"/>
      <c r="G15" s="148"/>
      <c r="I15" s="145"/>
      <c r="J15" s="145"/>
    </row>
    <row r="16" spans="1:21" ht="19.75" customHeight="1" x14ac:dyDescent="0.35">
      <c r="A16" s="106" t="s">
        <v>266</v>
      </c>
      <c r="B16" s="148"/>
      <c r="C16" s="148"/>
      <c r="D16" s="149"/>
      <c r="E16" s="149"/>
      <c r="F16" s="149"/>
      <c r="G16" s="148"/>
      <c r="I16" s="145"/>
      <c r="J16" s="145"/>
    </row>
    <row r="17" spans="1:10" s="96" customFormat="1" ht="14.5" customHeight="1" x14ac:dyDescent="0.35">
      <c r="A17" s="98" t="s">
        <v>209</v>
      </c>
    </row>
    <row r="18" spans="1:10" s="96" customFormat="1" ht="14.5" customHeight="1" x14ac:dyDescent="0.35">
      <c r="A18" s="96" t="s">
        <v>180</v>
      </c>
    </row>
    <row r="19" spans="1:10" s="96" customFormat="1" ht="14.5" customHeight="1" x14ac:dyDescent="0.35">
      <c r="A19" s="96" t="s">
        <v>181</v>
      </c>
    </row>
    <row r="20" spans="1:10" s="96" customFormat="1" ht="14.5" customHeight="1" x14ac:dyDescent="0.35">
      <c r="A20" s="96" t="s">
        <v>182</v>
      </c>
    </row>
    <row r="21" spans="1:10" s="96" customFormat="1" ht="14.5" customHeight="1" x14ac:dyDescent="0.35">
      <c r="A21" s="96" t="s">
        <v>183</v>
      </c>
    </row>
    <row r="22" spans="1:10" s="96" customFormat="1" ht="14.5" customHeight="1" x14ac:dyDescent="0.35">
      <c r="A22" s="96" t="s">
        <v>184</v>
      </c>
    </row>
    <row r="23" spans="1:10" s="96" customFormat="1" ht="14.5" customHeight="1" x14ac:dyDescent="0.35">
      <c r="A23" s="96" t="s">
        <v>185</v>
      </c>
    </row>
    <row r="24" spans="1:10" s="96" customFormat="1" ht="14.5" customHeight="1" x14ac:dyDescent="0.35">
      <c r="A24" s="96" t="s">
        <v>186</v>
      </c>
    </row>
    <row r="25" spans="1:10" s="96" customFormat="1" ht="14.5" customHeight="1" x14ac:dyDescent="0.35">
      <c r="A25" s="96" t="s">
        <v>210</v>
      </c>
    </row>
    <row r="26" spans="1:10" s="96" customFormat="1" ht="16.5" customHeight="1" x14ac:dyDescent="0.35">
      <c r="A26" s="96" t="s">
        <v>219</v>
      </c>
    </row>
    <row r="27" spans="1:10" ht="18" customHeight="1" x14ac:dyDescent="0.35">
      <c r="A27" s="106" t="s">
        <v>267</v>
      </c>
      <c r="B27" s="148"/>
      <c r="C27" s="148"/>
      <c r="D27" s="149"/>
      <c r="E27" s="149"/>
      <c r="F27" s="149"/>
      <c r="G27" s="148"/>
      <c r="I27" s="145"/>
      <c r="J27" s="145"/>
    </row>
    <row r="28" spans="1:10" ht="14.5" customHeight="1" x14ac:dyDescent="0.35">
      <c r="A28" s="150" t="s">
        <v>187</v>
      </c>
      <c r="B28" s="150"/>
      <c r="C28" s="150"/>
      <c r="D28" s="150"/>
      <c r="E28" s="150"/>
      <c r="F28" s="150"/>
      <c r="G28" s="146"/>
      <c r="I28" s="145"/>
      <c r="J28" s="145"/>
    </row>
    <row r="29" spans="1:10" ht="14.5" customHeight="1" x14ac:dyDescent="0.35">
      <c r="A29" s="150" t="s">
        <v>188</v>
      </c>
      <c r="B29" s="150"/>
      <c r="C29" s="150"/>
      <c r="D29" s="150"/>
      <c r="E29" s="149"/>
      <c r="F29" s="149"/>
      <c r="G29" s="148"/>
      <c r="I29" s="145"/>
      <c r="J29" s="145"/>
    </row>
    <row r="30" spans="1:10" ht="14.5" customHeight="1" x14ac:dyDescent="0.35">
      <c r="A30" s="150" t="s">
        <v>189</v>
      </c>
      <c r="B30" s="150"/>
      <c r="C30" s="150"/>
      <c r="D30" s="150"/>
      <c r="E30" s="150"/>
      <c r="F30" s="150"/>
      <c r="G30" s="150"/>
      <c r="I30" s="145"/>
      <c r="J30" s="145"/>
    </row>
    <row r="31" spans="1:10" ht="19.75" customHeight="1" x14ac:dyDescent="0.35">
      <c r="A31" s="106" t="s">
        <v>268</v>
      </c>
      <c r="B31" s="151"/>
      <c r="C31" s="151"/>
      <c r="D31" s="151"/>
      <c r="E31" s="151"/>
      <c r="F31" s="151"/>
      <c r="G31" s="151"/>
      <c r="I31" s="145"/>
      <c r="J31" s="145"/>
    </row>
    <row r="32" spans="1:10" ht="19.75" customHeight="1" x14ac:dyDescent="0.35">
      <c r="A32" s="106" t="s">
        <v>269</v>
      </c>
      <c r="B32" s="151"/>
      <c r="C32" s="151"/>
      <c r="D32" s="151"/>
      <c r="E32" s="151"/>
      <c r="F32" s="151"/>
      <c r="G32" s="151"/>
      <c r="I32" s="145"/>
      <c r="J32" s="145"/>
    </row>
    <row r="33" spans="1:25" ht="19.75" customHeight="1" x14ac:dyDescent="0.35">
      <c r="A33" s="106" t="s">
        <v>270</v>
      </c>
      <c r="B33" s="151"/>
      <c r="C33" s="151"/>
      <c r="D33" s="151"/>
      <c r="E33" s="151"/>
      <c r="F33" s="151"/>
      <c r="G33" s="151"/>
      <c r="H33" s="151"/>
      <c r="K33" s="145"/>
      <c r="L33" s="145"/>
      <c r="Y33" s="127"/>
    </row>
    <row r="34" spans="1:25" ht="33.65" customHeight="1" x14ac:dyDescent="0.35">
      <c r="A34" s="152" t="s">
        <v>114</v>
      </c>
      <c r="I34" s="145"/>
      <c r="J34" s="145"/>
    </row>
    <row r="35" spans="1:25" ht="16.5" customHeight="1" x14ac:dyDescent="0.35">
      <c r="A35" s="153" t="s">
        <v>272</v>
      </c>
      <c r="I35" s="145"/>
      <c r="J35" s="145"/>
    </row>
    <row r="36" spans="1:25" s="129" customFormat="1" ht="14.5" customHeight="1" x14ac:dyDescent="0.35">
      <c r="A36" s="153" t="s">
        <v>194</v>
      </c>
      <c r="I36" s="142"/>
      <c r="J36" s="142"/>
    </row>
    <row r="37" spans="1:25" ht="14.15" customHeight="1" x14ac:dyDescent="0.35">
      <c r="A37" s="153" t="s">
        <v>177</v>
      </c>
      <c r="I37" s="145"/>
      <c r="J37" s="145"/>
    </row>
    <row r="38" spans="1:25" ht="23.25" customHeight="1" x14ac:dyDescent="0.35">
      <c r="A38" s="153" t="s">
        <v>236</v>
      </c>
      <c r="I38" s="145"/>
      <c r="J38" s="145"/>
    </row>
    <row r="39" spans="1:25" ht="14.15" customHeight="1" x14ac:dyDescent="0.35">
      <c r="A39" s="153" t="s">
        <v>217</v>
      </c>
      <c r="I39" s="145"/>
      <c r="J39" s="145"/>
    </row>
    <row r="40" spans="1:25" ht="14.15" customHeight="1" x14ac:dyDescent="0.35">
      <c r="A40" s="153" t="s">
        <v>196</v>
      </c>
      <c r="I40" s="145"/>
      <c r="J40" s="145"/>
    </row>
    <row r="41" spans="1:25" ht="14.15" customHeight="1" x14ac:dyDescent="0.35">
      <c r="A41" s="154" t="s">
        <v>197</v>
      </c>
      <c r="I41" s="145"/>
      <c r="J41" s="145"/>
    </row>
    <row r="42" spans="1:25" ht="27" customHeight="1" x14ac:dyDescent="0.35">
      <c r="A42" s="144" t="s">
        <v>115</v>
      </c>
      <c r="I42" s="145"/>
      <c r="J42" s="145"/>
    </row>
    <row r="43" spans="1:25" x14ac:dyDescent="0.35">
      <c r="A43" s="155" t="s">
        <v>116</v>
      </c>
      <c r="B43" s="145"/>
      <c r="C43" s="145"/>
      <c r="D43" s="145"/>
      <c r="E43" s="146"/>
      <c r="F43" s="146"/>
      <c r="G43" s="145"/>
      <c r="I43" s="145"/>
      <c r="J43" s="145"/>
    </row>
    <row r="44" spans="1:25" x14ac:dyDescent="0.35">
      <c r="A44" s="144" t="s">
        <v>117</v>
      </c>
      <c r="B44" s="145"/>
      <c r="C44" s="145"/>
      <c r="D44" s="145"/>
      <c r="E44" s="146"/>
      <c r="F44" s="146"/>
      <c r="G44" s="145"/>
      <c r="I44" s="145"/>
      <c r="J44" s="145"/>
    </row>
    <row r="45" spans="1:25" x14ac:dyDescent="0.35">
      <c r="A45" s="144" t="s">
        <v>113</v>
      </c>
      <c r="B45" s="145"/>
      <c r="C45" s="145"/>
      <c r="D45" s="145" t="s">
        <v>112</v>
      </c>
      <c r="E45" s="146"/>
      <c r="F45" s="146"/>
      <c r="G45" s="145"/>
      <c r="I45" s="145"/>
      <c r="J45" s="145"/>
    </row>
    <row r="46" spans="1:25" x14ac:dyDescent="0.35">
      <c r="A46" s="147" t="s">
        <v>118</v>
      </c>
      <c r="B46" s="145"/>
      <c r="C46" s="145"/>
      <c r="D46" s="145"/>
      <c r="E46" s="146"/>
      <c r="F46" s="146"/>
      <c r="G46" s="145"/>
      <c r="I46" s="145"/>
      <c r="J46" s="145"/>
    </row>
    <row r="47" spans="1:25" x14ac:dyDescent="0.35">
      <c r="A47" s="156"/>
      <c r="B47" s="145"/>
      <c r="C47" s="145"/>
      <c r="D47" s="145"/>
      <c r="E47" s="146"/>
      <c r="F47" s="146"/>
      <c r="G47" s="145"/>
      <c r="I47" s="145"/>
      <c r="J47" s="145"/>
    </row>
    <row r="48" spans="1:25" x14ac:dyDescent="0.35">
      <c r="A48" s="146"/>
      <c r="B48" s="145"/>
      <c r="C48" s="145"/>
      <c r="D48" s="145"/>
      <c r="E48" s="146"/>
      <c r="F48" s="146"/>
      <c r="G48" s="145"/>
      <c r="I48" s="145"/>
      <c r="J48" s="145"/>
    </row>
    <row r="49" spans="1:23" x14ac:dyDescent="0.35">
      <c r="A49" s="146"/>
      <c r="B49" s="145"/>
      <c r="C49" s="145"/>
      <c r="D49" s="145"/>
      <c r="E49" s="146"/>
      <c r="F49" s="146"/>
      <c r="G49" s="145"/>
      <c r="I49" s="145"/>
      <c r="J49" s="145"/>
    </row>
    <row r="50" spans="1:23" x14ac:dyDescent="0.35">
      <c r="A50" s="146"/>
      <c r="B50" s="145"/>
      <c r="C50" s="145"/>
      <c r="D50" s="145"/>
      <c r="E50" s="146"/>
      <c r="F50" s="146"/>
      <c r="G50" s="145"/>
      <c r="I50" s="145"/>
      <c r="J50" s="145"/>
    </row>
    <row r="51" spans="1:23" x14ac:dyDescent="0.35">
      <c r="A51" s="146"/>
      <c r="B51" s="145"/>
      <c r="C51" s="145"/>
      <c r="D51" s="145"/>
      <c r="E51" s="146"/>
      <c r="F51" s="146"/>
      <c r="G51" s="145"/>
      <c r="I51" s="145"/>
      <c r="J51" s="145"/>
    </row>
    <row r="52" spans="1:23" x14ac:dyDescent="0.35">
      <c r="A52" s="146"/>
      <c r="B52" s="145"/>
      <c r="C52" s="145"/>
      <c r="D52" s="145"/>
      <c r="E52" s="146"/>
      <c r="F52" s="146"/>
      <c r="G52" s="145"/>
      <c r="I52" s="145"/>
      <c r="J52" s="145"/>
    </row>
    <row r="53" spans="1:23" x14ac:dyDescent="0.35">
      <c r="A53" s="146"/>
      <c r="B53" s="145"/>
      <c r="C53" s="145"/>
      <c r="D53" s="145"/>
      <c r="E53" s="146"/>
      <c r="F53" s="146"/>
      <c r="G53" s="145"/>
      <c r="I53" s="145"/>
      <c r="J53" s="145"/>
      <c r="V53" s="109" t="s">
        <v>10</v>
      </c>
      <c r="W53" s="127" t="s">
        <v>76</v>
      </c>
    </row>
    <row r="54" spans="1:23" x14ac:dyDescent="0.35">
      <c r="A54" s="146"/>
      <c r="B54" s="145"/>
      <c r="C54" s="145"/>
      <c r="D54" s="145"/>
      <c r="E54" s="146"/>
      <c r="F54" s="146"/>
      <c r="G54" s="145"/>
      <c r="I54" s="145"/>
      <c r="J54" s="145"/>
      <c r="V54" s="109" t="s">
        <v>9</v>
      </c>
      <c r="W54" s="127" t="s">
        <v>88</v>
      </c>
    </row>
    <row r="55" spans="1:23" x14ac:dyDescent="0.35">
      <c r="A55" s="146"/>
      <c r="B55" s="145"/>
      <c r="C55" s="145"/>
      <c r="D55" s="145"/>
      <c r="E55" s="146"/>
      <c r="F55" s="146"/>
      <c r="G55" s="145"/>
      <c r="I55" s="145"/>
      <c r="J55" s="145"/>
      <c r="V55" s="109" t="s">
        <v>55</v>
      </c>
      <c r="W55" s="127" t="s">
        <v>92</v>
      </c>
    </row>
    <row r="56" spans="1:23" x14ac:dyDescent="0.35">
      <c r="A56" s="146"/>
      <c r="B56" s="145"/>
      <c r="C56" s="145"/>
      <c r="D56" s="145"/>
      <c r="E56" s="146"/>
      <c r="F56" s="146"/>
      <c r="G56" s="145"/>
      <c r="I56" s="145"/>
      <c r="J56" s="145"/>
      <c r="W56" s="127" t="s">
        <v>87</v>
      </c>
    </row>
    <row r="57" spans="1:23" x14ac:dyDescent="0.35">
      <c r="A57" s="146"/>
      <c r="B57" s="145"/>
      <c r="C57" s="145"/>
      <c r="D57" s="145"/>
      <c r="E57" s="146"/>
      <c r="F57" s="146"/>
      <c r="G57" s="145"/>
      <c r="I57" s="145"/>
      <c r="J57" s="145"/>
      <c r="W57" s="127" t="s">
        <v>90</v>
      </c>
    </row>
    <row r="58" spans="1:23" x14ac:dyDescent="0.35">
      <c r="A58" s="146"/>
      <c r="B58" s="145"/>
      <c r="C58" s="145"/>
      <c r="D58" s="145"/>
      <c r="E58" s="146"/>
      <c r="F58" s="146"/>
      <c r="G58" s="145"/>
      <c r="I58" s="145"/>
      <c r="J58" s="145"/>
      <c r="W58" s="127" t="s">
        <v>91</v>
      </c>
    </row>
    <row r="59" spans="1:23" x14ac:dyDescent="0.35">
      <c r="A59" s="146"/>
      <c r="B59" s="145"/>
      <c r="C59" s="145"/>
      <c r="D59" s="145"/>
      <c r="E59" s="146"/>
      <c r="F59" s="146"/>
      <c r="G59" s="145"/>
      <c r="I59" s="145"/>
      <c r="J59" s="145"/>
      <c r="W59" s="127" t="s">
        <v>8</v>
      </c>
    </row>
    <row r="60" spans="1:23" x14ac:dyDescent="0.35">
      <c r="A60" s="146"/>
      <c r="B60" s="145"/>
      <c r="C60" s="145"/>
      <c r="D60" s="145"/>
      <c r="E60" s="146"/>
      <c r="F60" s="146"/>
      <c r="G60" s="145"/>
      <c r="I60" s="145"/>
      <c r="J60" s="145"/>
      <c r="W60" s="127" t="s">
        <v>11</v>
      </c>
    </row>
    <row r="61" spans="1:23" x14ac:dyDescent="0.35">
      <c r="A61" s="146"/>
      <c r="B61" s="145"/>
      <c r="C61" s="145"/>
      <c r="D61" s="145"/>
      <c r="E61" s="146"/>
      <c r="F61" s="146"/>
      <c r="G61" s="145"/>
      <c r="I61" s="145"/>
      <c r="J61" s="145"/>
      <c r="W61" s="127" t="s">
        <v>12</v>
      </c>
    </row>
    <row r="62" spans="1:23" x14ac:dyDescent="0.35">
      <c r="A62" s="146"/>
      <c r="B62" s="145"/>
      <c r="C62" s="145"/>
      <c r="D62" s="145"/>
      <c r="E62" s="146"/>
      <c r="F62" s="146"/>
      <c r="G62" s="145"/>
      <c r="I62" s="145"/>
      <c r="J62" s="145"/>
      <c r="W62" s="127" t="s">
        <v>13</v>
      </c>
    </row>
    <row r="63" spans="1:23" x14ac:dyDescent="0.35">
      <c r="A63" s="146"/>
      <c r="B63" s="145"/>
      <c r="C63" s="145"/>
      <c r="D63" s="145"/>
      <c r="E63" s="146"/>
      <c r="F63" s="146"/>
      <c r="G63" s="145"/>
      <c r="I63" s="145"/>
      <c r="J63" s="145"/>
      <c r="W63" s="109" t="s">
        <v>14</v>
      </c>
    </row>
    <row r="64" spans="1:23" x14ac:dyDescent="0.35">
      <c r="A64" s="146"/>
      <c r="B64" s="145"/>
      <c r="C64" s="145"/>
      <c r="D64" s="145"/>
      <c r="E64" s="146"/>
      <c r="F64" s="146"/>
      <c r="G64" s="145"/>
      <c r="I64" s="145"/>
      <c r="J64" s="145"/>
      <c r="W64" s="127" t="s">
        <v>15</v>
      </c>
    </row>
    <row r="65" spans="1:23" x14ac:dyDescent="0.35">
      <c r="A65" s="146"/>
      <c r="B65" s="145"/>
      <c r="C65" s="145"/>
      <c r="D65" s="145"/>
      <c r="E65" s="146"/>
      <c r="F65" s="146"/>
      <c r="G65" s="145"/>
      <c r="I65" s="145"/>
      <c r="J65" s="145"/>
      <c r="W65" s="127" t="s">
        <v>16</v>
      </c>
    </row>
    <row r="66" spans="1:23" x14ac:dyDescent="0.35">
      <c r="A66" s="146"/>
      <c r="B66" s="145"/>
      <c r="C66" s="145"/>
      <c r="D66" s="145"/>
      <c r="E66" s="146"/>
      <c r="F66" s="146"/>
      <c r="G66" s="145"/>
      <c r="I66" s="145"/>
      <c r="J66" s="145"/>
      <c r="W66" s="127" t="s">
        <v>17</v>
      </c>
    </row>
    <row r="67" spans="1:23" x14ac:dyDescent="0.35">
      <c r="A67" s="146"/>
      <c r="B67" s="145"/>
      <c r="C67" s="145"/>
      <c r="D67" s="145"/>
      <c r="E67" s="146"/>
      <c r="F67" s="146"/>
      <c r="G67" s="145"/>
      <c r="I67" s="145"/>
      <c r="J67" s="145"/>
      <c r="W67" s="127" t="s">
        <v>18</v>
      </c>
    </row>
    <row r="68" spans="1:23" x14ac:dyDescent="0.35">
      <c r="A68" s="146"/>
      <c r="B68" s="145"/>
      <c r="C68" s="145"/>
      <c r="D68" s="145"/>
      <c r="E68" s="146"/>
      <c r="F68" s="146"/>
      <c r="G68" s="145"/>
      <c r="I68" s="145"/>
      <c r="J68" s="145"/>
      <c r="W68" s="127" t="s">
        <v>19</v>
      </c>
    </row>
    <row r="69" spans="1:23" x14ac:dyDescent="0.35">
      <c r="A69" s="146"/>
      <c r="B69" s="145"/>
      <c r="C69" s="145"/>
      <c r="D69" s="145"/>
      <c r="E69" s="146"/>
      <c r="F69" s="146"/>
      <c r="G69" s="145"/>
      <c r="I69" s="145"/>
      <c r="J69" s="145"/>
      <c r="W69" s="127" t="s">
        <v>20</v>
      </c>
    </row>
    <row r="70" spans="1:23" x14ac:dyDescent="0.35">
      <c r="A70" s="146"/>
      <c r="B70" s="145"/>
      <c r="C70" s="145"/>
      <c r="D70" s="145"/>
      <c r="E70" s="146"/>
      <c r="F70" s="146"/>
      <c r="G70" s="145"/>
      <c r="I70" s="145"/>
      <c r="J70" s="145"/>
      <c r="W70" s="127" t="s">
        <v>21</v>
      </c>
    </row>
    <row r="71" spans="1:23" x14ac:dyDescent="0.35">
      <c r="A71" s="146"/>
      <c r="B71" s="145"/>
      <c r="C71" s="145"/>
      <c r="D71" s="145"/>
      <c r="E71" s="146"/>
      <c r="F71" s="146"/>
      <c r="G71" s="145"/>
      <c r="I71" s="145"/>
      <c r="J71" s="145"/>
      <c r="W71" s="127" t="s">
        <v>22</v>
      </c>
    </row>
    <row r="72" spans="1:23" x14ac:dyDescent="0.35">
      <c r="A72" s="146"/>
      <c r="B72" s="145"/>
      <c r="C72" s="145"/>
      <c r="D72" s="145"/>
      <c r="E72" s="146"/>
      <c r="F72" s="146"/>
      <c r="G72" s="145"/>
      <c r="I72" s="145"/>
      <c r="J72" s="145"/>
      <c r="W72" s="127" t="s">
        <v>23</v>
      </c>
    </row>
    <row r="73" spans="1:23" x14ac:dyDescent="0.35">
      <c r="A73" s="146"/>
      <c r="B73" s="145"/>
      <c r="C73" s="145"/>
      <c r="D73" s="145"/>
      <c r="E73" s="146"/>
      <c r="F73" s="146"/>
      <c r="G73" s="145"/>
      <c r="I73" s="145"/>
      <c r="J73" s="145"/>
      <c r="W73" s="127" t="s">
        <v>24</v>
      </c>
    </row>
    <row r="74" spans="1:23" x14ac:dyDescent="0.35">
      <c r="A74" s="146"/>
      <c r="B74" s="145"/>
      <c r="C74" s="145"/>
      <c r="D74" s="145"/>
      <c r="E74" s="146"/>
      <c r="F74" s="146"/>
      <c r="G74" s="145"/>
      <c r="I74" s="145"/>
      <c r="J74" s="145"/>
      <c r="W74" s="127" t="s">
        <v>25</v>
      </c>
    </row>
    <row r="75" spans="1:23" x14ac:dyDescent="0.35">
      <c r="A75" s="146"/>
      <c r="W75" s="127" t="s">
        <v>26</v>
      </c>
    </row>
    <row r="76" spans="1:23" x14ac:dyDescent="0.35">
      <c r="A76" s="146"/>
      <c r="W76" s="127" t="s">
        <v>27</v>
      </c>
    </row>
    <row r="77" spans="1:23" x14ac:dyDescent="0.35">
      <c r="A77" s="146"/>
      <c r="W77" s="127" t="s">
        <v>93</v>
      </c>
    </row>
    <row r="78" spans="1:23" x14ac:dyDescent="0.35">
      <c r="W78" s="127" t="s">
        <v>28</v>
      </c>
    </row>
    <row r="79" spans="1:23" x14ac:dyDescent="0.35">
      <c r="W79" s="127" t="s">
        <v>29</v>
      </c>
    </row>
    <row r="80" spans="1:23" x14ac:dyDescent="0.35">
      <c r="W80" s="127" t="s">
        <v>30</v>
      </c>
    </row>
    <row r="81" spans="23:23" x14ac:dyDescent="0.35">
      <c r="W81" s="127" t="s">
        <v>94</v>
      </c>
    </row>
    <row r="82" spans="23:23" x14ac:dyDescent="0.35">
      <c r="W82" s="127" t="s">
        <v>32</v>
      </c>
    </row>
    <row r="83" spans="23:23" x14ac:dyDescent="0.35">
      <c r="W83" s="127" t="s">
        <v>33</v>
      </c>
    </row>
    <row r="84" spans="23:23" x14ac:dyDescent="0.35">
      <c r="W84" s="127" t="s">
        <v>34</v>
      </c>
    </row>
    <row r="85" spans="23:23" x14ac:dyDescent="0.35">
      <c r="W85" s="127" t="s">
        <v>35</v>
      </c>
    </row>
    <row r="86" spans="23:23" x14ac:dyDescent="0.35">
      <c r="W86" s="127" t="s">
        <v>36</v>
      </c>
    </row>
    <row r="87" spans="23:23" x14ac:dyDescent="0.35">
      <c r="W87" s="127" t="s">
        <v>37</v>
      </c>
    </row>
    <row r="88" spans="23:23" x14ac:dyDescent="0.35">
      <c r="W88" s="127" t="s">
        <v>38</v>
      </c>
    </row>
    <row r="89" spans="23:23" x14ac:dyDescent="0.35">
      <c r="W89" s="127" t="s">
        <v>39</v>
      </c>
    </row>
    <row r="90" spans="23:23" x14ac:dyDescent="0.35">
      <c r="W90" s="127" t="s">
        <v>40</v>
      </c>
    </row>
    <row r="91" spans="23:23" x14ac:dyDescent="0.35">
      <c r="W91" s="127" t="s">
        <v>41</v>
      </c>
    </row>
    <row r="92" spans="23:23" x14ac:dyDescent="0.35">
      <c r="W92" s="127" t="s">
        <v>42</v>
      </c>
    </row>
    <row r="93" spans="23:23" x14ac:dyDescent="0.35">
      <c r="W93" s="127" t="s">
        <v>43</v>
      </c>
    </row>
    <row r="94" spans="23:23" x14ac:dyDescent="0.35">
      <c r="W94" s="127" t="s">
        <v>44</v>
      </c>
    </row>
    <row r="95" spans="23:23" x14ac:dyDescent="0.35">
      <c r="W95" s="127" t="s">
        <v>45</v>
      </c>
    </row>
    <row r="96" spans="23:23" x14ac:dyDescent="0.35">
      <c r="W96" s="127" t="s">
        <v>46</v>
      </c>
    </row>
    <row r="97" spans="23:23" x14ac:dyDescent="0.35">
      <c r="W97" s="127" t="s">
        <v>47</v>
      </c>
    </row>
    <row r="98" spans="23:23" x14ac:dyDescent="0.35">
      <c r="W98" s="127" t="s">
        <v>48</v>
      </c>
    </row>
    <row r="99" spans="23:23" x14ac:dyDescent="0.35">
      <c r="W99" s="127" t="s">
        <v>49</v>
      </c>
    </row>
    <row r="100" spans="23:23" x14ac:dyDescent="0.35">
      <c r="W100" s="127" t="s">
        <v>50</v>
      </c>
    </row>
    <row r="101" spans="23:23" x14ac:dyDescent="0.35">
      <c r="W101" s="127" t="s">
        <v>51</v>
      </c>
    </row>
    <row r="102" spans="23:23" x14ac:dyDescent="0.35">
      <c r="W102" s="127" t="s">
        <v>52</v>
      </c>
    </row>
  </sheetData>
  <mergeCells count="3">
    <mergeCell ref="P5:T5"/>
    <mergeCell ref="B5:G5"/>
    <mergeCell ref="I5:N5"/>
  </mergeCells>
  <phoneticPr fontId="24" type="noConversion"/>
  <dataValidations count="2">
    <dataValidation type="list" allowBlank="1" showInputMessage="1" showErrorMessage="1" sqref="A4" xr:uid="{4B2F46AC-5BA7-411D-BA68-655E38D23808}">
      <formula1>$V$53:$V$55</formula1>
    </dataValidation>
    <dataValidation type="list" allowBlank="1" showInputMessage="1" showErrorMessage="1" sqref="A3" xr:uid="{BDC191E7-9767-4DE8-B50A-2A570B5008FA}">
      <formula1>W$53:$W$102</formula1>
    </dataValidation>
  </dataValidations>
  <hyperlinks>
    <hyperlink ref="A43" r:id="rId1" xr:uid="{38B0082D-67EF-4768-BA7F-CF2FD6DB0D19}"/>
    <hyperlink ref="A46" r:id="rId2" xr:uid="{2925B618-EDCE-41C7-9435-9038EC7B136A}"/>
    <hyperlink ref="A15" location="'FRS geographical categories'!A1" display="3. For a list of FRAs and whether they are considered &quot;Metropolitan&quot;, &quot;Non Metropolitan&quot;, &quot;Predominately Rural&quot;, &quot;Significantly Rural&quot; or &quot;Predominantely Urban&quot; please see the FRS geographical categories sheet." xr:uid="{234D3CD8-7DB5-449A-892E-68962F94C33C}"/>
    <hyperlink ref="A41" r:id="rId3" xr:uid="{941E66D7-9D85-4658-97A8-E68AF5ACF385}"/>
  </hyperlinks>
  <pageMargins left="0.7" right="0.7" top="0.75" bottom="0.75" header="0.3" footer="0.3"/>
  <pageSetup paperSize="9" orientation="portrait" r:id="rId4"/>
  <headerFooter>
    <oddHeader>&amp;C&amp;"Aptos"&amp;10&amp;K000000 OFFICIAL&amp;1#_x000D_</oddHeader>
    <oddFooter>&amp;C_x000D_&amp;1#&amp;"Aptos"&amp;10&amp;K000000 OFFICIAL</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1BC322-9BDC-4415-81AB-453D58F33DC5}">
  <sheetPr>
    <tabColor rgb="FFFF0000"/>
  </sheetPr>
  <dimension ref="A2:W56"/>
  <sheetViews>
    <sheetView zoomScale="90" zoomScaleNormal="90" workbookViewId="0">
      <selection activeCell="B7" sqref="B7"/>
    </sheetView>
  </sheetViews>
  <sheetFormatPr defaultColWidth="8.81640625" defaultRowHeight="14.5" x14ac:dyDescent="0.35"/>
  <cols>
    <col min="1" max="1" width="15.54296875" style="19" customWidth="1"/>
    <col min="2" max="2" width="10.54296875" style="19" customWidth="1"/>
    <col min="3" max="3" width="18.54296875" style="19" customWidth="1"/>
    <col min="4" max="4" width="24.1796875" style="19" customWidth="1"/>
    <col min="5" max="5" width="21.81640625" style="19" customWidth="1"/>
    <col min="6" max="6" width="17.81640625" style="19" customWidth="1"/>
    <col min="7" max="7" width="15.54296875" style="19" customWidth="1"/>
    <col min="8" max="8" width="8.54296875" style="19" customWidth="1"/>
    <col min="9" max="9" width="13.1796875" style="19" customWidth="1"/>
    <col min="10" max="10" width="25.1796875" style="19" customWidth="1"/>
    <col min="11" max="11" width="22.453125" style="19" customWidth="1"/>
    <col min="12" max="12" width="27.81640625" style="19" customWidth="1"/>
    <col min="13" max="13" width="23.81640625" style="19" customWidth="1"/>
    <col min="14" max="14" width="14.54296875" style="19" customWidth="1"/>
    <col min="15" max="15" width="9.54296875" style="19" customWidth="1"/>
    <col min="16" max="16" width="10.54296875" style="19" customWidth="1"/>
    <col min="17" max="17" width="22.81640625" style="19" customWidth="1"/>
    <col min="18" max="18" width="25.54296875" style="19" customWidth="1"/>
    <col min="19" max="19" width="22.453125" style="19" customWidth="1"/>
    <col min="20" max="20" width="15.81640625" style="19" customWidth="1"/>
    <col min="21" max="21" width="8.81640625" style="19" customWidth="1"/>
    <col min="22" max="23" width="8.81640625" style="19" hidden="1" customWidth="1"/>
    <col min="24" max="25" width="8.81640625" style="19" customWidth="1"/>
    <col min="26" max="16384" width="8.81640625" style="19"/>
  </cols>
  <sheetData>
    <row r="2" spans="1:23" x14ac:dyDescent="0.35">
      <c r="A2" s="46" t="str">
        <f>FIRE1201a!A3</f>
        <v>England</v>
      </c>
    </row>
    <row r="3" spans="1:23" x14ac:dyDescent="0.35">
      <c r="A3" s="46" t="str">
        <f>FIRE1201a!A4</f>
        <v>Total</v>
      </c>
    </row>
    <row r="4" spans="1:23" s="26" customFormat="1" x14ac:dyDescent="0.35">
      <c r="A4" s="44"/>
      <c r="L4" s="27" t="s">
        <v>86</v>
      </c>
      <c r="R4" s="27" t="s">
        <v>89</v>
      </c>
    </row>
    <row r="5" spans="1:23" ht="32.15" customHeight="1" x14ac:dyDescent="0.35">
      <c r="B5" s="49"/>
      <c r="C5" s="49"/>
      <c r="D5" s="49"/>
      <c r="E5" s="45" t="s">
        <v>256</v>
      </c>
      <c r="F5" s="49"/>
      <c r="G5" s="49"/>
      <c r="H5" s="49"/>
      <c r="I5" s="49"/>
      <c r="J5" s="49"/>
      <c r="K5" s="49"/>
      <c r="L5" s="45" t="s">
        <v>256</v>
      </c>
      <c r="N5" s="49"/>
      <c r="O5" s="49"/>
      <c r="P5" s="49"/>
      <c r="Q5" s="48"/>
      <c r="R5" s="45" t="s">
        <v>256</v>
      </c>
      <c r="S5" s="48"/>
      <c r="T5" s="48"/>
    </row>
    <row r="6" spans="1:23" s="24" customFormat="1" ht="68.5" customHeight="1" x14ac:dyDescent="0.35">
      <c r="A6" s="21" t="s">
        <v>77</v>
      </c>
      <c r="B6" s="22" t="s">
        <v>10</v>
      </c>
      <c r="C6" s="45" t="s">
        <v>111</v>
      </c>
      <c r="D6" s="23" t="s">
        <v>78</v>
      </c>
      <c r="E6" s="23" t="s">
        <v>79</v>
      </c>
      <c r="F6" s="23" t="s">
        <v>80</v>
      </c>
      <c r="G6" s="23" t="s">
        <v>175</v>
      </c>
      <c r="H6" s="23"/>
      <c r="I6" s="22" t="s">
        <v>10</v>
      </c>
      <c r="J6" s="45" t="s">
        <v>111</v>
      </c>
      <c r="K6" s="23" t="s">
        <v>78</v>
      </c>
      <c r="L6" s="23" t="s">
        <v>79</v>
      </c>
      <c r="M6" s="23" t="s">
        <v>80</v>
      </c>
      <c r="N6" s="47" t="s">
        <v>175</v>
      </c>
      <c r="O6" s="23"/>
      <c r="P6" s="22" t="s">
        <v>10</v>
      </c>
      <c r="Q6" s="23" t="s">
        <v>78</v>
      </c>
      <c r="R6" s="23" t="s">
        <v>79</v>
      </c>
      <c r="S6" s="23" t="s">
        <v>80</v>
      </c>
      <c r="T6" s="47" t="s">
        <v>175</v>
      </c>
    </row>
    <row r="7" spans="1:23" x14ac:dyDescent="0.35">
      <c r="A7" s="25" t="s">
        <v>7</v>
      </c>
      <c r="B7" s="27" cm="1">
        <f t="array" ref="B7">IF(AND($A$2="England",OR($A$3="Total")),SUMPRODUCT(('Data - Visits'!$A$2:$A$3873=$A7)*('Data - Visits'!$F$2:$F$3873=B$6)*('Data - Visits'!$I$2:$I$3873)),IF(AND($A$3="Total",OR($A$2="Non-metropolitan",$A$2="Metropolitan")),SUMPRODUCT(('Data - Visits'!$A$2:$A$3873=$A7)*('Data - Visits'!$H$2:$H$3873=$A$2)*('Data - Visits'!$F$2:$F$3873=B$6)*('Data - Visits'!$I$2:$I$3873)),IF(AND($A$3="Total",OR($A$2="Predominantly Urban",$A$2="Significantly Rural",$A$2="Predominantly Rural")),SUMPRODUCT(('Data - Visits'!$A$2:$A$3873=$A7)*('Data - Visits'!$G$2:$G$3873=$A$2)*('Data - Visits'!$F$2:$F$3873=B$6)*('Data - Visits'!$I$2:$I$3873)),IF($A$3="Total",SUMPRODUCT(('Data - Visits'!$A$2:$A$3873=$A7)*('Data - Visits'!$B$2:$B$3873=$A$2)*('Data - Visits'!$F$2:$F$3873=B$6)*('Data - Visits'!$I$2:$I$3873)),IF(AND($A$2="England",OR($A$3="Face to face")),SUMPRODUCT(('Data - Visits'!$A$2:$A$3873=$A7)*('Data - Visits'!$D$2:$D$3873=$A$3)*('Data - Visits'!$F$2:$F$3873=B$6)*('Data - Visits'!$I$2:$I$3873)),IF(AND($A$3="Face to face",OR($A$2="Non-metropolitan",$A$2="Metropolitan")),SUMPRODUCT(('Data - Visits'!$A$2:$A$3873=$A7)*('Data - Visits'!$D$2:$D$3873=$A$3)*('Data - Visits'!$H$2:$H$3873=$A$2)*('Data - Visits'!$F$2:$F$3873=B$6)*('Data - Visits'!$I$2:$I$3873)),IF(AND($A$3="Face to face",OR($A$2="Predominantly Urban",$A$2="Significantly Rural",$A$2="Predominantly Rural")),SUMPRODUCT(('Data - Visits'!$A$2:$A$3873=$A7)*('Data - Visits'!$D$2:$D$3873=$A$3)*('Data - Visits'!$G$2:$G$3873=$A$2)*('Data - Visits'!$F$2:$F$3873=B$6)*('Data - Visits'!$I$2:$I$3873)),IF($A$3="Face to face",SUMPRODUCT(('Data - Visits'!$A$2:$A$3873=$A7)*('Data - Visits'!$B$2:$B$3873=$A$2)*('Data - Visits'!$D$2:$D$3873=$A$3)*('Data - Visits'!$F$2:$F$3873=B$6)*('Data - Visits'!$I$2:$I$3873)),IF($A$3="Virtual","..")))))))))</f>
        <v>597704</v>
      </c>
      <c r="C7" s="27" t="s">
        <v>176</v>
      </c>
      <c r="D7" s="27" cm="1">
        <f t="array" ref="D7">IF(AND($A$2="England",OR($A$3="Total")),SUMPRODUCT(('Data - Visits'!$A$2:$A$3873=$A7)*('Data - Visits'!$E$2:$E$3873=$E$5)*('Data - Visits'!$F$2:$F$3873=D$6)*('Data - Visits'!$I$2:$I$3873)),IF(AND($A$3="Total",OR($A$2="Non-metropolitan",$A$2="Metropolitan")),SUMPRODUCT(('Data - Visits'!$A$2:$A$3873=$A7)*('Data - Visits'!$H$2:$H$3873=$A$2)*('Data - Visits'!$E$2:$E$3873=$E$5)*('Data - Visits'!$F$2:$F$3873=D$6)*('Data - Visits'!$I$2:$I$3873)),IF(AND($A$3="Total",OR($A$2="Predominantly Urban",$A$2="Significantly Rural",$A$2="Predominantly Rural")),SUMPRODUCT(('Data - Visits'!$A$2:$A$3873=$A7)*('Data - Visits'!$G$2:$G$3873=$A$2)*('Data - Visits'!$E$2:$E$3873=$E$5)*('Data - Visits'!$F$2:$F$3873=D$6)*('Data - Visits'!$I$2:$I$3873)),IF($A$3="Total",SUMPRODUCT(('Data - Visits'!$A$2:$A$3873=$A7)*('Data - Visits'!$B$2:$B$3873=$A$2)*('Data - Visits'!$E$2:$E$3873=$E$5)*('Data - Visits'!$F$2:$F$3873=D$6)*('Data - Visits'!$I$2:$I$3873)),IF(AND($A$2="England",OR($A$3="Face to face")),SUMPRODUCT(('Data - Visits'!$A$2:$A$3873=$A7)*('Data - Visits'!$D$2:$D$3873=$A$3)*('Data - Visits'!$E$2:$E$3873=$E$5)*('Data - Visits'!$F$2:$F$3873=D$6)*('Data - Visits'!$I$2:$I$3873)),IF(AND($A$3="Face to face",OR($A$2="Non-metropolitan",$A$2="Metropolitan")),SUMPRODUCT(('Data - Visits'!$A$2:$A$3873=$A7)*('Data - Visits'!$D$2:$D$3873=$A$3)*('Data - Visits'!$H$2:$H$3873=$A$2)*('Data - Visits'!$E$2:$E$3873=$E$5)*('Data - Visits'!$F$2:$F$3873=D$6)*('Data - Visits'!$I$2:$I$3873)),IF(AND($A$3="Face to face",OR($A$2="Predominantly Urban",$A$2="Significantly Rural",$A$2="Predominantly Rural")),SUMPRODUCT(('Data - Visits'!$A$2:$A$3873=$A7)*('Data - Visits'!$D$2:$D$3873=$A$3)*('Data - Visits'!$G$2:$G$3873=$A$2)*('Data - Visits'!$E$2:$E$3873=$E$5)*('Data - Visits'!$F$2:$F$3873=D$6)*('Data - Visits'!$I$2:$I$3873)),IF($A$3="Face to face",SUMPRODUCT(('Data - Visits'!$A$2:$A$3873=$A7)*('Data - Visits'!$B$2:$B$3873=$A$2)*('Data - Visits'!$D$2:$D$3873=$A$3)*('Data - Visits'!$E$2:$E$3873=$E$5)*('Data - Visits'!$F$2:$F$3873=D$6)*('Data - Visits'!$I$2:$I$3873)),IF($A$3="Virtual","..")))))))))</f>
        <v>127781</v>
      </c>
      <c r="E7" s="27" cm="1">
        <f t="array" ref="E7">IF(AND($A$2="England",OR($A$3="Total")),SUMPRODUCT(('Data - Visits'!$A$2:$A$3873=$A7)*('Data - Visits'!$E$2:$E$3873=$E$5)*('Data - Visits'!$F$2:$F$3873=E$6)*('Data - Visits'!$I$2:$I$3873)),IF(AND($A$3="Total",OR($A$2="Non-metropolitan",$A$2="Metropolitan")),SUMPRODUCT(('Data - Visits'!$A$2:$A$3873=$A7)*('Data - Visits'!$H$2:$H$3873=$A$2)*('Data - Visits'!$E$2:$E$3873=$E$5)*('Data - Visits'!$F$2:$F$3873=E$6)*('Data - Visits'!$I$2:$I$3873)),IF(AND($A$3="Total",OR($A$2="Predominantly Urban",$A$2="Significantly Rural",$A$2="Predominantly Rural")),SUMPRODUCT(('Data - Visits'!$A$2:$A$3873=$A7)*('Data - Visits'!$G$2:$G$3873=$A$2)*('Data - Visits'!$E$2:$E$3873=$E$5)*('Data - Visits'!$F$2:$F$3873=E$6)*('Data - Visits'!$I$2:$I$3873)),IF($A$3="Total",SUMPRODUCT(('Data - Visits'!$A$2:$A$3873=$A7)*('Data - Visits'!$B$2:$B$3873=$A$2)*('Data - Visits'!$E$2:$E$3873=$E$5)*('Data - Visits'!$F$2:$F$3873=E$6)*('Data - Visits'!$I$2:$I$3873)),IF(AND($A$2="England",OR($A$3="Face to face")),SUMPRODUCT(('Data - Visits'!$A$2:$A$3873=$A7)*('Data - Visits'!$D$2:$D$3873=$A$3)*('Data - Visits'!$E$2:$E$3873=$E$5)*('Data - Visits'!$F$2:$F$3873=E$6)*('Data - Visits'!$I$2:$I$3873)),IF(AND($A$3="Face to face",OR($A$2="Non-metropolitan",$A$2="Metropolitan")),SUMPRODUCT(('Data - Visits'!$A$2:$A$3873=$A7)*('Data - Visits'!$D$2:$D$3873=$A$3)*('Data - Visits'!$H$2:$H$3873=$A$2)*('Data - Visits'!$E$2:$E$3873=$E$5)*('Data - Visits'!$F$2:$F$3873=E$6)*('Data - Visits'!$I$2:$I$3873)),IF(AND($A$3="Face to face",OR($A$2="Predominantly Urban",$A$2="Significantly Rural",$A$2="Predominantly Rural")),SUMPRODUCT(('Data - Visits'!$A$2:$A$3873=$A7)*('Data - Visits'!$D$2:$D$3873=$A$3)*('Data - Visits'!$G$2:$G$3873=$A$2)*('Data - Visits'!$E$2:$E$3873=$E$5)*('Data - Visits'!$F$2:$F$3873=E$6)*('Data - Visits'!$I$2:$I$3873)),IF($A$3="Face to face",SUMPRODUCT(('Data - Visits'!$A$2:$A$3873=$A7)*('Data - Visits'!$B$2:$B$3873=$A$2)*('Data - Visits'!$D$2:$D$3873=$A$3)*('Data - Visits'!$E$2:$E$3873=$E$5)*('Data - Visits'!$F$2:$F$3873=E$6)*('Data - Visits'!$I$2:$I$3873)),IF($A$3="Virtual","..")))))))))</f>
        <v>220836</v>
      </c>
      <c r="F7" s="27" cm="1">
        <f t="array" ref="F7">IF(AND($A$2="England",OR($A$3="Total")),SUMPRODUCT(('Data - Visits'!$A$2:$A$3873=$A7)*('Data - Visits'!$E$2:$E$3873=$E$5)*('Data - Visits'!$F$2:$F$3873=F$6)*('Data - Visits'!$I$2:$I$3873)),IF(AND($A$3="Total",OR($A$2="Non-metropolitan",$A$2="Metropolitan")),SUMPRODUCT(('Data - Visits'!$A$2:$A$3873=$A7)*('Data - Visits'!$H$2:$H$3873=$A$2)*('Data - Visits'!$E$2:$E$3873=$E$5)*('Data - Visits'!$F$2:$F$3873=F$6)*('Data - Visits'!$I$2:$I$3873)),IF(AND($A$3="Total",OR($A$2="Predominantly Urban",$A$2="Significantly Rural",$A$2="Predominantly Rural")),SUMPRODUCT(('Data - Visits'!$A$2:$A$3873=$A7)*('Data - Visits'!$G$2:$G$3873=$A$2)*('Data - Visits'!$E$2:$E$3873=$E$5)*('Data - Visits'!$F$2:$F$3873=F$6)*('Data - Visits'!$I$2:$I$3873)),IF($A$3="Total",SUMPRODUCT(('Data - Visits'!$A$2:$A$3873=$A7)*('Data - Visits'!$B$2:$B$3873=$A$2)*('Data - Visits'!$E$2:$E$3873=$E$5)*('Data - Visits'!$F$2:$F$3873=F$6)*('Data - Visits'!$I$2:$I$3873)),IF(AND($A$2="England",OR($A$3="Face to face")),SUMPRODUCT(('Data - Visits'!$A$2:$A$3873=$A7)*('Data - Visits'!$D$2:$D$3873=$A$3)*('Data - Visits'!$E$2:$E$3873=$E$5)*('Data - Visits'!$F$2:$F$3873=F$6)*('Data - Visits'!$I$2:$I$3873)),IF(AND($A$3="Face to face",OR($A$2="Non-metropolitan",$A$2="Metropolitan")),SUMPRODUCT(('Data - Visits'!$A$2:$A$3873=$A7)*('Data - Visits'!$D$2:$D$3873=$A$3)*('Data - Visits'!$H$2:$H$3873=$A$2)*('Data - Visits'!$E$2:$E$3873=$E$5)*('Data - Visits'!$F$2:$F$3873=F$6)*('Data - Visits'!$I$2:$I$3873)),IF(AND($A$3="Face to face",OR($A$2="Predominantly Urban",$A$2="Significantly Rural",$A$2="Predominantly Rural")),SUMPRODUCT(('Data - Visits'!$A$2:$A$3873=$A7)*('Data - Visits'!$D$2:$D$3873=$A$3)*('Data - Visits'!$G$2:$G$3873=$A$2)*('Data - Visits'!$E$2:$E$3873=$E$5)*('Data - Visits'!$F$2:$F$3873=F$6)*('Data - Visits'!$I$2:$I$3873)),IF($A$3="Face to face",SUMPRODUCT(('Data - Visits'!$A$2:$A$3873=$A7)*('Data - Visits'!$B$2:$B$3873=$A$2)*('Data - Visits'!$D$2:$D$3873=$A$3)*('Data - Visits'!$E$2:$E$3873=$E$5)*('Data - Visits'!$F$2:$F$3873=F$6)*('Data - Visits'!$I$2:$I$3873)),IF($A$3="Virtual","..")))))))))</f>
        <v>42891</v>
      </c>
      <c r="G7" s="27" t="s">
        <v>176</v>
      </c>
      <c r="H7" s="20"/>
      <c r="I7" s="27" cm="1">
        <f t="array" ref="I7">IF(AND($A$2="England",OR($A$3="Total")),SUMPRODUCT(('Data - Visits'!$A$2:$A$3873=$A7)*('Data - Visits'!$C$2:$C$3873=$L$4)*('Data - Visits'!$E$2:$E$3873=$L$5)*('Data - Visits'!$F$2:$F$3873=I$6)*('Data - Visits'!$I$2:$I$3873)),IF(AND($A$3="Total",OR($A$2="Non-metropolitan",$A$2="Metropolitan")),SUMPRODUCT(('Data - Visits'!$A$2:$A$3873=$A7)*('Data - Visits'!$C$2:$C$3873=$L$4)*('Data - Visits'!$H$2:$H$3873=$A$2)*('Data - Visits'!$E$2:$E$3873=$L$5)*('Data - Visits'!$F$2:$F$3873=I$6)*('Data - Visits'!$I$2:$I$3873)),IF(AND($A$3="Total",OR($A$2="Predominantly Urban",$A$2="Significantly Rural",$A$2="Predominantly Rural")),SUMPRODUCT(('Data - Visits'!$A$2:$A$3873=$A7)*('Data - Visits'!$C$2:$C$3873=$L$4)*('Data - Visits'!$G$2:$G$3873=$A$2)*('Data - Visits'!$E$2:$E$3873=$L$5)*('Data - Visits'!$F$2:$F$3873=I$6)*('Data - Visits'!$I$2:$I$3873)),IF($A$3="Total",SUMPRODUCT(('Data - Visits'!$A$2:$A$3873=$A7)*('Data - Visits'!$B$2:$B$3873=$A$2)*('Data - Visits'!$C$2:$C$3873=$L$4)*('Data - Visits'!$E$2:$E$3873=$L$5)*('Data - Visits'!$F$2:$F$3873=I$6)*('Data - Visits'!$I$2:$I$3873)),IF(AND($A$2="England",OR($A$3="Face to face")),SUMPRODUCT(('Data - Visits'!$A$2:$A$3873=$A7)*('Data - Visits'!$C$2:$C$3873=$L$4)*('Data - Visits'!$D$2:$D$3873=$A$3)*('Data - Visits'!$E$2:$E$3873=$L$5)*('Data - Visits'!$F$2:$F$3873=I$6)*('Data - Visits'!$I$2:$I$3873)),IF(AND($A$3="Face to face",OR($A$2="Non-metropolitan",$A$2="Metropolitan")),SUMPRODUCT(('Data - Visits'!$A$2:$A$3873=$A7)*('Data - Visits'!$C$2:$C$3873=$L$4)*('Data - Visits'!$D$2:$D$3873=$A$3)*('Data - Visits'!$H$2:$H$3873=$A$2)*('Data - Visits'!$E$2:$E$3873=$L$5)*('Data - Visits'!$F$2:$F$3873=I$6)*('Data - Visits'!$I$2:$I$3873)),IF(AND($A$3="Face to face",OR($A$2="Predominantly Urban",$A$2="Significantly Rural",$A$2="Predominantly Rural")),SUMPRODUCT(('Data - Visits'!$A$2:$A$3873=$A7)*('Data - Visits'!$C$2:$C$3873=$L$4)*('Data - Visits'!$D$2:$D$3873=$A$3)*('Data - Visits'!$G$2:$G$3873=$A$2)*('Data - Visits'!$E$2:$E$3873=$L$5)*('Data - Visits'!$F$2:$F$3873=I$6)*('Data - Visits'!$I$2:$I$3873)),IF($A$3="Face to face",SUMPRODUCT(('Data - Visits'!$A$2:$A$3873=$A7)*('Data - Visits'!$B$2:$B$3873=$A$2)*('Data - Visits'!$C$2:$C$3873=$L$4)*('Data - Visits'!$D$2:$D$3873=$A$3)*('Data - Visits'!$E$2:$E$3873=$L$5)*('Data - Visits'!$F$2:$F$3873=I$6)*('Data - Visits'!$I$2:$I$3873)),IF($A$3="Virtual","..")))))))))</f>
        <v>581594</v>
      </c>
      <c r="J7" s="27" t="s">
        <v>176</v>
      </c>
      <c r="K7" s="27" cm="1">
        <f t="array" ref="K7">IF(AND($A$2="England",OR($A$3="Total")),SUMPRODUCT(('Data - Visits'!$A$2:$A$3873=$A7)*('Data - Visits'!$C$2:$C$3873=$L$4)*('Data - Visits'!$E$2:$E$3873=$L$5)*('Data - Visits'!$F$2:$F$3873=K$6)*('Data - Visits'!$I$2:$I$3873)),IF(AND($A$3="Total",OR($A$2="Non-metropolitan",$A$2="Metropolitan")),SUMPRODUCT(('Data - Visits'!$A$2:$A$3873=$A7)*('Data - Visits'!$C$2:$C$3873=$L$4)*('Data - Visits'!$H$2:$H$3873=$A$2)*('Data - Visits'!$E$2:$E$3873=$L$5)*('Data - Visits'!$F$2:$F$3873=K$6)*('Data - Visits'!$I$2:$I$3873)),IF(AND($A$3="Total",OR($A$2="Predominantly Urban",$A$2="Significantly Rural",$A$2="Predominantly Rural")),SUMPRODUCT(('Data - Visits'!$A$2:$A$3873=$A7)*('Data - Visits'!$C$2:$C$3873=$L$4)*('Data - Visits'!$G$2:$G$3873=$A$2)*('Data - Visits'!$E$2:$E$3873=$L$5)*('Data - Visits'!$F$2:$F$3873=K$6)*('Data - Visits'!$I$2:$I$3873)),IF($A$3="Total",SUMPRODUCT(('Data - Visits'!$A$2:$A$3873=$A7)*('Data - Visits'!$B$2:$B$3873=$A$2)*('Data - Visits'!$C$2:$C$3873=$L$4)*('Data - Visits'!$E$2:$E$3873=$L$5)*('Data - Visits'!$F$2:$F$3873=K$6)*('Data - Visits'!$I$2:$I$3873)),IF(AND($A$2="England",OR($A$3="Face to face")),SUMPRODUCT(('Data - Visits'!$A$2:$A$3873=$A7)*('Data - Visits'!$C$2:$C$3873=$L$4)*('Data - Visits'!$D$2:$D$3873=$A$3)*('Data - Visits'!$E$2:$E$3873=$L$5)*('Data - Visits'!$F$2:$F$3873=K$6)*('Data - Visits'!$I$2:$I$3873)),IF(AND($A$3="Face to face",OR($A$2="Non-metropolitan",$A$2="Metropolitan")),SUMPRODUCT(('Data - Visits'!$A$2:$A$3873=$A7)*('Data - Visits'!$C$2:$C$3873=$L$4)*('Data - Visits'!$D$2:$D$3873=$A$3)*('Data - Visits'!$H$2:$H$3873=$A$2)*('Data - Visits'!$E$2:$E$3873=$L$5)*('Data - Visits'!$F$2:$F$3873=K$6)*('Data - Visits'!$I$2:$I$3873)),IF(AND($A$3="Face to face",OR($A$2="Predominantly Urban",$A$2="Significantly Rural",$A$2="Predominantly Rural")),SUMPRODUCT(('Data - Visits'!$A$2:$A$3873=$A7)*('Data - Visits'!$C$2:$C$3873=$L$4)*('Data - Visits'!$D$2:$D$3873=$A$3)*('Data - Visits'!$G$2:$G$3873=$A$2)*('Data - Visits'!$E$2:$E$3873=$L$5)*('Data - Visits'!$F$2:$F$3873=K$6)*('Data - Visits'!$I$2:$I$3873)),IF($A$3="Face to face",SUMPRODUCT(('Data - Visits'!$A$2:$A$3873=$A7)*('Data - Visits'!$B$2:$B$3873=$A$2)*('Data - Visits'!$C$2:$C$3873=$L$4)*('Data - Visits'!$D$2:$D$3873=$A$3)*('Data - Visits'!$E$2:$E$3873=$L$5)*('Data - Visits'!$F$2:$F$3873=K$6)*('Data - Visits'!$I$2:$I$3873)),IF($A$3="Virtual","..")))))))))</f>
        <v>124670</v>
      </c>
      <c r="L7" s="27" cm="1">
        <f t="array" ref="L7">IF(AND($A$2="England",OR($A$3="Total")),SUMPRODUCT(('Data - Visits'!$A$2:$A$3873=$A7)*('Data - Visits'!$C$2:$C$3873=$L$4)*('Data - Visits'!$E$2:$E$3873=$L$5)*('Data - Visits'!$F$2:$F$3873=L$6)*('Data - Visits'!$I$2:$I$3873)),IF(AND($A$3="Total",OR($A$2="Non-metropolitan",$A$2="Metropolitan")),SUMPRODUCT(('Data - Visits'!$A$2:$A$3873=$A7)*('Data - Visits'!$C$2:$C$3873=$L$4)*('Data - Visits'!$H$2:$H$3873=$A$2)*('Data - Visits'!$E$2:$E$3873=$L$5)*('Data - Visits'!$F$2:$F$3873=L$6)*('Data - Visits'!$I$2:$I$3873)),IF(AND($A$3="Total",OR($A$2="Predominantly Urban",$A$2="Significantly Rural",$A$2="Predominantly Rural")),SUMPRODUCT(('Data - Visits'!$A$2:$A$3873=$A7)*('Data - Visits'!$C$2:$C$3873=$L$4)*('Data - Visits'!$G$2:$G$3873=$A$2)*('Data - Visits'!$E$2:$E$3873=$L$5)*('Data - Visits'!$F$2:$F$3873=L$6)*('Data - Visits'!$I$2:$I$3873)),IF($A$3="Total",SUMPRODUCT(('Data - Visits'!$A$2:$A$3873=$A7)*('Data - Visits'!$B$2:$B$3873=$A$2)*('Data - Visits'!$C$2:$C$3873=$L$4)*('Data - Visits'!$E$2:$E$3873=$L$5)*('Data - Visits'!$F$2:$F$3873=L$6)*('Data - Visits'!$I$2:$I$3873)),IF(AND($A$2="England",OR($A$3="Face to face")),SUMPRODUCT(('Data - Visits'!$A$2:$A$3873=$A7)*('Data - Visits'!$C$2:$C$3873=$L$4)*('Data - Visits'!$D$2:$D$3873=$A$3)*('Data - Visits'!$E$2:$E$3873=$L$5)*('Data - Visits'!$F$2:$F$3873=L$6)*('Data - Visits'!$I$2:$I$3873)),IF(AND($A$3="Face to face",OR($A$2="Non-metropolitan",$A$2="Metropolitan")),SUMPRODUCT(('Data - Visits'!$A$2:$A$3873=$A7)*('Data - Visits'!$C$2:$C$3873=$L$4)*('Data - Visits'!$D$2:$D$3873=$A$3)*('Data - Visits'!$H$2:$H$3873=$A$2)*('Data - Visits'!$E$2:$E$3873=$L$5)*('Data - Visits'!$F$2:$F$3873=L$6)*('Data - Visits'!$I$2:$I$3873)),IF(AND($A$3="Face to face",OR($A$2="Predominantly Urban",$A$2="Significantly Rural",$A$2="Predominantly Rural")),SUMPRODUCT(('Data - Visits'!$A$2:$A$3873=$A7)*('Data - Visits'!$C$2:$C$3873=$L$4)*('Data - Visits'!$D$2:$D$3873=$A$3)*('Data - Visits'!$G$2:$G$3873=$A$2)*('Data - Visits'!$E$2:$E$3873=$L$5)*('Data - Visits'!$F$2:$F$3873=L$6)*('Data - Visits'!$I$2:$I$3873)),IF($A$3="Face to face",SUMPRODUCT(('Data - Visits'!$A$2:$A$3873=$A7)*('Data - Visits'!$B$2:$B$3873=$A$2)*('Data - Visits'!$C$2:$C$3873=$L$4)*('Data - Visits'!$D$2:$D$3873=$A$3)*('Data - Visits'!$E$2:$E$3873=$L$5)*('Data - Visits'!$F$2:$F$3873=L$6)*('Data - Visits'!$I$2:$I$3873)),IF($A$3="Virtual","..")))))))))</f>
        <v>216918</v>
      </c>
      <c r="M7" s="27" cm="1">
        <f t="array" ref="M7">IF(AND($A$2="England",OR($A$3="Total")),SUMPRODUCT(('Data - Visits'!$A$2:$A$3873=$A7)*('Data - Visits'!$C$2:$C$3873=$L$4)*('Data - Visits'!$E$2:$E$3873=$L$5)*('Data - Visits'!$F$2:$F$3873=M$6)*('Data - Visits'!$I$2:$I$3873)),IF(AND($A$3="Total",OR($A$2="Non-metropolitan",$A$2="Metropolitan")),SUMPRODUCT(('Data - Visits'!$A$2:$A$3873=$A7)*('Data - Visits'!$C$2:$C$3873=$L$4)*('Data - Visits'!$H$2:$H$3873=$A$2)*('Data - Visits'!$E$2:$E$3873=$L$5)*('Data - Visits'!$F$2:$F$3873=M$6)*('Data - Visits'!$I$2:$I$3873)),IF(AND($A$3="Total",OR($A$2="Predominantly Urban",$A$2="Significantly Rural",$A$2="Predominantly Rural")),SUMPRODUCT(('Data - Visits'!$A$2:$A$3873=$A7)*('Data - Visits'!$C$2:$C$3873=$L$4)*('Data - Visits'!$G$2:$G$3873=$A$2)*('Data - Visits'!$E$2:$E$3873=$L$5)*('Data - Visits'!$F$2:$F$3873=M$6)*('Data - Visits'!$I$2:$I$3873)),IF($A$3="Total",SUMPRODUCT(('Data - Visits'!$A$2:$A$3873=$A7)*('Data - Visits'!$B$2:$B$3873=$A$2)*('Data - Visits'!$C$2:$C$3873=$L$4)*('Data - Visits'!$E$2:$E$3873=$L$5)*('Data - Visits'!$F$2:$F$3873=M$6)*('Data - Visits'!$I$2:$I$3873)),IF(AND($A$2="England",OR($A$3="Face to face")),SUMPRODUCT(('Data - Visits'!$A$2:$A$3873=$A7)*('Data - Visits'!$C$2:$C$3873=$L$4)*('Data - Visits'!$D$2:$D$3873=$A$3)*('Data - Visits'!$E$2:$E$3873=$L$5)*('Data - Visits'!$F$2:$F$3873=M$6)*('Data - Visits'!$I$2:$I$3873)),IF(AND($A$3="Face to face",OR($A$2="Non-metropolitan",$A$2="Metropolitan")),SUMPRODUCT(('Data - Visits'!$A$2:$A$3873=$A7)*('Data - Visits'!$C$2:$C$3873=$L$4)*('Data - Visits'!$D$2:$D$3873=$A$3)*('Data - Visits'!$H$2:$H$3873=$A$2)*('Data - Visits'!$E$2:$E$3873=$L$5)*('Data - Visits'!$F$2:$F$3873=M$6)*('Data - Visits'!$I$2:$I$3873)),IF(AND($A$3="Face to face",OR($A$2="Predominantly Urban",$A$2="Significantly Rural",$A$2="Predominantly Rural")),SUMPRODUCT(('Data - Visits'!$A$2:$A$3873=$A7)*('Data - Visits'!$C$2:$C$3873=$L$4)*('Data - Visits'!$D$2:$D$3873=$A$3)*('Data - Visits'!$G$2:$G$3873=$A$2)*('Data - Visits'!$E$2:$E$3873=$L$5)*('Data - Visits'!$F$2:$F$3873=M$6)*('Data - Visits'!$I$2:$I$3873)),IF($A$3="Face to face",SUMPRODUCT(('Data - Visits'!$A$2:$A$3873=$A7)*('Data - Visits'!$B$2:$B$3873=$A$2)*('Data - Visits'!$C$2:$C$3873=$L$4)*('Data - Visits'!$D$2:$D$3873=$A$3)*('Data - Visits'!$E$2:$E$3873=$L$5)*('Data - Visits'!$F$2:$F$3873=M$6)*('Data - Visits'!$I$2:$I$3873)),IF($A$3="Virtual","..")))))))))</f>
        <v>40814</v>
      </c>
      <c r="N7" s="27" t="s">
        <v>176</v>
      </c>
      <c r="O7" s="50"/>
      <c r="P7" s="51" cm="1">
        <f t="array" ref="P7">IF(AND($A$2="England",OR($A$3="Total")),SUMPRODUCT(('Data - Visits'!$A$2:$A$3873=$A7)*('Data - Visits'!$C$2:$C$3873=$R$4)*('Data - Visits'!$E$2:$E$3873=$R$5)*('Data - Visits'!$F$2:$F$3873=P$6)*('Data - Visits'!$I$2:$I$3873)),IF(AND($A$3="Total",OR($A$2="Non-metropolitan",$A$2="Metropolitan")),SUMPRODUCT(('Data - Visits'!$A$2:$A$3873=$A7)*('Data - Visits'!$C$2:$C$3873=$R$4)*('Data - Visits'!$H$2:$H$3873=$A$2)*('Data - Visits'!$E$2:$E$3873=$R$5)*('Data - Visits'!$F$2:$F$3873=P$6)*('Data - Visits'!$I$2:$I$3873)),IF(AND($A$3="Total",OR($A$2="Predominantly Urban",$A$2="Significantly Rural",$A$2="Predominantly Rural")),SUMPRODUCT(('Data - Visits'!$A$2:$A$3873=$A7)*('Data - Visits'!$C$2:$C$3873=$R$4)*('Data - Visits'!$G$2:$G$3873=$A$2)*('Data - Visits'!$E$2:$E$3873=$R$5)*('Data - Visits'!$F$2:$F$3873=P$6)*('Data - Visits'!$I$2:$I$3873)),IF($A$3="Total",SUMPRODUCT(('Data - Visits'!$A$2:$A$3873=$A7)*('Data - Visits'!$B$2:$B$3873=$A$2)*('Data - Visits'!$C$2:$C$3873=$R$4)*('Data - Visits'!$E$2:$E$3873=$R$5)*('Data - Visits'!$F$2:$F$3873=P$6)*('Data - Visits'!$I$2:$I$3873)),IF(AND($A$2="England",OR($A$3="Face to face")),SUMPRODUCT(('Data - Visits'!$A$2:$A$3873=$A7)*('Data - Visits'!$C$2:$C$3873=$R$4)*('Data - Visits'!$D$2:$D$3873=$A$3)*('Data - Visits'!$E$2:$E$3873=$R$5)*('Data - Visits'!$F$2:$F$3873=P$6)*('Data - Visits'!$I$2:$I$3873)),IF(AND($A$3="Face to face",OR($A$2="Non-metropolitan",$A$2="Metropolitan")),SUMPRODUCT(('Data - Visits'!$A$2:$A$3873=$A7)*('Data - Visits'!$C$2:$C$3873=$R$4)*('Data - Visits'!$D$2:$D$3873=$A$3)*('Data - Visits'!$H$2:$H$3873=$A$2)*('Data - Visits'!$E$2:$E$3873=$R$5)*('Data - Visits'!$F$2:$F$3873=P$6)*('Data - Visits'!$I$2:$I$3873)),IF(AND($A$3="Face to face",OR($A$2="Predominantly Urban",$A$2="Significantly Rural",$A$2="Predominantly Rural")),SUMPRODUCT(('Data - Visits'!$A$2:$A$3873=$A7)*('Data - Visits'!$C$2:$C$3873=$R$4)*('Data - Visits'!$D$2:$D$3873=$A$3)*('Data - Visits'!$G$2:$G$3873=$A$2)*('Data - Visits'!$E$2:$E$3873=$R$5)*('Data - Visits'!$F$2:$F$3873=P$6)*('Data - Visits'!$I$2:$I$3873)),IF($A$3="Face to face",SUMPRODUCT(('Data - Visits'!$A$2:$A$3873=$A7)*('Data - Visits'!$B$2:$B$3873=$A$2)*('Data - Visits'!$C$2:$C$3873=$R$4)*('Data - Visits'!$D$2:$D$3873=$A$3)*('Data - Visits'!$E$2:$E$3873=$R$5)*('Data - Visits'!$F$2:$F$3873=P$6)*('Data - Visits'!$I$2:$I$3873)),IF($A$3="Virtual","..")))))))))</f>
        <v>16110</v>
      </c>
      <c r="Q7" s="51" cm="1">
        <f t="array" ref="Q7">IF(AND($A$2="England",OR($A$3="Total")),SUMPRODUCT(('Data - Visits'!$A$2:$A$3873=$A7)*('Data - Visits'!$C$2:$C$3873=$R$4)*('Data - Visits'!$E$2:$E$3873=$R$5)*('Data - Visits'!$F$2:$F$3873=Q$6)*('Data - Visits'!$I$2:$I$3873)),IF(AND($A$3="Total",OR($A$2="Non-metropolitan",$A$2="Metropolitan")),SUMPRODUCT(('Data - Visits'!$A$2:$A$3873=$A7)*('Data - Visits'!$C$2:$C$3873=$R$4)*('Data - Visits'!$H$2:$H$3873=$A$2)*('Data - Visits'!$E$2:$E$3873=$R$5)*('Data - Visits'!$F$2:$F$3873=Q$6)*('Data - Visits'!$I$2:$I$3873)),IF(AND($A$3="Total",OR($A$2="Predominantly Urban",$A$2="Significantly Rural",$A$2="Predominantly Rural")),SUMPRODUCT(('Data - Visits'!$A$2:$A$3873=$A7)*('Data - Visits'!$C$2:$C$3873=$R$4)*('Data - Visits'!$G$2:$G$3873=$A$2)*('Data - Visits'!$E$2:$E$3873=$R$5)*('Data - Visits'!$F$2:$F$3873=Q$6)*('Data - Visits'!$I$2:$I$3873)),IF($A$3="Total",SUMPRODUCT(('Data - Visits'!$A$2:$A$3873=$A7)*('Data - Visits'!$B$2:$B$3873=$A$2)*('Data - Visits'!$C$2:$C$3873=$R$4)*('Data - Visits'!$E$2:$E$3873=$R$5)*('Data - Visits'!$F$2:$F$3873=Q$6)*('Data - Visits'!$I$2:$I$3873)),IF(AND($A$2="England",OR($A$3="Face to face")),SUMPRODUCT(('Data - Visits'!$A$2:$A$3873=$A7)*('Data - Visits'!$C$2:$C$3873=$R$4)*('Data - Visits'!$D$2:$D$3873=$A$3)*('Data - Visits'!$E$2:$E$3873=$R$5)*('Data - Visits'!$F$2:$F$3873=Q$6)*('Data - Visits'!$I$2:$I$3873)),IF(AND($A$3="Face to face",OR($A$2="Non-metropolitan",$A$2="Metropolitan")),SUMPRODUCT(('Data - Visits'!$A$2:$A$3873=$A7)*('Data - Visits'!$C$2:$C$3873=$R$4)*('Data - Visits'!$D$2:$D$3873=$A$3)*('Data - Visits'!$H$2:$H$3873=$A$2)*('Data - Visits'!$E$2:$E$3873=$R$5)*('Data - Visits'!$F$2:$F$3873=Q$6)*('Data - Visits'!$I$2:$I$3873)),IF(AND($A$3="Face to face",OR($A$2="Predominantly Urban",$A$2="Significantly Rural",$A$2="Predominantly Rural")),SUMPRODUCT(('Data - Visits'!$A$2:$A$3873=$A7)*('Data - Visits'!$C$2:$C$3873=$R$4)*('Data - Visits'!$D$2:$D$3873=$A$3)*('Data - Visits'!$G$2:$G$3873=$A$2)*('Data - Visits'!$E$2:$E$3873=$R$5)*('Data - Visits'!$F$2:$F$3873=Q$6)*('Data - Visits'!$I$2:$I$3873)),IF($A$3="Face to face",SUMPRODUCT(('Data - Visits'!$A$2:$A$3873=$A7)*('Data - Visits'!$B$2:$B$3873=$A$2)*('Data - Visits'!$C$2:$C$3873=$R$4)*('Data - Visits'!$D$2:$D$3873=$A$3)*('Data - Visits'!$E$2:$E$3873=$R$5)*('Data - Visits'!$F$2:$F$3873=Q$6)*('Data - Visits'!$I$2:$I$3873)),IF($A$3="Virtual","..")))))))))</f>
        <v>3111</v>
      </c>
      <c r="R7" s="51" cm="1">
        <f t="array" ref="R7">IF(AND($A$2="England",OR($A$3="Total")),SUMPRODUCT(('Data - Visits'!$A$2:$A$3873=$A7)*('Data - Visits'!$C$2:$C$3873=$R$4)*('Data - Visits'!$E$2:$E$3873=$R$5)*('Data - Visits'!$F$2:$F$3873=R$6)*('Data - Visits'!$I$2:$I$3873)),IF(AND($A$3="Total",OR($A$2="Non-metropolitan",$A$2="Metropolitan")),SUMPRODUCT(('Data - Visits'!$A$2:$A$3873=$A7)*('Data - Visits'!$C$2:$C$3873=$R$4)*('Data - Visits'!$H$2:$H$3873=$A$2)*('Data - Visits'!$E$2:$E$3873=$R$5)*('Data - Visits'!$F$2:$F$3873=R$6)*('Data - Visits'!$I$2:$I$3873)),IF(AND($A$3="Total",OR($A$2="Predominantly Urban",$A$2="Significantly Rural",$A$2="Predominantly Rural")),SUMPRODUCT(('Data - Visits'!$A$2:$A$3873=$A7)*('Data - Visits'!$C$2:$C$3873=$R$4)*('Data - Visits'!$G$2:$G$3873=$A$2)*('Data - Visits'!$E$2:$E$3873=$R$5)*('Data - Visits'!$F$2:$F$3873=R$6)*('Data - Visits'!$I$2:$I$3873)),IF($A$3="Total",SUMPRODUCT(('Data - Visits'!$A$2:$A$3873=$A7)*('Data - Visits'!$B$2:$B$3873=$A$2)*('Data - Visits'!$C$2:$C$3873=$R$4)*('Data - Visits'!$E$2:$E$3873=$R$5)*('Data - Visits'!$F$2:$F$3873=R$6)*('Data - Visits'!$I$2:$I$3873)),IF(AND($A$2="England",OR($A$3="Face to face")),SUMPRODUCT(('Data - Visits'!$A$2:$A$3873=$A7)*('Data - Visits'!$C$2:$C$3873=$R$4)*('Data - Visits'!$D$2:$D$3873=$A$3)*('Data - Visits'!$E$2:$E$3873=$R$5)*('Data - Visits'!$F$2:$F$3873=R$6)*('Data - Visits'!$I$2:$I$3873)),IF(AND($A$3="Face to face",OR($A$2="Non-metropolitan",$A$2="Metropolitan")),SUMPRODUCT(('Data - Visits'!$A$2:$A$3873=$A7)*('Data - Visits'!$C$2:$C$3873=$R$4)*('Data - Visits'!$D$2:$D$3873=$A$3)*('Data - Visits'!$H$2:$H$3873=$A$2)*('Data - Visits'!$E$2:$E$3873=$R$5)*('Data - Visits'!$F$2:$F$3873=R$6)*('Data - Visits'!$I$2:$I$3873)),IF(AND($A$3="Face to face",OR($A$2="Predominantly Urban",$A$2="Significantly Rural",$A$2="Predominantly Rural")),SUMPRODUCT(('Data - Visits'!$A$2:$A$3873=$A7)*('Data - Visits'!$C$2:$C$3873=$R$4)*('Data - Visits'!$D$2:$D$3873=$A$3)*('Data - Visits'!$G$2:$G$3873=$A$2)*('Data - Visits'!$E$2:$E$3873=$R$5)*('Data - Visits'!$F$2:$F$3873=R$6)*('Data - Visits'!$I$2:$I$3873)),IF($A$3="Face to face",SUMPRODUCT(('Data - Visits'!$A$2:$A$3873=$A7)*('Data - Visits'!$B$2:$B$3873=$A$2)*('Data - Visits'!$C$2:$C$3873=$R$4)*('Data - Visits'!$D$2:$D$3873=$A$3)*('Data - Visits'!$E$2:$E$3873=$R$5)*('Data - Visits'!$F$2:$F$3873=R$6)*('Data - Visits'!$I$2:$I$3873)),IF($A$3="Virtual","..")))))))))</f>
        <v>3918</v>
      </c>
      <c r="S7" s="51" cm="1">
        <f t="array" ref="S7">IF(AND($A$2="England",OR($A$3="Total")),SUMPRODUCT(('Data - Visits'!$A$2:$A$3873=$A7)*('Data - Visits'!$C$2:$C$3873=$R$4)*('Data - Visits'!$E$2:$E$3873=$R$5)*('Data - Visits'!$F$2:$F$3873=S$6)*('Data - Visits'!$I$2:$I$3873)),IF(AND($A$3="Total",OR($A$2="Non-metropolitan",$A$2="Metropolitan")),SUMPRODUCT(('Data - Visits'!$A$2:$A$3873=$A7)*('Data - Visits'!$C$2:$C$3873=$R$4)*('Data - Visits'!$H$2:$H$3873=$A$2)*('Data - Visits'!$E$2:$E$3873=$R$5)*('Data - Visits'!$F$2:$F$3873=S$6)*('Data - Visits'!$I$2:$I$3873)),IF(AND($A$3="Total",OR($A$2="Predominantly Urban",$A$2="Significantly Rural",$A$2="Predominantly Rural")),SUMPRODUCT(('Data - Visits'!$A$2:$A$3873=$A7)*('Data - Visits'!$C$2:$C$3873=$R$4)*('Data - Visits'!$G$2:$G$3873=$A$2)*('Data - Visits'!$E$2:$E$3873=$R$5)*('Data - Visits'!$F$2:$F$3873=S$6)*('Data - Visits'!$I$2:$I$3873)),IF($A$3="Total",SUMPRODUCT(('Data - Visits'!$A$2:$A$3873=$A7)*('Data - Visits'!$B$2:$B$3873=$A$2)*('Data - Visits'!$C$2:$C$3873=$R$4)*('Data - Visits'!$E$2:$E$3873=$R$5)*('Data - Visits'!$F$2:$F$3873=S$6)*('Data - Visits'!$I$2:$I$3873)),IF(AND($A$2="England",OR($A$3="Face to face")),SUMPRODUCT(('Data - Visits'!$A$2:$A$3873=$A7)*('Data - Visits'!$C$2:$C$3873=$R$4)*('Data - Visits'!$D$2:$D$3873=$A$3)*('Data - Visits'!$E$2:$E$3873=$R$5)*('Data - Visits'!$F$2:$F$3873=S$6)*('Data - Visits'!$I$2:$I$3873)),IF(AND($A$3="Face to face",OR($A$2="Non-metropolitan",$A$2="Metropolitan")),SUMPRODUCT(('Data - Visits'!$A$2:$A$3873=$A7)*('Data - Visits'!$C$2:$C$3873=$R$4)*('Data - Visits'!$D$2:$D$3873=$A$3)*('Data - Visits'!$H$2:$H$3873=$A$2)*('Data - Visits'!$E$2:$E$3873=$R$5)*('Data - Visits'!$F$2:$F$3873=S$6)*('Data - Visits'!$I$2:$I$3873)),IF(AND($A$3="Face to face",OR($A$2="Predominantly Urban",$A$2="Significantly Rural",$A$2="Predominantly Rural")),SUMPRODUCT(('Data - Visits'!$A$2:$A$3873=$A7)*('Data - Visits'!$C$2:$C$3873=$R$4)*('Data - Visits'!$D$2:$D$3873=$A$3)*('Data - Visits'!$G$2:$G$3873=$A$2)*('Data - Visits'!$E$2:$E$3873=$R$5)*('Data - Visits'!$F$2:$F$3873=S$6)*('Data - Visits'!$I$2:$I$3873)),IF($A$3="Face to face",SUMPRODUCT(('Data - Visits'!$A$2:$A$3873=$A7)*('Data - Visits'!$B$2:$B$3873=$A$2)*('Data - Visits'!$C$2:$C$3873=$R$4)*('Data - Visits'!$D$2:$D$3873=$A$3)*('Data - Visits'!$E$2:$E$3873=$R$5)*('Data - Visits'!$F$2:$F$3873=S$6)*('Data - Visits'!$I$2:$I$3873)),IF($A$3="Virtual","..")))))))))</f>
        <v>2077</v>
      </c>
      <c r="T7" s="27" t="s">
        <v>176</v>
      </c>
      <c r="V7" s="19" t="s">
        <v>10</v>
      </c>
      <c r="W7" s="19" t="s">
        <v>76</v>
      </c>
    </row>
    <row r="8" spans="1:23" x14ac:dyDescent="0.35">
      <c r="A8" s="25" t="s">
        <v>53</v>
      </c>
      <c r="B8" s="27" cm="1">
        <f t="array" ref="B8">IF(AND($A$2="England",OR($A$3="Total")),SUMPRODUCT(('Data - Visits'!$A$2:$A$3873=$A8)*('Data - Visits'!$E$2:$E$3873=$E$5)*('Data - Visits'!$F$2:$F$3873=B$6)*('Data - Visits'!$I$2:$I$3873)),IF(AND($A$3="Total",OR($A$2="Non-metropolitan",$A$2="Metropolitan")),SUMPRODUCT(('Data - Visits'!$A$2:$A$3873=$A8)*('Data - Visits'!$H$2:$H$3873=$A$2)*('Data - Visits'!$E$2:$E$3873=$E$5)*('Data - Visits'!$F$2:$F$3873=B$6)*('Data - Visits'!$I$2:$I$3873)),IF(AND($A$3="Total",OR($A$2="Predominantly Urban",$A$2="Significantly Rural",$A$2="Predominantly Rural")),SUMPRODUCT(('Data - Visits'!$A$2:$A$3873=$A8)*('Data - Visits'!$G$2:$G$3873=$A$2)*('Data - Visits'!$E$2:$E$3873=$E$5)*('Data - Visits'!$F$2:$F$3873=B$6)*('Data - Visits'!$I$2:$I$3873)),IF($A$3="Total",SUMPRODUCT(('Data - Visits'!$A$2:$A$3873=$A8)*('Data - Visits'!$B$2:$B$3873=$A$2)*('Data - Visits'!$E$2:$E$3873=$E$5)*('Data - Visits'!$F$2:$F$3873=B$6)*('Data - Visits'!$I$2:$I$3873)),IF(AND($A$2="England",OR($A$3="Face to face")),SUMPRODUCT(('Data - Visits'!$A$2:$A$3873=$A8)*('Data - Visits'!$D$2:$D$3873=$A$3)*('Data - Visits'!$E$2:$E$3873=$E$5)*('Data - Visits'!$F$2:$F$3873=B$6)*('Data - Visits'!$I$2:$I$3873)),IF(AND($A$3="Face to face",OR($A$2="Non-metropolitan",$A$2="Metropolitan")),SUMPRODUCT(('Data - Visits'!$A$2:$A$3873=$A8)*('Data - Visits'!$D$2:$D$3873=$A$3)*('Data - Visits'!$H$2:$H$3873=$A$2)*('Data - Visits'!$E$2:$E$3873=$E$5)*('Data - Visits'!$F$2:$F$3873=B$6)*('Data - Visits'!$I$2:$I$3873)),IF(AND($A$3="Face to face",OR($A$2="Predominantly Urban",$A$2="Significantly Rural",$A$2="Predominantly Rural")),SUMPRODUCT(('Data - Visits'!$A$2:$A$3873=$A8)*('Data - Visits'!$D$2:$D$3873=$A$3)*('Data - Visits'!$G$2:$G$3873=$A$2)*('Data - Visits'!$E$2:$E$3873=$E$5)*('Data - Visits'!$F$2:$F$3873=B$6)*('Data - Visits'!$I$2:$I$3873)),IF($A$3="Face to face",SUMPRODUCT(('Data - Visits'!$A$2:$A$3873=$A8)*('Data - Visits'!$B$2:$B$3873=$A$2)*('Data - Visits'!$D$2:$D$3873=$A$3)*('Data - Visits'!$E$2:$E$3873=$E$5)*('Data - Visits'!$F$2:$F$3873=B$6)*('Data - Visits'!$I$2:$I$3873)),IF($A$3="Virtual","..")))))))))</f>
        <v>588666</v>
      </c>
      <c r="C8" s="27" t="s">
        <v>176</v>
      </c>
      <c r="D8" s="27" cm="1">
        <f t="array" ref="D8">IF(AND($A$2="England",OR($A$3="Total")),SUMPRODUCT(('Data - Visits'!$A$2:$A$3873=$A8)*('Data - Visits'!$E$2:$E$3873=$E$5)*('Data - Visits'!$F$2:$F$3873=D$6)*('Data - Visits'!$I$2:$I$3873)),IF(AND($A$3="Total",OR($A$2="Non-metropolitan",$A$2="Metropolitan")),SUMPRODUCT(('Data - Visits'!$A$2:$A$3873=$A8)*('Data - Visits'!$H$2:$H$3873=$A$2)*('Data - Visits'!$E$2:$E$3873=$E$5)*('Data - Visits'!$F$2:$F$3873=D$6)*('Data - Visits'!$I$2:$I$3873)),IF(AND($A$3="Total",OR($A$2="Predominantly Urban",$A$2="Significantly Rural",$A$2="Predominantly Rural")),SUMPRODUCT(('Data - Visits'!$A$2:$A$3873=$A8)*('Data - Visits'!$G$2:$G$3873=$A$2)*('Data - Visits'!$E$2:$E$3873=$E$5)*('Data - Visits'!$F$2:$F$3873=D$6)*('Data - Visits'!$I$2:$I$3873)),IF($A$3="Total",SUMPRODUCT(('Data - Visits'!$A$2:$A$3873=$A8)*('Data - Visits'!$B$2:$B$3873=$A$2)*('Data - Visits'!$E$2:$E$3873=$E$5)*('Data - Visits'!$F$2:$F$3873=D$6)*('Data - Visits'!$I$2:$I$3873)),IF(AND($A$2="England",OR($A$3="Face to face")),SUMPRODUCT(('Data - Visits'!$A$2:$A$3873=$A8)*('Data - Visits'!$D$2:$D$3873=$A$3)*('Data - Visits'!$E$2:$E$3873=$E$5)*('Data - Visits'!$F$2:$F$3873=D$6)*('Data - Visits'!$I$2:$I$3873)),IF(AND($A$3="Face to face",OR($A$2="Non-metropolitan",$A$2="Metropolitan")),SUMPRODUCT(('Data - Visits'!$A$2:$A$3873=$A8)*('Data - Visits'!$D$2:$D$3873=$A$3)*('Data - Visits'!$H$2:$H$3873=$A$2)*('Data - Visits'!$E$2:$E$3873=$E$5)*('Data - Visits'!$F$2:$F$3873=D$6)*('Data - Visits'!$I$2:$I$3873)),IF(AND($A$3="Face to face",OR($A$2="Predominantly Urban",$A$2="Significantly Rural",$A$2="Predominantly Rural")),SUMPRODUCT(('Data - Visits'!$A$2:$A$3873=$A8)*('Data - Visits'!$D$2:$D$3873=$A$3)*('Data - Visits'!$G$2:$G$3873=$A$2)*('Data - Visits'!$E$2:$E$3873=$E$5)*('Data - Visits'!$F$2:$F$3873=D$6)*('Data - Visits'!$I$2:$I$3873)),IF($A$3="Face to face",SUMPRODUCT(('Data - Visits'!$A$2:$A$3873=$A8)*('Data - Visits'!$B$2:$B$3873=$A$2)*('Data - Visits'!$D$2:$D$3873=$A$3)*('Data - Visits'!$E$2:$E$3873=$E$5)*('Data - Visits'!$F$2:$F$3873=D$6)*('Data - Visits'!$I$2:$I$3873)),IF($A$3="Virtual","..")))))))))</f>
        <v>129804</v>
      </c>
      <c r="E8" s="27" cm="1">
        <f t="array" ref="E8">IF(AND($A$2="England",OR($A$3="Total")),SUMPRODUCT(('Data - Visits'!$A$2:$A$3873=$A8)*('Data - Visits'!$E$2:$E$3873=$E$5)*('Data - Visits'!$F$2:$F$3873=E$6)*('Data - Visits'!$I$2:$I$3873)),IF(AND($A$3="Total",OR($A$2="Non-metropolitan",$A$2="Metropolitan")),SUMPRODUCT(('Data - Visits'!$A$2:$A$3873=$A8)*('Data - Visits'!$H$2:$H$3873=$A$2)*('Data - Visits'!$E$2:$E$3873=$E$5)*('Data - Visits'!$F$2:$F$3873=E$6)*('Data - Visits'!$I$2:$I$3873)),IF(AND($A$3="Total",OR($A$2="Predominantly Urban",$A$2="Significantly Rural",$A$2="Predominantly Rural")),SUMPRODUCT(('Data - Visits'!$A$2:$A$3873=$A8)*('Data - Visits'!$G$2:$G$3873=$A$2)*('Data - Visits'!$E$2:$E$3873=$E$5)*('Data - Visits'!$F$2:$F$3873=E$6)*('Data - Visits'!$I$2:$I$3873)),IF($A$3="Total",SUMPRODUCT(('Data - Visits'!$A$2:$A$3873=$A8)*('Data - Visits'!$B$2:$B$3873=$A$2)*('Data - Visits'!$E$2:$E$3873=$E$5)*('Data - Visits'!$F$2:$F$3873=E$6)*('Data - Visits'!$I$2:$I$3873)),IF(AND($A$2="England",OR($A$3="Face to face")),SUMPRODUCT(('Data - Visits'!$A$2:$A$3873=$A8)*('Data - Visits'!$D$2:$D$3873=$A$3)*('Data - Visits'!$E$2:$E$3873=$E$5)*('Data - Visits'!$F$2:$F$3873=E$6)*('Data - Visits'!$I$2:$I$3873)),IF(AND($A$3="Face to face",OR($A$2="Non-metropolitan",$A$2="Metropolitan")),SUMPRODUCT(('Data - Visits'!$A$2:$A$3873=$A8)*('Data - Visits'!$D$2:$D$3873=$A$3)*('Data - Visits'!$H$2:$H$3873=$A$2)*('Data - Visits'!$E$2:$E$3873=$E$5)*('Data - Visits'!$F$2:$F$3873=E$6)*('Data - Visits'!$I$2:$I$3873)),IF(AND($A$3="Face to face",OR($A$2="Predominantly Urban",$A$2="Significantly Rural",$A$2="Predominantly Rural")),SUMPRODUCT(('Data - Visits'!$A$2:$A$3873=$A8)*('Data - Visits'!$D$2:$D$3873=$A$3)*('Data - Visits'!$G$2:$G$3873=$A$2)*('Data - Visits'!$E$2:$E$3873=$E$5)*('Data - Visits'!$F$2:$F$3873=E$6)*('Data - Visits'!$I$2:$I$3873)),IF($A$3="Face to face",SUMPRODUCT(('Data - Visits'!$A$2:$A$3873=$A8)*('Data - Visits'!$B$2:$B$3873=$A$2)*('Data - Visits'!$D$2:$D$3873=$A$3)*('Data - Visits'!$E$2:$E$3873=$E$5)*('Data - Visits'!$F$2:$F$3873=E$6)*('Data - Visits'!$I$2:$I$3873)),IF($A$3="Virtual","..")))))))))</f>
        <v>197510</v>
      </c>
      <c r="F8" s="27" cm="1">
        <f t="array" ref="F8">IF(AND($A$2="England",OR($A$3="Total")),SUMPRODUCT(('Data - Visits'!$A$2:$A$3873=$A8)*('Data - Visits'!$E$2:$E$3873=$E$5)*('Data - Visits'!$F$2:$F$3873=F$6)*('Data - Visits'!$I$2:$I$3873)),IF(AND($A$3="Total",OR($A$2="Non-metropolitan",$A$2="Metropolitan")),SUMPRODUCT(('Data - Visits'!$A$2:$A$3873=$A8)*('Data - Visits'!$H$2:$H$3873=$A$2)*('Data - Visits'!$E$2:$E$3873=$E$5)*('Data - Visits'!$F$2:$F$3873=F$6)*('Data - Visits'!$I$2:$I$3873)),IF(AND($A$3="Total",OR($A$2="Predominantly Urban",$A$2="Significantly Rural",$A$2="Predominantly Rural")),SUMPRODUCT(('Data - Visits'!$A$2:$A$3873=$A8)*('Data - Visits'!$G$2:$G$3873=$A$2)*('Data - Visits'!$E$2:$E$3873=$E$5)*('Data - Visits'!$F$2:$F$3873=F$6)*('Data - Visits'!$I$2:$I$3873)),IF($A$3="Total",SUMPRODUCT(('Data - Visits'!$A$2:$A$3873=$A8)*('Data - Visits'!$B$2:$B$3873=$A$2)*('Data - Visits'!$E$2:$E$3873=$E$5)*('Data - Visits'!$F$2:$F$3873=F$6)*('Data - Visits'!$I$2:$I$3873)),IF(AND($A$2="England",OR($A$3="Face to face")),SUMPRODUCT(('Data - Visits'!$A$2:$A$3873=$A8)*('Data - Visits'!$D$2:$D$3873=$A$3)*('Data - Visits'!$E$2:$E$3873=$E$5)*('Data - Visits'!$F$2:$F$3873=F$6)*('Data - Visits'!$I$2:$I$3873)),IF(AND($A$3="Face to face",OR($A$2="Non-metropolitan",$A$2="Metropolitan")),SUMPRODUCT(('Data - Visits'!$A$2:$A$3873=$A8)*('Data - Visits'!$D$2:$D$3873=$A$3)*('Data - Visits'!$H$2:$H$3873=$A$2)*('Data - Visits'!$E$2:$E$3873=$E$5)*('Data - Visits'!$F$2:$F$3873=F$6)*('Data - Visits'!$I$2:$I$3873)),IF(AND($A$3="Face to face",OR($A$2="Predominantly Urban",$A$2="Significantly Rural",$A$2="Predominantly Rural")),SUMPRODUCT(('Data - Visits'!$A$2:$A$3873=$A8)*('Data - Visits'!$D$2:$D$3873=$A$3)*('Data - Visits'!$G$2:$G$3873=$A$2)*('Data - Visits'!$E$2:$E$3873=$E$5)*('Data - Visits'!$F$2:$F$3873=F$6)*('Data - Visits'!$I$2:$I$3873)),IF($A$3="Face to face",SUMPRODUCT(('Data - Visits'!$A$2:$A$3873=$A8)*('Data - Visits'!$B$2:$B$3873=$A$2)*('Data - Visits'!$D$2:$D$3873=$A$3)*('Data - Visits'!$E$2:$E$3873=$E$5)*('Data - Visits'!$F$2:$F$3873=F$6)*('Data - Visits'!$I$2:$I$3873)),IF($A$3="Virtual","..")))))))))</f>
        <v>43673</v>
      </c>
      <c r="G8" s="27" t="s">
        <v>176</v>
      </c>
      <c r="H8" s="20"/>
      <c r="I8" s="27" cm="1">
        <f t="array" ref="I8">IF(AND($A$2="England",OR($A$3="Total")),SUMPRODUCT(('Data - Visits'!$A$2:$A$3873=$A8)*('Data - Visits'!$C$2:$C$3873=$L$4)*('Data - Visits'!$E$2:$E$3873=$L$5)*('Data - Visits'!$F$2:$F$3873=I$6)*('Data - Visits'!$I$2:$I$3873)),IF(AND($A$3="Total",OR($A$2="Non-metropolitan",$A$2="Metropolitan")),SUMPRODUCT(('Data - Visits'!$A$2:$A$3873=$A8)*('Data - Visits'!$C$2:$C$3873=$L$4)*('Data - Visits'!$H$2:$H$3873=$A$2)*('Data - Visits'!$E$2:$E$3873=$L$5)*('Data - Visits'!$F$2:$F$3873=I$6)*('Data - Visits'!$I$2:$I$3873)),IF(AND($A$3="Total",OR($A$2="Predominantly Urban",$A$2="Significantly Rural",$A$2="Predominantly Rural")),SUMPRODUCT(('Data - Visits'!$A$2:$A$3873=$A8)*('Data - Visits'!$C$2:$C$3873=$L$4)*('Data - Visits'!$G$2:$G$3873=$A$2)*('Data - Visits'!$E$2:$E$3873=$L$5)*('Data - Visits'!$F$2:$F$3873=I$6)*('Data - Visits'!$I$2:$I$3873)),IF($A$3="Total",SUMPRODUCT(('Data - Visits'!$A$2:$A$3873=$A8)*('Data - Visits'!$B$2:$B$3873=$A$2)*('Data - Visits'!$C$2:$C$3873=$L$4)*('Data - Visits'!$E$2:$E$3873=$L$5)*('Data - Visits'!$F$2:$F$3873=I$6)*('Data - Visits'!$I$2:$I$3873)),IF(AND($A$2="England",OR($A$3="Face to face")),SUMPRODUCT(('Data - Visits'!$A$2:$A$3873=$A8)*('Data - Visits'!$C$2:$C$3873=$L$4)*('Data - Visits'!$D$2:$D$3873=$A$3)*('Data - Visits'!$E$2:$E$3873=$L$5)*('Data - Visits'!$F$2:$F$3873=I$6)*('Data - Visits'!$I$2:$I$3873)),IF(AND($A$3="Face to face",OR($A$2="Non-metropolitan",$A$2="Metropolitan")),SUMPRODUCT(('Data - Visits'!$A$2:$A$3873=$A8)*('Data - Visits'!$C$2:$C$3873=$L$4)*('Data - Visits'!$D$2:$D$3873=$A$3)*('Data - Visits'!$H$2:$H$3873=$A$2)*('Data - Visits'!$E$2:$E$3873=$L$5)*('Data - Visits'!$F$2:$F$3873=I$6)*('Data - Visits'!$I$2:$I$3873)),IF(AND($A$3="Face to face",OR($A$2="Predominantly Urban",$A$2="Significantly Rural",$A$2="Predominantly Rural")),SUMPRODUCT(('Data - Visits'!$A$2:$A$3873=$A8)*('Data - Visits'!$C$2:$C$3873=$L$4)*('Data - Visits'!$D$2:$D$3873=$A$3)*('Data - Visits'!$G$2:$G$3873=$A$2)*('Data - Visits'!$E$2:$E$3873=$L$5)*('Data - Visits'!$F$2:$F$3873=I$6)*('Data - Visits'!$I$2:$I$3873)),IF($A$3="Face to face",SUMPRODUCT(('Data - Visits'!$A$2:$A$3873=$A8)*('Data - Visits'!$B$2:$B$3873=$A$2)*('Data - Visits'!$C$2:$C$3873=$L$4)*('Data - Visits'!$D$2:$D$3873=$A$3)*('Data - Visits'!$E$2:$E$3873=$L$5)*('Data - Visits'!$F$2:$F$3873=I$6)*('Data - Visits'!$I$2:$I$3873)),IF($A$3="Virtual","..")))))))))</f>
        <v>572310</v>
      </c>
      <c r="J8" s="27" t="s">
        <v>176</v>
      </c>
      <c r="K8" s="27" cm="1">
        <f t="array" ref="K8">IF(AND($A$2="England",OR($A$3="Total")),SUMPRODUCT(('Data - Visits'!$A$2:$A$3873=$A8)*('Data - Visits'!$C$2:$C$3873=$L$4)*('Data - Visits'!$E$2:$E$3873=$L$5)*('Data - Visits'!$F$2:$F$3873=K$6)*('Data - Visits'!$I$2:$I$3873)),IF(AND($A$3="Total",OR($A$2="Non-metropolitan",$A$2="Metropolitan")),SUMPRODUCT(('Data - Visits'!$A$2:$A$3873=$A8)*('Data - Visits'!$C$2:$C$3873=$L$4)*('Data - Visits'!$H$2:$H$3873=$A$2)*('Data - Visits'!$E$2:$E$3873=$L$5)*('Data - Visits'!$F$2:$F$3873=K$6)*('Data - Visits'!$I$2:$I$3873)),IF(AND($A$3="Total",OR($A$2="Predominantly Urban",$A$2="Significantly Rural",$A$2="Predominantly Rural")),SUMPRODUCT(('Data - Visits'!$A$2:$A$3873=$A8)*('Data - Visits'!$C$2:$C$3873=$L$4)*('Data - Visits'!$G$2:$G$3873=$A$2)*('Data - Visits'!$E$2:$E$3873=$L$5)*('Data - Visits'!$F$2:$F$3873=K$6)*('Data - Visits'!$I$2:$I$3873)),IF($A$3="Total",SUMPRODUCT(('Data - Visits'!$A$2:$A$3873=$A8)*('Data - Visits'!$B$2:$B$3873=$A$2)*('Data - Visits'!$C$2:$C$3873=$L$4)*('Data - Visits'!$E$2:$E$3873=$L$5)*('Data - Visits'!$F$2:$F$3873=K$6)*('Data - Visits'!$I$2:$I$3873)),IF(AND($A$2="England",OR($A$3="Face to face")),SUMPRODUCT(('Data - Visits'!$A$2:$A$3873=$A8)*('Data - Visits'!$C$2:$C$3873=$L$4)*('Data - Visits'!$D$2:$D$3873=$A$3)*('Data - Visits'!$E$2:$E$3873=$L$5)*('Data - Visits'!$F$2:$F$3873=K$6)*('Data - Visits'!$I$2:$I$3873)),IF(AND($A$3="Face to face",OR($A$2="Non-metropolitan",$A$2="Metropolitan")),SUMPRODUCT(('Data - Visits'!$A$2:$A$3873=$A8)*('Data - Visits'!$C$2:$C$3873=$L$4)*('Data - Visits'!$D$2:$D$3873=$A$3)*('Data - Visits'!$H$2:$H$3873=$A$2)*('Data - Visits'!$E$2:$E$3873=$L$5)*('Data - Visits'!$F$2:$F$3873=K$6)*('Data - Visits'!$I$2:$I$3873)),IF(AND($A$3="Face to face",OR($A$2="Predominantly Urban",$A$2="Significantly Rural",$A$2="Predominantly Rural")),SUMPRODUCT(('Data - Visits'!$A$2:$A$3873=$A8)*('Data - Visits'!$C$2:$C$3873=$L$4)*('Data - Visits'!$D$2:$D$3873=$A$3)*('Data - Visits'!$G$2:$G$3873=$A$2)*('Data - Visits'!$E$2:$E$3873=$L$5)*('Data - Visits'!$F$2:$F$3873=K$6)*('Data - Visits'!$I$2:$I$3873)),IF($A$3="Face to face",SUMPRODUCT(('Data - Visits'!$A$2:$A$3873=$A8)*('Data - Visits'!$B$2:$B$3873=$A$2)*('Data - Visits'!$C$2:$C$3873=$L$4)*('Data - Visits'!$D$2:$D$3873=$A$3)*('Data - Visits'!$E$2:$E$3873=$L$5)*('Data - Visits'!$F$2:$F$3873=K$6)*('Data - Visits'!$I$2:$I$3873)),IF($A$3="Virtual","..")))))))))</f>
        <v>125782</v>
      </c>
      <c r="L8" s="27" cm="1">
        <f t="array" ref="L8">IF(AND($A$2="England",OR($A$3="Total")),SUMPRODUCT(('Data - Visits'!$A$2:$A$3873=$A8)*('Data - Visits'!$C$2:$C$3873=$L$4)*('Data - Visits'!$E$2:$E$3873=$L$5)*('Data - Visits'!$F$2:$F$3873=L$6)*('Data - Visits'!$I$2:$I$3873)),IF(AND($A$3="Total",OR($A$2="Non-metropolitan",$A$2="Metropolitan")),SUMPRODUCT(('Data - Visits'!$A$2:$A$3873=$A8)*('Data - Visits'!$C$2:$C$3873=$L$4)*('Data - Visits'!$H$2:$H$3873=$A$2)*('Data - Visits'!$E$2:$E$3873=$L$5)*('Data - Visits'!$F$2:$F$3873=L$6)*('Data - Visits'!$I$2:$I$3873)),IF(AND($A$3="Total",OR($A$2="Predominantly Urban",$A$2="Significantly Rural",$A$2="Predominantly Rural")),SUMPRODUCT(('Data - Visits'!$A$2:$A$3873=$A8)*('Data - Visits'!$C$2:$C$3873=$L$4)*('Data - Visits'!$G$2:$G$3873=$A$2)*('Data - Visits'!$E$2:$E$3873=$L$5)*('Data - Visits'!$F$2:$F$3873=L$6)*('Data - Visits'!$I$2:$I$3873)),IF($A$3="Total",SUMPRODUCT(('Data - Visits'!$A$2:$A$3873=$A8)*('Data - Visits'!$B$2:$B$3873=$A$2)*('Data - Visits'!$C$2:$C$3873=$L$4)*('Data - Visits'!$E$2:$E$3873=$L$5)*('Data - Visits'!$F$2:$F$3873=L$6)*('Data - Visits'!$I$2:$I$3873)),IF(AND($A$2="England",OR($A$3="Face to face")),SUMPRODUCT(('Data - Visits'!$A$2:$A$3873=$A8)*('Data - Visits'!$C$2:$C$3873=$L$4)*('Data - Visits'!$D$2:$D$3873=$A$3)*('Data - Visits'!$E$2:$E$3873=$L$5)*('Data - Visits'!$F$2:$F$3873=L$6)*('Data - Visits'!$I$2:$I$3873)),IF(AND($A$3="Face to face",OR($A$2="Non-metropolitan",$A$2="Metropolitan")),SUMPRODUCT(('Data - Visits'!$A$2:$A$3873=$A8)*('Data - Visits'!$C$2:$C$3873=$L$4)*('Data - Visits'!$D$2:$D$3873=$A$3)*('Data - Visits'!$H$2:$H$3873=$A$2)*('Data - Visits'!$E$2:$E$3873=$L$5)*('Data - Visits'!$F$2:$F$3873=L$6)*('Data - Visits'!$I$2:$I$3873)),IF(AND($A$3="Face to face",OR($A$2="Predominantly Urban",$A$2="Significantly Rural",$A$2="Predominantly Rural")),SUMPRODUCT(('Data - Visits'!$A$2:$A$3873=$A8)*('Data - Visits'!$C$2:$C$3873=$L$4)*('Data - Visits'!$D$2:$D$3873=$A$3)*('Data - Visits'!$G$2:$G$3873=$A$2)*('Data - Visits'!$E$2:$E$3873=$L$5)*('Data - Visits'!$F$2:$F$3873=L$6)*('Data - Visits'!$I$2:$I$3873)),IF($A$3="Face to face",SUMPRODUCT(('Data - Visits'!$A$2:$A$3873=$A8)*('Data - Visits'!$B$2:$B$3873=$A$2)*('Data - Visits'!$C$2:$C$3873=$L$4)*('Data - Visits'!$D$2:$D$3873=$A$3)*('Data - Visits'!$E$2:$E$3873=$L$5)*('Data - Visits'!$F$2:$F$3873=L$6)*('Data - Visits'!$I$2:$I$3873)),IF($A$3="Virtual","..")))))))))</f>
        <v>194062</v>
      </c>
      <c r="M8" s="27" cm="1">
        <f t="array" ref="M8">IF(AND($A$2="England",OR($A$3="Total")),SUMPRODUCT(('Data - Visits'!$A$2:$A$3873=$A8)*('Data - Visits'!$C$2:$C$3873=$L$4)*('Data - Visits'!$E$2:$E$3873=$L$5)*('Data - Visits'!$F$2:$F$3873=M$6)*('Data - Visits'!$I$2:$I$3873)),IF(AND($A$3="Total",OR($A$2="Non-metropolitan",$A$2="Metropolitan")),SUMPRODUCT(('Data - Visits'!$A$2:$A$3873=$A8)*('Data - Visits'!$C$2:$C$3873=$L$4)*('Data - Visits'!$H$2:$H$3873=$A$2)*('Data - Visits'!$E$2:$E$3873=$L$5)*('Data - Visits'!$F$2:$F$3873=M$6)*('Data - Visits'!$I$2:$I$3873)),IF(AND($A$3="Total",OR($A$2="Predominantly Urban",$A$2="Significantly Rural",$A$2="Predominantly Rural")),SUMPRODUCT(('Data - Visits'!$A$2:$A$3873=$A8)*('Data - Visits'!$C$2:$C$3873=$L$4)*('Data - Visits'!$G$2:$G$3873=$A$2)*('Data - Visits'!$E$2:$E$3873=$L$5)*('Data - Visits'!$F$2:$F$3873=M$6)*('Data - Visits'!$I$2:$I$3873)),IF($A$3="Total",SUMPRODUCT(('Data - Visits'!$A$2:$A$3873=$A8)*('Data - Visits'!$B$2:$B$3873=$A$2)*('Data - Visits'!$C$2:$C$3873=$L$4)*('Data - Visits'!$E$2:$E$3873=$L$5)*('Data - Visits'!$F$2:$F$3873=M$6)*('Data - Visits'!$I$2:$I$3873)),IF(AND($A$2="England",OR($A$3="Face to face")),SUMPRODUCT(('Data - Visits'!$A$2:$A$3873=$A8)*('Data - Visits'!$C$2:$C$3873=$L$4)*('Data - Visits'!$D$2:$D$3873=$A$3)*('Data - Visits'!$E$2:$E$3873=$L$5)*('Data - Visits'!$F$2:$F$3873=M$6)*('Data - Visits'!$I$2:$I$3873)),IF(AND($A$3="Face to face",OR($A$2="Non-metropolitan",$A$2="Metropolitan")),SUMPRODUCT(('Data - Visits'!$A$2:$A$3873=$A8)*('Data - Visits'!$C$2:$C$3873=$L$4)*('Data - Visits'!$D$2:$D$3873=$A$3)*('Data - Visits'!$H$2:$H$3873=$A$2)*('Data - Visits'!$E$2:$E$3873=$L$5)*('Data - Visits'!$F$2:$F$3873=M$6)*('Data - Visits'!$I$2:$I$3873)),IF(AND($A$3="Face to face",OR($A$2="Predominantly Urban",$A$2="Significantly Rural",$A$2="Predominantly Rural")),SUMPRODUCT(('Data - Visits'!$A$2:$A$3873=$A8)*('Data - Visits'!$C$2:$C$3873=$L$4)*('Data - Visits'!$D$2:$D$3873=$A$3)*('Data - Visits'!$G$2:$G$3873=$A$2)*('Data - Visits'!$E$2:$E$3873=$L$5)*('Data - Visits'!$F$2:$F$3873=M$6)*('Data - Visits'!$I$2:$I$3873)),IF($A$3="Face to face",SUMPRODUCT(('Data - Visits'!$A$2:$A$3873=$A8)*('Data - Visits'!$B$2:$B$3873=$A$2)*('Data - Visits'!$C$2:$C$3873=$L$4)*('Data - Visits'!$D$2:$D$3873=$A$3)*('Data - Visits'!$E$2:$E$3873=$L$5)*('Data - Visits'!$F$2:$F$3873=M$6)*('Data - Visits'!$I$2:$I$3873)),IF($A$3="Virtual","..")))))))))</f>
        <v>41002</v>
      </c>
      <c r="N8" s="27" t="s">
        <v>176</v>
      </c>
      <c r="O8" s="50"/>
      <c r="P8" s="51" cm="1">
        <f t="array" ref="P8">IF(AND($A$2="England",OR($A$3="Total")),SUMPRODUCT(('Data - Visits'!$A$2:$A$3873=$A8)*('Data - Visits'!$C$2:$C$3873=$R$4)*('Data - Visits'!$E$2:$E$3873=$R$5)*('Data - Visits'!$F$2:$F$3873=P$6)*('Data - Visits'!$I$2:$I$3873)),IF(AND($A$3="Total",OR($A$2="Non-metropolitan",$A$2="Metropolitan")),SUMPRODUCT(('Data - Visits'!$A$2:$A$3873=$A8)*('Data - Visits'!$C$2:$C$3873=$R$4)*('Data - Visits'!$H$2:$H$3873=$A$2)*('Data - Visits'!$E$2:$E$3873=$R$5)*('Data - Visits'!$F$2:$F$3873=P$6)*('Data - Visits'!$I$2:$I$3873)),IF(AND($A$3="Total",OR($A$2="Predominantly Urban",$A$2="Significantly Rural",$A$2="Predominantly Rural")),SUMPRODUCT(('Data - Visits'!$A$2:$A$3873=$A8)*('Data - Visits'!$C$2:$C$3873=$R$4)*('Data - Visits'!$G$2:$G$3873=$A$2)*('Data - Visits'!$E$2:$E$3873=$R$5)*('Data - Visits'!$F$2:$F$3873=P$6)*('Data - Visits'!$I$2:$I$3873)),IF($A$3="Total",SUMPRODUCT(('Data - Visits'!$A$2:$A$3873=$A8)*('Data - Visits'!$B$2:$B$3873=$A$2)*('Data - Visits'!$C$2:$C$3873=$R$4)*('Data - Visits'!$E$2:$E$3873=$R$5)*('Data - Visits'!$F$2:$F$3873=P$6)*('Data - Visits'!$I$2:$I$3873)),IF(AND($A$2="England",OR($A$3="Face to face")),SUMPRODUCT(('Data - Visits'!$A$2:$A$3873=$A8)*('Data - Visits'!$C$2:$C$3873=$R$4)*('Data - Visits'!$D$2:$D$3873=$A$3)*('Data - Visits'!$E$2:$E$3873=$R$5)*('Data - Visits'!$F$2:$F$3873=P$6)*('Data - Visits'!$I$2:$I$3873)),IF(AND($A$3="Face to face",OR($A$2="Non-metropolitan",$A$2="Metropolitan")),SUMPRODUCT(('Data - Visits'!$A$2:$A$3873=$A8)*('Data - Visits'!$C$2:$C$3873=$R$4)*('Data - Visits'!$D$2:$D$3873=$A$3)*('Data - Visits'!$H$2:$H$3873=$A$2)*('Data - Visits'!$E$2:$E$3873=$R$5)*('Data - Visits'!$F$2:$F$3873=P$6)*('Data - Visits'!$I$2:$I$3873)),IF(AND($A$3="Face to face",OR($A$2="Predominantly Urban",$A$2="Significantly Rural",$A$2="Predominantly Rural")),SUMPRODUCT(('Data - Visits'!$A$2:$A$3873=$A8)*('Data - Visits'!$C$2:$C$3873=$R$4)*('Data - Visits'!$D$2:$D$3873=$A$3)*('Data - Visits'!$G$2:$G$3873=$A$2)*('Data - Visits'!$E$2:$E$3873=$R$5)*('Data - Visits'!$F$2:$F$3873=P$6)*('Data - Visits'!$I$2:$I$3873)),IF($A$3="Face to face",SUMPRODUCT(('Data - Visits'!$A$2:$A$3873=$A8)*('Data - Visits'!$B$2:$B$3873=$A$2)*('Data - Visits'!$C$2:$C$3873=$R$4)*('Data - Visits'!$D$2:$D$3873=$A$3)*('Data - Visits'!$E$2:$E$3873=$R$5)*('Data - Visits'!$F$2:$F$3873=P$6)*('Data - Visits'!$I$2:$I$3873)),IF($A$3="Virtual","..")))))))))</f>
        <v>16356</v>
      </c>
      <c r="Q8" s="51" cm="1">
        <f t="array" ref="Q8">IF(AND($A$2="England",OR($A$3="Total")),SUMPRODUCT(('Data - Visits'!$A$2:$A$3873=$A8)*('Data - Visits'!$C$2:$C$3873=$R$4)*('Data - Visits'!$E$2:$E$3873=$R$5)*('Data - Visits'!$F$2:$F$3873=Q$6)*('Data - Visits'!$I$2:$I$3873)),IF(AND($A$3="Total",OR($A$2="Non-metropolitan",$A$2="Metropolitan")),SUMPRODUCT(('Data - Visits'!$A$2:$A$3873=$A8)*('Data - Visits'!$C$2:$C$3873=$R$4)*('Data - Visits'!$H$2:$H$3873=$A$2)*('Data - Visits'!$E$2:$E$3873=$R$5)*('Data - Visits'!$F$2:$F$3873=Q$6)*('Data - Visits'!$I$2:$I$3873)),IF(AND($A$3="Total",OR($A$2="Predominantly Urban",$A$2="Significantly Rural",$A$2="Predominantly Rural")),SUMPRODUCT(('Data - Visits'!$A$2:$A$3873=$A8)*('Data - Visits'!$C$2:$C$3873=$R$4)*('Data - Visits'!$G$2:$G$3873=$A$2)*('Data - Visits'!$E$2:$E$3873=$R$5)*('Data - Visits'!$F$2:$F$3873=Q$6)*('Data - Visits'!$I$2:$I$3873)),IF($A$3="Total",SUMPRODUCT(('Data - Visits'!$A$2:$A$3873=$A8)*('Data - Visits'!$B$2:$B$3873=$A$2)*('Data - Visits'!$C$2:$C$3873=$R$4)*('Data - Visits'!$E$2:$E$3873=$R$5)*('Data - Visits'!$F$2:$F$3873=Q$6)*('Data - Visits'!$I$2:$I$3873)),IF(AND($A$2="England",OR($A$3="Face to face")),SUMPRODUCT(('Data - Visits'!$A$2:$A$3873=$A8)*('Data - Visits'!$C$2:$C$3873=$R$4)*('Data - Visits'!$D$2:$D$3873=$A$3)*('Data - Visits'!$E$2:$E$3873=$R$5)*('Data - Visits'!$F$2:$F$3873=Q$6)*('Data - Visits'!$I$2:$I$3873)),IF(AND($A$3="Face to face",OR($A$2="Non-metropolitan",$A$2="Metropolitan")),SUMPRODUCT(('Data - Visits'!$A$2:$A$3873=$A8)*('Data - Visits'!$C$2:$C$3873=$R$4)*('Data - Visits'!$D$2:$D$3873=$A$3)*('Data - Visits'!$H$2:$H$3873=$A$2)*('Data - Visits'!$E$2:$E$3873=$R$5)*('Data - Visits'!$F$2:$F$3873=Q$6)*('Data - Visits'!$I$2:$I$3873)),IF(AND($A$3="Face to face",OR($A$2="Predominantly Urban",$A$2="Significantly Rural",$A$2="Predominantly Rural")),SUMPRODUCT(('Data - Visits'!$A$2:$A$3873=$A8)*('Data - Visits'!$C$2:$C$3873=$R$4)*('Data - Visits'!$D$2:$D$3873=$A$3)*('Data - Visits'!$G$2:$G$3873=$A$2)*('Data - Visits'!$E$2:$E$3873=$R$5)*('Data - Visits'!$F$2:$F$3873=Q$6)*('Data - Visits'!$I$2:$I$3873)),IF($A$3="Face to face",SUMPRODUCT(('Data - Visits'!$A$2:$A$3873=$A8)*('Data - Visits'!$B$2:$B$3873=$A$2)*('Data - Visits'!$C$2:$C$3873=$R$4)*('Data - Visits'!$D$2:$D$3873=$A$3)*('Data - Visits'!$E$2:$E$3873=$R$5)*('Data - Visits'!$F$2:$F$3873=Q$6)*('Data - Visits'!$I$2:$I$3873)),IF($A$3="Virtual","..")))))))))</f>
        <v>4022</v>
      </c>
      <c r="R8" s="51" cm="1">
        <f t="array" ref="R8">IF(AND($A$2="England",OR($A$3="Total")),SUMPRODUCT(('Data - Visits'!$A$2:$A$3873=$A8)*('Data - Visits'!$C$2:$C$3873=$R$4)*('Data - Visits'!$E$2:$E$3873=$R$5)*('Data - Visits'!$F$2:$F$3873=R$6)*('Data - Visits'!$I$2:$I$3873)),IF(AND($A$3="Total",OR($A$2="Non-metropolitan",$A$2="Metropolitan")),SUMPRODUCT(('Data - Visits'!$A$2:$A$3873=$A8)*('Data - Visits'!$C$2:$C$3873=$R$4)*('Data - Visits'!$H$2:$H$3873=$A$2)*('Data - Visits'!$E$2:$E$3873=$R$5)*('Data - Visits'!$F$2:$F$3873=R$6)*('Data - Visits'!$I$2:$I$3873)),IF(AND($A$3="Total",OR($A$2="Predominantly Urban",$A$2="Significantly Rural",$A$2="Predominantly Rural")),SUMPRODUCT(('Data - Visits'!$A$2:$A$3873=$A8)*('Data - Visits'!$C$2:$C$3873=$R$4)*('Data - Visits'!$G$2:$G$3873=$A$2)*('Data - Visits'!$E$2:$E$3873=$R$5)*('Data - Visits'!$F$2:$F$3873=R$6)*('Data - Visits'!$I$2:$I$3873)),IF($A$3="Total",SUMPRODUCT(('Data - Visits'!$A$2:$A$3873=$A8)*('Data - Visits'!$B$2:$B$3873=$A$2)*('Data - Visits'!$C$2:$C$3873=$R$4)*('Data - Visits'!$E$2:$E$3873=$R$5)*('Data - Visits'!$F$2:$F$3873=R$6)*('Data - Visits'!$I$2:$I$3873)),IF(AND($A$2="England",OR($A$3="Face to face")),SUMPRODUCT(('Data - Visits'!$A$2:$A$3873=$A8)*('Data - Visits'!$C$2:$C$3873=$R$4)*('Data - Visits'!$D$2:$D$3873=$A$3)*('Data - Visits'!$E$2:$E$3873=$R$5)*('Data - Visits'!$F$2:$F$3873=R$6)*('Data - Visits'!$I$2:$I$3873)),IF(AND($A$3="Face to face",OR($A$2="Non-metropolitan",$A$2="Metropolitan")),SUMPRODUCT(('Data - Visits'!$A$2:$A$3873=$A8)*('Data - Visits'!$C$2:$C$3873=$R$4)*('Data - Visits'!$D$2:$D$3873=$A$3)*('Data - Visits'!$H$2:$H$3873=$A$2)*('Data - Visits'!$E$2:$E$3873=$R$5)*('Data - Visits'!$F$2:$F$3873=R$6)*('Data - Visits'!$I$2:$I$3873)),IF(AND($A$3="Face to face",OR($A$2="Predominantly Urban",$A$2="Significantly Rural",$A$2="Predominantly Rural")),SUMPRODUCT(('Data - Visits'!$A$2:$A$3873=$A8)*('Data - Visits'!$C$2:$C$3873=$R$4)*('Data - Visits'!$D$2:$D$3873=$A$3)*('Data - Visits'!$G$2:$G$3873=$A$2)*('Data - Visits'!$E$2:$E$3873=$R$5)*('Data - Visits'!$F$2:$F$3873=R$6)*('Data - Visits'!$I$2:$I$3873)),IF($A$3="Face to face",SUMPRODUCT(('Data - Visits'!$A$2:$A$3873=$A8)*('Data - Visits'!$B$2:$B$3873=$A$2)*('Data - Visits'!$C$2:$C$3873=$R$4)*('Data - Visits'!$D$2:$D$3873=$A$3)*('Data - Visits'!$E$2:$E$3873=$R$5)*('Data - Visits'!$F$2:$F$3873=R$6)*('Data - Visits'!$I$2:$I$3873)),IF($A$3="Virtual","..")))))))))</f>
        <v>3448</v>
      </c>
      <c r="S8" s="51" cm="1">
        <f t="array" ref="S8">IF(AND($A$2="England",OR($A$3="Total")),SUMPRODUCT(('Data - Visits'!$A$2:$A$3873=$A8)*('Data - Visits'!$C$2:$C$3873=$R$4)*('Data - Visits'!$E$2:$E$3873=$R$5)*('Data - Visits'!$F$2:$F$3873=S$6)*('Data - Visits'!$I$2:$I$3873)),IF(AND($A$3="Total",OR($A$2="Non-metropolitan",$A$2="Metropolitan")),SUMPRODUCT(('Data - Visits'!$A$2:$A$3873=$A8)*('Data - Visits'!$C$2:$C$3873=$R$4)*('Data - Visits'!$H$2:$H$3873=$A$2)*('Data - Visits'!$E$2:$E$3873=$R$5)*('Data - Visits'!$F$2:$F$3873=S$6)*('Data - Visits'!$I$2:$I$3873)),IF(AND($A$3="Total",OR($A$2="Predominantly Urban",$A$2="Significantly Rural",$A$2="Predominantly Rural")),SUMPRODUCT(('Data - Visits'!$A$2:$A$3873=$A8)*('Data - Visits'!$C$2:$C$3873=$R$4)*('Data - Visits'!$G$2:$G$3873=$A$2)*('Data - Visits'!$E$2:$E$3873=$R$5)*('Data - Visits'!$F$2:$F$3873=S$6)*('Data - Visits'!$I$2:$I$3873)),IF($A$3="Total",SUMPRODUCT(('Data - Visits'!$A$2:$A$3873=$A8)*('Data - Visits'!$B$2:$B$3873=$A$2)*('Data - Visits'!$C$2:$C$3873=$R$4)*('Data - Visits'!$E$2:$E$3873=$R$5)*('Data - Visits'!$F$2:$F$3873=S$6)*('Data - Visits'!$I$2:$I$3873)),IF(AND($A$2="England",OR($A$3="Face to face")),SUMPRODUCT(('Data - Visits'!$A$2:$A$3873=$A8)*('Data - Visits'!$C$2:$C$3873=$R$4)*('Data - Visits'!$D$2:$D$3873=$A$3)*('Data - Visits'!$E$2:$E$3873=$R$5)*('Data - Visits'!$F$2:$F$3873=S$6)*('Data - Visits'!$I$2:$I$3873)),IF(AND($A$3="Face to face",OR($A$2="Non-metropolitan",$A$2="Metropolitan")),SUMPRODUCT(('Data - Visits'!$A$2:$A$3873=$A8)*('Data - Visits'!$C$2:$C$3873=$R$4)*('Data - Visits'!$D$2:$D$3873=$A$3)*('Data - Visits'!$H$2:$H$3873=$A$2)*('Data - Visits'!$E$2:$E$3873=$R$5)*('Data - Visits'!$F$2:$F$3873=S$6)*('Data - Visits'!$I$2:$I$3873)),IF(AND($A$3="Face to face",OR($A$2="Predominantly Urban",$A$2="Significantly Rural",$A$2="Predominantly Rural")),SUMPRODUCT(('Data - Visits'!$A$2:$A$3873=$A8)*('Data - Visits'!$C$2:$C$3873=$R$4)*('Data - Visits'!$D$2:$D$3873=$A$3)*('Data - Visits'!$G$2:$G$3873=$A$2)*('Data - Visits'!$E$2:$E$3873=$R$5)*('Data - Visits'!$F$2:$F$3873=S$6)*('Data - Visits'!$I$2:$I$3873)),IF($A$3="Face to face",SUMPRODUCT(('Data - Visits'!$A$2:$A$3873=$A8)*('Data - Visits'!$B$2:$B$3873=$A$2)*('Data - Visits'!$C$2:$C$3873=$R$4)*('Data - Visits'!$D$2:$D$3873=$A$3)*('Data - Visits'!$E$2:$E$3873=$R$5)*('Data - Visits'!$F$2:$F$3873=S$6)*('Data - Visits'!$I$2:$I$3873)),IF($A$3="Virtual","..")))))))))</f>
        <v>2671</v>
      </c>
      <c r="T8" s="27" t="s">
        <v>176</v>
      </c>
      <c r="V8" s="19" t="s">
        <v>9</v>
      </c>
      <c r="W8" s="19" t="s">
        <v>88</v>
      </c>
    </row>
    <row r="9" spans="1:23" x14ac:dyDescent="0.35">
      <c r="A9" s="25" t="s">
        <v>54</v>
      </c>
      <c r="B9" s="51" cm="1">
        <f t="array" ref="B9">IF(AND($A$2="England",OR($A$3="Total")),SUMPRODUCT(('Data - Visits'!$A$2:$A$3873=$A9)*('Data - Visits'!$E$2:$E$3873=$E$5)*('Data - Visits'!$F$2:$F$3873=B$6)*('Data - Visits'!$I$2:$I$3873)),IF(AND($A$3="Total",OR($A$2="Non-metropolitan",$A$2="Metropolitan")),SUMPRODUCT(('Data - Visits'!$A$2:$A$3873=$A9)*('Data - Visits'!$H$2:$H$3873=$A$2)*('Data - Visits'!$E$2:$E$3873=$E$5)*('Data - Visits'!$F$2:$F$3873=B$6)*('Data - Visits'!$I$2:$I$3873)),IF(AND($A$3="Total",OR($A$2="Predominantly Urban",$A$2="Significantly Rural",$A$2="Predominantly Rural")),SUMPRODUCT(('Data - Visits'!$A$2:$A$3873=$A9)*('Data - Visits'!$G$2:$G$3873=$A$2)*('Data - Visits'!$E$2:$E$3873=$E$5)*('Data - Visits'!$F$2:$F$3873=B$6)*('Data - Visits'!$I$2:$I$3873)),IF($A$3="Total",SUMPRODUCT(('Data - Visits'!$A$2:$A$3873=$A9)*('Data - Visits'!$B$2:$B$3873=$A$2)*('Data - Visits'!$E$2:$E$3873=$E$5)*('Data - Visits'!$F$2:$F$3873=B$6)*('Data - Visits'!$I$2:$I$3873)),IF(AND($A$2="England",OR($A$3="Virtual",$A$3="Face to face")),SUMPRODUCT(('Data - Visits'!$A$2:$A$3873=$A9)*('Data - Visits'!$D$2:$D$3873=$A$3)*('Data - Visits'!$E$2:$E$3873=$E$5)*('Data - Visits'!$F$2:$F$3873=B$6)*('Data - Visits'!$I$2:$I$3873)),IF(AND(OR($A$3="Virtual",$A$3="Face to face"),OR($A$2="Non-metropolitan",$A$2="Metropolitan")),SUMPRODUCT(('Data - Visits'!$A$2:$A$3873=$A9)*('Data - Visits'!$D$2:$D$3873=$A$3)*('Data - Visits'!$H$2:$H$3873=$A$2)*('Data - Visits'!$E$2:$E$3873=$E$5)*('Data - Visits'!$F$2:$F$3873=B$6)*('Data - Visits'!$I$2:$I$3873)),IF(AND(OR($A$3="Virtual",$A$3="Face to face"),OR($A$2="Predominantly Urban",$A$2="Significantly Rural",$A$2="Predominantly Rural")),SUMPRODUCT(('Data - Visits'!$A$2:$A$3873=$A9)*('Data - Visits'!$D$2:$D$3873=$A$3)*('Data - Visits'!$G$2:$G$3873=$A$2)*('Data - Visits'!$E$2:$E$3873=$E$5)*('Data - Visits'!$F$2:$F$3873=B$6)*('Data - Visits'!$I$2:$I$3873)),IF(OR($A$3="Virtual",$A$3="Face to face"),SUMPRODUCT(('Data - Visits'!$A$2:$A$3873=$A9)*('Data - Visits'!$B$2:$B$3873=$A$2)*('Data - Visits'!$D$2:$D$3873=$A$3)*('Data - Visits'!$E$2:$E$3873=$E$5)*('Data - Visits'!$F$2:$F$3873=B$6)*('Data - Visits'!$I$2:$I$3873))))))))))</f>
        <v>260998</v>
      </c>
      <c r="C9" s="27" t="s">
        <v>176</v>
      </c>
      <c r="D9" s="27" cm="1">
        <f t="array" ref="D9">IF(AND($A$2="England",OR($A$3="Total")),SUMPRODUCT(('Data - Visits'!$A$2:$A$3873=$A9)*('Data - Visits'!$E$2:$E$3873=$E$5)*('Data - Visits'!$F$2:$F$3873=D$6)*('Data - Visits'!$I$2:$I$3873)),IF(AND($A$3="Total",OR($A$2="Non-metropolitan",$A$2="Metropolitan")),SUMPRODUCT(('Data - Visits'!$A$2:$A$3873=$A9)*('Data - Visits'!$H$2:$H$3873=$A$2)*('Data - Visits'!$E$2:$E$3873=$E$5)*('Data - Visits'!$F$2:$F$3873=D$6)*('Data - Visits'!$I$2:$I$3873)),IF(AND($A$3="Total",OR($A$2="Predominantly Urban",$A$2="Significantly Rural",$A$2="Predominantly Rural")),SUMPRODUCT(('Data - Visits'!$A$2:$A$3873=$A9)*('Data - Visits'!$G$2:$G$3873=$A$2)*('Data - Visits'!$E$2:$E$3873=$E$5)*('Data - Visits'!$F$2:$F$3873=D$6)*('Data - Visits'!$I$2:$I$3873)),IF($A$3="Total",SUMPRODUCT(('Data - Visits'!$A$2:$A$3873=$A9)*('Data - Visits'!$B$2:$B$3873=$A$2)*('Data - Visits'!$E$2:$E$3873=$E$5)*('Data - Visits'!$F$2:$F$3873=D$6)*('Data - Visits'!$I$2:$I$3873)),IF(AND($A$2="England",OR($A$3="Virtual",$A$3="Face to face")),SUMPRODUCT(('Data - Visits'!$A$2:$A$3873=$A9)*('Data - Visits'!$D$2:$D$3873=$A$3)*('Data - Visits'!$E$2:$E$3873=$E$5)*('Data - Visits'!$F$2:$F$3873=D$6)*('Data - Visits'!$I$2:$I$3873)),IF(AND(OR($A$3="Virtual",$A$3="Face to face"),OR($A$2="Non-metropolitan",$A$2="Metropolitan")),SUMPRODUCT(('Data - Visits'!$A$2:$A$3873=$A9)*('Data - Visits'!$D$2:$D$3873=$A$3)*('Data - Visits'!$H$2:$H$3873=$A$2)*('Data - Visits'!$E$2:$E$3873=$E$5)*('Data - Visits'!$F$2:$F$3873=D$6)*('Data - Visits'!$I$2:$I$3873)),IF(AND(OR($A$3="Virtual",$A$3="Face to face"),OR($A$2="Predominantly Urban",$A$2="Significantly Rural",$A$2="Predominantly Rural")),SUMPRODUCT(('Data - Visits'!$A$2:$A$3873=$A9)*('Data - Visits'!$D$2:$D$3873=$A$3)*('Data - Visits'!$G$2:$G$3873=$A$2)*('Data - Visits'!$E$2:$E$3873=$E$5)*('Data - Visits'!$F$2:$F$3873=D$6)*('Data - Visits'!$I$2:$I$3873)),IF(OR($A$3="Virtual",$A$3="Face to face"),SUMPRODUCT(('Data - Visits'!$A$2:$A$3873=$A9)*('Data - Visits'!$B$2:$B$3873=$A$2)*('Data - Visits'!$D$2:$D$3873=$A$3)*('Data - Visits'!$E$2:$E$3873=$E$5)*('Data - Visits'!$F$2:$F$3873=D$6)*('Data - Visits'!$I$2:$I$3873))))))))))</f>
        <v>68853</v>
      </c>
      <c r="E9" s="27" cm="1">
        <f t="array" ref="E9">IF(AND($A$2="England",OR($A$3="Total")),SUMPRODUCT(('Data - Visits'!$A$2:$A$3873=$A9)*('Data - Visits'!$E$2:$E$3873=$E$5)*('Data - Visits'!$F$2:$F$3873=E$6)*('Data - Visits'!$I$2:$I$3873)),IF(AND($A$3="Total",OR($A$2="Non-metropolitan",$A$2="Metropolitan")),SUMPRODUCT(('Data - Visits'!$A$2:$A$3873=$A9)*('Data - Visits'!$H$2:$H$3873=$A$2)*('Data - Visits'!$E$2:$E$3873=$E$5)*('Data - Visits'!$F$2:$F$3873=E$6)*('Data - Visits'!$I$2:$I$3873)),IF(AND($A$3="Total",OR($A$2="Predominantly Urban",$A$2="Significantly Rural",$A$2="Predominantly Rural")),SUMPRODUCT(('Data - Visits'!$A$2:$A$3873=$A9)*('Data - Visits'!$G$2:$G$3873=$A$2)*('Data - Visits'!$E$2:$E$3873=$E$5)*('Data - Visits'!$F$2:$F$3873=E$6)*('Data - Visits'!$I$2:$I$3873)),IF($A$3="Total",SUMPRODUCT(('Data - Visits'!$A$2:$A$3873=$A9)*('Data - Visits'!$B$2:$B$3873=$A$2)*('Data - Visits'!$E$2:$E$3873=$E$5)*('Data - Visits'!$F$2:$F$3873=E$6)*('Data - Visits'!$I$2:$I$3873)),IF(AND($A$2="England",OR($A$3="Virtual",$A$3="Face to face")),SUMPRODUCT(('Data - Visits'!$A$2:$A$3873=$A9)*('Data - Visits'!$D$2:$D$3873=$A$3)*('Data - Visits'!$E$2:$E$3873=$E$5)*('Data - Visits'!$F$2:$F$3873=E$6)*('Data - Visits'!$I$2:$I$3873)),IF(AND(OR($A$3="Virtual",$A$3="Face to face"),OR($A$2="Non-metropolitan",$A$2="Metropolitan")),SUMPRODUCT(('Data - Visits'!$A$2:$A$3873=$A9)*('Data - Visits'!$D$2:$D$3873=$A$3)*('Data - Visits'!$H$2:$H$3873=$A$2)*('Data - Visits'!$E$2:$E$3873=$E$5)*('Data - Visits'!$F$2:$F$3873=E$6)*('Data - Visits'!$I$2:$I$3873)),IF(AND(OR($A$3="Virtual",$A$3="Face to face"),OR($A$2="Predominantly Urban",$A$2="Significantly Rural",$A$2="Predominantly Rural")),SUMPRODUCT(('Data - Visits'!$A$2:$A$3873=$A9)*('Data - Visits'!$D$2:$D$3873=$A$3)*('Data - Visits'!$G$2:$G$3873=$A$2)*('Data - Visits'!$E$2:$E$3873=$E$5)*('Data - Visits'!$F$2:$F$3873=E$6)*('Data - Visits'!$I$2:$I$3873)),IF(OR($A$3="Virtual",$A$3="Face to face"),SUMPRODUCT(('Data - Visits'!$A$2:$A$3873=$A9)*('Data - Visits'!$B$2:$B$3873=$A$2)*('Data - Visits'!$D$2:$D$3873=$A$3)*('Data - Visits'!$E$2:$E$3873=$E$5)*('Data - Visits'!$F$2:$F$3873=E$6)*('Data - Visits'!$I$2:$I$3873))))))))))</f>
        <v>57241</v>
      </c>
      <c r="F9" s="27" cm="1">
        <f t="array" ref="F9">IF(AND($A$2="England",OR($A$3="Total")),SUMPRODUCT(('Data - Visits'!$A$2:$A$3873=$A9)*('Data - Visits'!$E$2:$E$3873=$E$5)*('Data - Visits'!$F$2:$F$3873=F$6)*('Data - Visits'!$I$2:$I$3873)),IF(AND($A$3="Total",OR($A$2="Non-metropolitan",$A$2="Metropolitan")),SUMPRODUCT(('Data - Visits'!$A$2:$A$3873=$A9)*('Data - Visits'!$H$2:$H$3873=$A$2)*('Data - Visits'!$E$2:$E$3873=$E$5)*('Data - Visits'!$F$2:$F$3873=F$6)*('Data - Visits'!$I$2:$I$3873)),IF(AND($A$3="Total",OR($A$2="Predominantly Urban",$A$2="Significantly Rural",$A$2="Predominantly Rural")),SUMPRODUCT(('Data - Visits'!$A$2:$A$3873=$A9)*('Data - Visits'!$G$2:$G$3873=$A$2)*('Data - Visits'!$E$2:$E$3873=$E$5)*('Data - Visits'!$F$2:$F$3873=F$6)*('Data - Visits'!$I$2:$I$3873)),IF($A$3="Total",SUMPRODUCT(('Data - Visits'!$A$2:$A$3873=$A9)*('Data - Visits'!$B$2:$B$3873=$A$2)*('Data - Visits'!$E$2:$E$3873=$E$5)*('Data - Visits'!$F$2:$F$3873=F$6)*('Data - Visits'!$I$2:$I$3873)),IF(AND($A$2="England",OR($A$3="Virtual",$A$3="Face to face")),SUMPRODUCT(('Data - Visits'!$A$2:$A$3873=$A9)*('Data - Visits'!$D$2:$D$3873=$A$3)*('Data - Visits'!$E$2:$E$3873=$E$5)*('Data - Visits'!$F$2:$F$3873=F$6)*('Data - Visits'!$I$2:$I$3873)),IF(AND(OR($A$3="Virtual",$A$3="Face to face"),OR($A$2="Non-metropolitan",$A$2="Metropolitan")),SUMPRODUCT(('Data - Visits'!$A$2:$A$3873=$A9)*('Data - Visits'!$D$2:$D$3873=$A$3)*('Data - Visits'!$H$2:$H$3873=$A$2)*('Data - Visits'!$E$2:$E$3873=$E$5)*('Data - Visits'!$F$2:$F$3873=F$6)*('Data - Visits'!$I$2:$I$3873)),IF(AND(OR($A$3="Virtual",$A$3="Face to face"),OR($A$2="Predominantly Urban",$A$2="Significantly Rural",$A$2="Predominantly Rural")),SUMPRODUCT(('Data - Visits'!$A$2:$A$3873=$A9)*('Data - Visits'!$D$2:$D$3873=$A$3)*('Data - Visits'!$G$2:$G$3873=$A$2)*('Data - Visits'!$E$2:$E$3873=$E$5)*('Data - Visits'!$F$2:$F$3873=F$6)*('Data - Visits'!$I$2:$I$3873)),IF(OR($A$3="Virtual",$A$3="Face to face"),SUMPRODUCT(('Data - Visits'!$A$2:$A$3873=$A9)*('Data - Visits'!$B$2:$B$3873=$A$2)*('Data - Visits'!$D$2:$D$3873=$A$3)*('Data - Visits'!$E$2:$E$3873=$E$5)*('Data - Visits'!$F$2:$F$3873=F$6)*('Data - Visits'!$I$2:$I$3873))))))))))</f>
        <v>23274</v>
      </c>
      <c r="G9" s="27" t="s">
        <v>176</v>
      </c>
      <c r="H9" s="20"/>
      <c r="I9" s="51" cm="1">
        <f t="array" ref="I9">IF(AND($A$2="England",OR($A$3="Total")),SUMPRODUCT(('Data - Visits'!$A$2:$A$3873=$A9)*('Data - Visits'!$C$2:$C$3873=$L$4)*('Data - Visits'!$E$2:$E$3873=$L$5)*('Data - Visits'!$F$2:$F$3873=I$6)*('Data - Visits'!$I$2:$I$3873)),IF(AND($A$3="Total",OR($A$2="Non-metropolitan",$A$2="Metropolitan")),SUMPRODUCT(('Data - Visits'!$A$2:$A$3873=$A9)*('Data - Visits'!$C$2:$C$3873=$L$4)*('Data - Visits'!$H$2:$H$3873=$A$2)*('Data - Visits'!$E$2:$E$3873=$L$5)*('Data - Visits'!$F$2:$F$3873=I$6)*('Data - Visits'!$I$2:$I$3873)),IF(AND($A$3="Total",OR($A$2="Predominantly Urban",$A$2="Significantly Rural",$A$2="Predominantly Rural")),SUMPRODUCT(('Data - Visits'!$A$2:$A$3873=$A9)*('Data - Visits'!$C$2:$C$3873=$L$4)*('Data - Visits'!$G$2:$G$3873=$A$2)*('Data - Visits'!$E$2:$E$3873=$L$5)*('Data - Visits'!$F$2:$F$3873=I$6)*('Data - Visits'!$I$2:$I$3873)),IF($A$3="Total",SUMPRODUCT(('Data - Visits'!$A$2:$A$3873=$A9)*('Data - Visits'!$B$2:$B$3873=$A$2)*('Data - Visits'!$C$2:$C$3873=$L$4)*('Data - Visits'!$E$2:$E$3873=$L$5)*('Data - Visits'!$F$2:$F$3873=I$6)*('Data - Visits'!$I$2:$I$3873)),IF(AND($A$2="England",OR($A$3="Virtual",$A$3="Face to face")),SUMPRODUCT(('Data - Visits'!$A$2:$A$3873=$A9)*('Data - Visits'!$C$2:$C$3873=$L$4)*('Data - Visits'!$D$2:$D$3873=$A$3)*('Data - Visits'!$E$2:$E$3873=$L$5)*('Data - Visits'!$F$2:$F$3873=I$6)*('Data - Visits'!$I$2:$I$3873)),IF(AND(OR($A$3="Virtual",$A$3="Face to face"),OR($A$2="Non-metropolitan",$A$2="Metropolitan")),SUMPRODUCT(('Data - Visits'!$A$2:$A$3873=$A9)*('Data - Visits'!$C$2:$C$3873=$L$4)*('Data - Visits'!$D$2:$D$3873=$A$3)*('Data - Visits'!$H$2:$H$3873=$A$2)*('Data - Visits'!$E$2:$E$3873=$L$5)*('Data - Visits'!$F$2:$F$3873=I$6)*('Data - Visits'!$I$2:$I$3873)),IF(AND(OR($A$3="Virtual",$A$3="Face to face"),OR($A$2="Predominantly Urban",$A$2="Significantly Rural",$A$2="Predominantly Rural")),SUMPRODUCT(('Data - Visits'!$A$2:$A$3873=$A9)*('Data - Visits'!$C$2:$C$3873=$L$4)*('Data - Visits'!$D$2:$D$3873=$A$3)*('Data - Visits'!$G$2:$G$3873=$A$2)*('Data - Visits'!$E$2:$E$3873=$L$5)*('Data - Visits'!$F$2:$F$3873=I$6)*('Data - Visits'!$I$2:$I$3873)),IF(OR($A$3="Virtual",$A$3="Face to face"),SUMPRODUCT(('Data - Visits'!$A$2:$A$3873=$A9)*('Data - Visits'!$B$2:$B$3873=$A$2)*('Data - Visits'!$C$2:$C$3873=$L$4)*('Data - Visits'!$D$2:$D$3873=$A$3)*('Data - Visits'!$E$2:$E$3873=$L$5)*('Data - Visits'!$F$2:$F$3873=I$6)*('Data - Visits'!$I$2:$I$3873))))))))))</f>
        <v>252616</v>
      </c>
      <c r="J9" s="27" cm="1">
        <f t="array" ref="J9">IF(AND($A$2="England",OR($A$3="Total")),SUMPRODUCT(('Data - Visits'!$A$2:$A$3873=$A9)*('Data - Visits'!$C$2:$C$3873=$L$4)*('Data - Visits'!$E$2:$E$3873=$L$5)*('Data - Visits'!$F$2:$F$3873=J$6)*('Data - Visits'!$I$2:$I$3873)),IF(AND($A$3="Total",OR($A$2="Non-metropolitan",$A$2="Metropolitan")),SUMPRODUCT(('Data - Visits'!$A$2:$A$3873=$A9)*('Data - Visits'!$C$2:$C$3873=$L$4)*('Data - Visits'!$H$2:$H$3873=$A$2)*('Data - Visits'!$E$2:$E$3873=$L$5)*('Data - Visits'!$F$2:$F$3873=J$6)*('Data - Visits'!$I$2:$I$3873)),IF(AND($A$3="Total",OR($A$2="Predominantly Urban",$A$2="Significantly Rural",$A$2="Predominantly Rural")),SUMPRODUCT(('Data - Visits'!$A$2:$A$3873=$A9)*('Data - Visits'!$C$2:$C$3873=$L$4)*('Data - Visits'!$G$2:$G$3873=$A$2)*('Data - Visits'!$E$2:$E$3873=$L$5)*('Data - Visits'!$F$2:$F$3873=J$6)*('Data - Visits'!$I$2:$I$3873)),IF($A$3="Total",SUMPRODUCT(('Data - Visits'!$A$2:$A$3873=$A9)*('Data - Visits'!$B$2:$B$3873=$A$2)*('Data - Visits'!$C$2:$C$3873=$L$4)*('Data - Visits'!$E$2:$E$3873=$L$5)*('Data - Visits'!$F$2:$F$3873=J$6)*('Data - Visits'!$I$2:$I$3873)),IF(AND($A$2="England",OR($A$3="Virtual",$A$3="Face to face")),SUMPRODUCT(('Data - Visits'!$A$2:$A$3873=$A9)*('Data - Visits'!$C$2:$C$3873=$L$4)*('Data - Visits'!$D$2:$D$3873=$A$3)*('Data - Visits'!$E$2:$E$3873=$L$5)*('Data - Visits'!$F$2:$F$3873=J$6)*('Data - Visits'!$I$2:$I$3873)),IF(AND(OR($A$3="Virtual",$A$3="Face to face"),OR($A$2="Non-metropolitan",$A$2="Metropolitan")),SUMPRODUCT(('Data - Visits'!$A$2:$A$3873=$A9)*('Data - Visits'!$C$2:$C$3873=$L$4)*('Data - Visits'!$D$2:$D$3873=$A$3)*('Data - Visits'!$H$2:$H$3873=$A$2)*('Data - Visits'!$E$2:$E$3873=$L$5)*('Data - Visits'!$F$2:$F$3873=J$6)*('Data - Visits'!$I$2:$I$3873)),IF(AND(OR($A$3="Virtual",$A$3="Face to face"),OR($A$2="Predominantly Urban",$A$2="Significantly Rural",$A$2="Predominantly Rural")),SUMPRODUCT(('Data - Visits'!$A$2:$A$3873=$A9)*('Data - Visits'!$C$2:$C$3873=$L$4)*('Data - Visits'!$D$2:$D$3873=$A$3)*('Data - Visits'!$G$2:$G$3873=$A$2)*('Data - Visits'!$E$2:$E$3873=$L$5)*('Data - Visits'!$F$2:$F$3873=J$6)*('Data - Visits'!$I$2:$I$3873)),IF(OR($A$3="Virtual",$A$3="Face to face"),SUMPRODUCT(('Data - Visits'!$A$2:$A$3873=$A9)*('Data - Visits'!$B$2:$B$3873=$A$2)*('Data - Visits'!$C$2:$C$3873=$L$4)*('Data - Visits'!$D$2:$D$3873=$A$3)*('Data - Visits'!$E$2:$E$3873=$L$5)*('Data - Visits'!$F$2:$F$3873=J$6)*('Data - Visits'!$I$2:$I$3873))))))))))</f>
        <v>139400</v>
      </c>
      <c r="K9" s="27" cm="1">
        <f t="array" ref="K9">IF(AND($A$2="England",OR($A$3="Total")),SUMPRODUCT(('Data - Visits'!$A$2:$A$3873=$A9)*('Data - Visits'!$C$2:$C$3873=$L$4)*('Data - Visits'!$E$2:$E$3873=$L$5)*('Data - Visits'!$F$2:$F$3873=K$6)*('Data - Visits'!$I$2:$I$3873)),IF(AND($A$3="Total",OR($A$2="Non-metropolitan",$A$2="Metropolitan")),SUMPRODUCT(('Data - Visits'!$A$2:$A$3873=$A9)*('Data - Visits'!$C$2:$C$3873=$L$4)*('Data - Visits'!$H$2:$H$3873=$A$2)*('Data - Visits'!$E$2:$E$3873=$L$5)*('Data - Visits'!$F$2:$F$3873=K$6)*('Data - Visits'!$I$2:$I$3873)),IF(AND($A$3="Total",OR($A$2="Predominantly Urban",$A$2="Significantly Rural",$A$2="Predominantly Rural")),SUMPRODUCT(('Data - Visits'!$A$2:$A$3873=$A9)*('Data - Visits'!$C$2:$C$3873=$L$4)*('Data - Visits'!$G$2:$G$3873=$A$2)*('Data - Visits'!$E$2:$E$3873=$L$5)*('Data - Visits'!$F$2:$F$3873=K$6)*('Data - Visits'!$I$2:$I$3873)),IF($A$3="Total",SUMPRODUCT(('Data - Visits'!$A$2:$A$3873=$A9)*('Data - Visits'!$B$2:$B$3873=$A$2)*('Data - Visits'!$C$2:$C$3873=$L$4)*('Data - Visits'!$E$2:$E$3873=$L$5)*('Data - Visits'!$F$2:$F$3873=K$6)*('Data - Visits'!$I$2:$I$3873)),IF(AND($A$2="England",OR($A$3="Virtual",$A$3="Face to face")),SUMPRODUCT(('Data - Visits'!$A$2:$A$3873=$A9)*('Data - Visits'!$C$2:$C$3873=$L$4)*('Data - Visits'!$D$2:$D$3873=$A$3)*('Data - Visits'!$E$2:$E$3873=$L$5)*('Data - Visits'!$F$2:$F$3873=K$6)*('Data - Visits'!$I$2:$I$3873)),IF(AND(OR($A$3="Virtual",$A$3="Face to face"),OR($A$2="Non-metropolitan",$A$2="Metropolitan")),SUMPRODUCT(('Data - Visits'!$A$2:$A$3873=$A9)*('Data - Visits'!$C$2:$C$3873=$L$4)*('Data - Visits'!$D$2:$D$3873=$A$3)*('Data - Visits'!$H$2:$H$3873=$A$2)*('Data - Visits'!$E$2:$E$3873=$L$5)*('Data - Visits'!$F$2:$F$3873=K$6)*('Data - Visits'!$I$2:$I$3873)),IF(AND(OR($A$3="Virtual",$A$3="Face to face"),OR($A$2="Predominantly Urban",$A$2="Significantly Rural",$A$2="Predominantly Rural")),SUMPRODUCT(('Data - Visits'!$A$2:$A$3873=$A9)*('Data - Visits'!$C$2:$C$3873=$L$4)*('Data - Visits'!$D$2:$D$3873=$A$3)*('Data - Visits'!$G$2:$G$3873=$A$2)*('Data - Visits'!$E$2:$E$3873=$L$5)*('Data - Visits'!$F$2:$F$3873=K$6)*('Data - Visits'!$I$2:$I$3873)),IF(OR($A$3="Virtual",$A$3="Face to face"),SUMPRODUCT(('Data - Visits'!$A$2:$A$3873=$A9)*('Data - Visits'!$B$2:$B$3873=$A$2)*('Data - Visits'!$C$2:$C$3873=$L$4)*('Data - Visits'!$D$2:$D$3873=$A$3)*('Data - Visits'!$E$2:$E$3873=$L$5)*('Data - Visits'!$F$2:$F$3873=K$6)*('Data - Visits'!$I$2:$I$3873))))))))))</f>
        <v>67627</v>
      </c>
      <c r="L9" s="27" cm="1">
        <f t="array" ref="L9">IF(AND($A$2="England",OR($A$3="Total")),SUMPRODUCT(('Data - Visits'!$A$2:$A$3873=$A9)*('Data - Visits'!$C$2:$C$3873=$L$4)*('Data - Visits'!$E$2:$E$3873=$L$5)*('Data - Visits'!$F$2:$F$3873=L$6)*('Data - Visits'!$I$2:$I$3873)),IF(AND($A$3="Total",OR($A$2="Non-metropolitan",$A$2="Metropolitan")),SUMPRODUCT(('Data - Visits'!$A$2:$A$3873=$A9)*('Data - Visits'!$C$2:$C$3873=$L$4)*('Data - Visits'!$H$2:$H$3873=$A$2)*('Data - Visits'!$E$2:$E$3873=$L$5)*('Data - Visits'!$F$2:$F$3873=L$6)*('Data - Visits'!$I$2:$I$3873)),IF(AND($A$3="Total",OR($A$2="Predominantly Urban",$A$2="Significantly Rural",$A$2="Predominantly Rural")),SUMPRODUCT(('Data - Visits'!$A$2:$A$3873=$A9)*('Data - Visits'!$C$2:$C$3873=$L$4)*('Data - Visits'!$G$2:$G$3873=$A$2)*('Data - Visits'!$E$2:$E$3873=$L$5)*('Data - Visits'!$F$2:$F$3873=L$6)*('Data - Visits'!$I$2:$I$3873)),IF($A$3="Total",SUMPRODUCT(('Data - Visits'!$A$2:$A$3873=$A9)*('Data - Visits'!$B$2:$B$3873=$A$2)*('Data - Visits'!$C$2:$C$3873=$L$4)*('Data - Visits'!$E$2:$E$3873=$L$5)*('Data - Visits'!$F$2:$F$3873=L$6)*('Data - Visits'!$I$2:$I$3873)),IF(AND($A$2="England",OR($A$3="Virtual",$A$3="Face to face")),SUMPRODUCT(('Data - Visits'!$A$2:$A$3873=$A9)*('Data - Visits'!$C$2:$C$3873=$L$4)*('Data - Visits'!$D$2:$D$3873=$A$3)*('Data - Visits'!$E$2:$E$3873=$L$5)*('Data - Visits'!$F$2:$F$3873=L$6)*('Data - Visits'!$I$2:$I$3873)),IF(AND(OR($A$3="Virtual",$A$3="Face to face"),OR($A$2="Non-metropolitan",$A$2="Metropolitan")),SUMPRODUCT(('Data - Visits'!$A$2:$A$3873=$A9)*('Data - Visits'!$C$2:$C$3873=$L$4)*('Data - Visits'!$D$2:$D$3873=$A$3)*('Data - Visits'!$H$2:$H$3873=$A$2)*('Data - Visits'!$E$2:$E$3873=$L$5)*('Data - Visits'!$F$2:$F$3873=L$6)*('Data - Visits'!$I$2:$I$3873)),IF(AND(OR($A$3="Virtual",$A$3="Face to face"),OR($A$2="Predominantly Urban",$A$2="Significantly Rural",$A$2="Predominantly Rural")),SUMPRODUCT(('Data - Visits'!$A$2:$A$3873=$A9)*('Data - Visits'!$C$2:$C$3873=$L$4)*('Data - Visits'!$D$2:$D$3873=$A$3)*('Data - Visits'!$G$2:$G$3873=$A$2)*('Data - Visits'!$E$2:$E$3873=$L$5)*('Data - Visits'!$F$2:$F$3873=L$6)*('Data - Visits'!$I$2:$I$3873)),IF(OR($A$3="Virtual",$A$3="Face to face"),SUMPRODUCT(('Data - Visits'!$A$2:$A$3873=$A9)*('Data - Visits'!$B$2:$B$3873=$A$2)*('Data - Visits'!$C$2:$C$3873=$L$4)*('Data - Visits'!$D$2:$D$3873=$A$3)*('Data - Visits'!$E$2:$E$3873=$L$5)*('Data - Visits'!$F$2:$F$3873=L$6)*('Data - Visits'!$I$2:$I$3873))))))))))</f>
        <v>55869</v>
      </c>
      <c r="M9" s="27" cm="1">
        <f t="array" ref="M9">IF(AND($A$2="England",OR($A$3="Total")),SUMPRODUCT(('Data - Visits'!$A$2:$A$3873=$A9)*('Data - Visits'!$C$2:$C$3873=$L$4)*('Data - Visits'!$E$2:$E$3873=$L$5)*('Data - Visits'!$F$2:$F$3873=M$6)*('Data - Visits'!$I$2:$I$3873)),IF(AND($A$3="Total",OR($A$2="Non-metropolitan",$A$2="Metropolitan")),SUMPRODUCT(('Data - Visits'!$A$2:$A$3873=$A9)*('Data - Visits'!$C$2:$C$3873=$L$4)*('Data - Visits'!$H$2:$H$3873=$A$2)*('Data - Visits'!$E$2:$E$3873=$L$5)*('Data - Visits'!$F$2:$F$3873=M$6)*('Data - Visits'!$I$2:$I$3873)),IF(AND($A$3="Total",OR($A$2="Predominantly Urban",$A$2="Significantly Rural",$A$2="Predominantly Rural")),SUMPRODUCT(('Data - Visits'!$A$2:$A$3873=$A9)*('Data - Visits'!$C$2:$C$3873=$L$4)*('Data - Visits'!$G$2:$G$3873=$A$2)*('Data - Visits'!$E$2:$E$3873=$L$5)*('Data - Visits'!$F$2:$F$3873=M$6)*('Data - Visits'!$I$2:$I$3873)),IF($A$3="Total",SUMPRODUCT(('Data - Visits'!$A$2:$A$3873=$A9)*('Data - Visits'!$B$2:$B$3873=$A$2)*('Data - Visits'!$C$2:$C$3873=$L$4)*('Data - Visits'!$E$2:$E$3873=$L$5)*('Data - Visits'!$F$2:$F$3873=M$6)*('Data - Visits'!$I$2:$I$3873)),IF(AND($A$2="England",OR($A$3="Virtual",$A$3="Face to face")),SUMPRODUCT(('Data - Visits'!$A$2:$A$3873=$A9)*('Data - Visits'!$C$2:$C$3873=$L$4)*('Data - Visits'!$D$2:$D$3873=$A$3)*('Data - Visits'!$E$2:$E$3873=$L$5)*('Data - Visits'!$F$2:$F$3873=M$6)*('Data - Visits'!$I$2:$I$3873)),IF(AND(OR($A$3="Virtual",$A$3="Face to face"),OR($A$2="Non-metropolitan",$A$2="Metropolitan")),SUMPRODUCT(('Data - Visits'!$A$2:$A$3873=$A9)*('Data - Visits'!$C$2:$C$3873=$L$4)*('Data - Visits'!$D$2:$D$3873=$A$3)*('Data - Visits'!$H$2:$H$3873=$A$2)*('Data - Visits'!$E$2:$E$3873=$L$5)*('Data - Visits'!$F$2:$F$3873=M$6)*('Data - Visits'!$I$2:$I$3873)),IF(AND(OR($A$3="Virtual",$A$3="Face to face"),OR($A$2="Predominantly Urban",$A$2="Significantly Rural",$A$2="Predominantly Rural")),SUMPRODUCT(('Data - Visits'!$A$2:$A$3873=$A9)*('Data - Visits'!$C$2:$C$3873=$L$4)*('Data - Visits'!$D$2:$D$3873=$A$3)*('Data - Visits'!$G$2:$G$3873=$A$2)*('Data - Visits'!$E$2:$E$3873=$L$5)*('Data - Visits'!$F$2:$F$3873=M$6)*('Data - Visits'!$I$2:$I$3873)),IF(OR($A$3="Virtual",$A$3="Face to face"),SUMPRODUCT(('Data - Visits'!$A$2:$A$3873=$A9)*('Data - Visits'!$B$2:$B$3873=$A$2)*('Data - Visits'!$C$2:$C$3873=$L$4)*('Data - Visits'!$D$2:$D$3873=$A$3)*('Data - Visits'!$E$2:$E$3873=$L$5)*('Data - Visits'!$F$2:$F$3873=M$6)*('Data - Visits'!$I$2:$I$3873))))))))))</f>
        <v>22163</v>
      </c>
      <c r="N9" s="27">
        <f t="shared" ref="N9:N10" si="0">I9-J9</f>
        <v>113216</v>
      </c>
      <c r="O9" s="50"/>
      <c r="P9" s="51" cm="1">
        <f t="array" ref="P9">IF(AND($A$2="England",OR($A$3="Total")),SUMPRODUCT(('Data - Visits'!$A$2:$A$3873=$A9)*('Data - Visits'!$C$2:$C$3873=$R$4)*('Data - Visits'!$E$2:$E$3873=$R$5)*('Data - Visits'!$F$2:$F$3873=P$6)*('Data - Visits'!$I$2:$I$3873)),IF(AND($A$3="Total",OR($A$2="Non-metropolitan",$A$2="Metropolitan")),SUMPRODUCT(('Data - Visits'!$A$2:$A$3873=$A9)*('Data - Visits'!$C$2:$C$3873=$R$4)*('Data - Visits'!$H$2:$H$3873=$A$2)*('Data - Visits'!$E$2:$E$3873=$R$5)*('Data - Visits'!$F$2:$F$3873=P$6)*('Data - Visits'!$I$2:$I$3873)),IF(AND($A$3="Total",OR($A$2="Predominantly Urban",$A$2="Significantly Rural",$A$2="Predominantly Rural")),SUMPRODUCT(('Data - Visits'!$A$2:$A$3873=$A9)*('Data - Visits'!$C$2:$C$3873=$R$4)*('Data - Visits'!$G$2:$G$3873=$A$2)*('Data - Visits'!$E$2:$E$3873=$R$5)*('Data - Visits'!$F$2:$F$3873=P$6)*('Data - Visits'!$I$2:$I$3873)),IF($A$3="Total",SUMPRODUCT(('Data - Visits'!$A$2:$A$3873=$A9)*('Data - Visits'!$B$2:$B$3873=$A$2)*('Data - Visits'!$C$2:$C$3873=$R$4)*('Data - Visits'!$E$2:$E$3873=$R$5)*('Data - Visits'!$F$2:$F$3873=P$6)*('Data - Visits'!$I$2:$I$3873)),IF(AND($A$2="England",OR($A$3="Virtual",$A$3="Face to face")),SUMPRODUCT(('Data - Visits'!$A$2:$A$3873=$A9)*('Data - Visits'!$C$2:$C$3873=$R$4)*('Data - Visits'!$D$2:$D$3873=$A$3)*('Data - Visits'!$E$2:$E$3873=$R$5)*('Data - Visits'!$F$2:$F$3873=P$6)*('Data - Visits'!$I$2:$I$3873)),IF(AND(OR($A$3="Virtual",$A$3="Face to face"),OR($A$2="Non-metropolitan",$A$2="Metropolitan")),SUMPRODUCT(('Data - Visits'!$A$2:$A$3873=$A9)*('Data - Visits'!$C$2:$C$3873=$R$4)*('Data - Visits'!$D$2:$D$3873=$A$3)*('Data - Visits'!$H$2:$H$3873=$A$2)*('Data - Visits'!$E$2:$E$3873=$R$5)*('Data - Visits'!$F$2:$F$3873=P$6)*('Data - Visits'!$I$2:$I$3873)),IF(AND(OR($A$3="Virtual",$A$3="Face to face"),OR($A$2="Predominantly Urban",$A$2="Significantly Rural",$A$2="Predominantly Rural")),SUMPRODUCT(('Data - Visits'!$A$2:$A$3873=$A9)*('Data - Visits'!$C$2:$C$3873=$R$4)*('Data - Visits'!$D$2:$D$3873=$A$3)*('Data - Visits'!$G$2:$G$3873=$A$2)*('Data - Visits'!$E$2:$E$3873=$R$5)*('Data - Visits'!$F$2:$F$3873=P$6)*('Data - Visits'!$I$2:$I$3873)),IF(OR($A$3="Virtual",$A$3="Face to face"),SUMPRODUCT(('Data - Visits'!$A$2:$A$3873=$A9)*('Data - Visits'!$B$2:$B$3873=$A$2)*('Data - Visits'!$C$2:$C$3873=$R$4)*('Data - Visits'!$D$2:$D$3873=$A$3)*('Data - Visits'!$E$2:$E$3873=$R$5)*('Data - Visits'!$F$2:$F$3873=P$6)*('Data - Visits'!$I$2:$I$3873))))))))))</f>
        <v>8382</v>
      </c>
      <c r="Q9" s="51" cm="1">
        <f t="array" ref="Q9">IF(AND($A$2="England",OR($A$3="Total")),SUMPRODUCT(('Data - Visits'!$A$2:$A$3873=$A9)*('Data - Visits'!$C$2:$C$3873=$R$4)*('Data - Visits'!$E$2:$E$3873=$R$5)*('Data - Visits'!$F$2:$F$3873=Q$6)*('Data - Visits'!$I$2:$I$3873)),IF(AND($A$3="Total",OR($A$2="Non-metropolitan",$A$2="Metropolitan")),SUMPRODUCT(('Data - Visits'!$A$2:$A$3873=$A9)*('Data - Visits'!$C$2:$C$3873=$R$4)*('Data - Visits'!$H$2:$H$3873=$A$2)*('Data - Visits'!$E$2:$E$3873=$R$5)*('Data - Visits'!$F$2:$F$3873=Q$6)*('Data - Visits'!$I$2:$I$3873)),IF(AND($A$3="Total",OR($A$2="Predominantly Urban",$A$2="Significantly Rural",$A$2="Predominantly Rural")),SUMPRODUCT(('Data - Visits'!$A$2:$A$3873=$A9)*('Data - Visits'!$C$2:$C$3873=$R$4)*('Data - Visits'!$G$2:$G$3873=$A$2)*('Data - Visits'!$E$2:$E$3873=$R$5)*('Data - Visits'!$F$2:$F$3873=Q$6)*('Data - Visits'!$I$2:$I$3873)),IF($A$3="Total",SUMPRODUCT(('Data - Visits'!$A$2:$A$3873=$A9)*('Data - Visits'!$B$2:$B$3873=$A$2)*('Data - Visits'!$C$2:$C$3873=$R$4)*('Data - Visits'!$E$2:$E$3873=$R$5)*('Data - Visits'!$F$2:$F$3873=Q$6)*('Data - Visits'!$I$2:$I$3873)),IF(AND($A$2="England",OR($A$3="Virtual",$A$3="Face to face")),SUMPRODUCT(('Data - Visits'!$A$2:$A$3873=$A9)*('Data - Visits'!$C$2:$C$3873=$R$4)*('Data - Visits'!$D$2:$D$3873=$A$3)*('Data - Visits'!$E$2:$E$3873=$R$5)*('Data - Visits'!$F$2:$F$3873=Q$6)*('Data - Visits'!$I$2:$I$3873)),IF(AND(OR($A$3="Virtual",$A$3="Face to face"),OR($A$2="Non-metropolitan",$A$2="Metropolitan")),SUMPRODUCT(('Data - Visits'!$A$2:$A$3873=$A9)*('Data - Visits'!$C$2:$C$3873=$R$4)*('Data - Visits'!$D$2:$D$3873=$A$3)*('Data - Visits'!$H$2:$H$3873=$A$2)*('Data - Visits'!$E$2:$E$3873=$R$5)*('Data - Visits'!$F$2:$F$3873=Q$6)*('Data - Visits'!$I$2:$I$3873)),IF(AND(OR($A$3="Virtual",$A$3="Face to face"),OR($A$2="Predominantly Urban",$A$2="Significantly Rural",$A$2="Predominantly Rural")),SUMPRODUCT(('Data - Visits'!$A$2:$A$3873=$A9)*('Data - Visits'!$C$2:$C$3873=$R$4)*('Data - Visits'!$D$2:$D$3873=$A$3)*('Data - Visits'!$G$2:$G$3873=$A$2)*('Data - Visits'!$E$2:$E$3873=$R$5)*('Data - Visits'!$F$2:$F$3873=Q$6)*('Data - Visits'!$I$2:$I$3873)),IF(OR($A$3="Virtual",$A$3="Face to face"),SUMPRODUCT(('Data - Visits'!$A$2:$A$3873=$A9)*('Data - Visits'!$B$2:$B$3873=$A$2)*('Data - Visits'!$C$2:$C$3873=$R$4)*('Data - Visits'!$D$2:$D$3873=$A$3)*('Data - Visits'!$E$2:$E$3873=$R$5)*('Data - Visits'!$F$2:$F$3873=Q$6)*('Data - Visits'!$I$2:$I$3873))))))))))</f>
        <v>1226</v>
      </c>
      <c r="R9" s="51" cm="1">
        <f t="array" ref="R9">IF(AND($A$2="England",OR($A$3="Total")),SUMPRODUCT(('Data - Visits'!$A$2:$A$3873=$A9)*('Data - Visits'!$C$2:$C$3873=$R$4)*('Data - Visits'!$E$2:$E$3873=$R$5)*('Data - Visits'!$F$2:$F$3873=R$6)*('Data - Visits'!$I$2:$I$3873)),IF(AND($A$3="Total",OR($A$2="Non-metropolitan",$A$2="Metropolitan")),SUMPRODUCT(('Data - Visits'!$A$2:$A$3873=$A9)*('Data - Visits'!$C$2:$C$3873=$R$4)*('Data - Visits'!$H$2:$H$3873=$A$2)*('Data - Visits'!$E$2:$E$3873=$R$5)*('Data - Visits'!$F$2:$F$3873=R$6)*('Data - Visits'!$I$2:$I$3873)),IF(AND($A$3="Total",OR($A$2="Predominantly Urban",$A$2="Significantly Rural",$A$2="Predominantly Rural")),SUMPRODUCT(('Data - Visits'!$A$2:$A$3873=$A9)*('Data - Visits'!$C$2:$C$3873=$R$4)*('Data - Visits'!$G$2:$G$3873=$A$2)*('Data - Visits'!$E$2:$E$3873=$R$5)*('Data - Visits'!$F$2:$F$3873=R$6)*('Data - Visits'!$I$2:$I$3873)),IF($A$3="Total",SUMPRODUCT(('Data - Visits'!$A$2:$A$3873=$A9)*('Data - Visits'!$B$2:$B$3873=$A$2)*('Data - Visits'!$C$2:$C$3873=$R$4)*('Data - Visits'!$E$2:$E$3873=$R$5)*('Data - Visits'!$F$2:$F$3873=R$6)*('Data - Visits'!$I$2:$I$3873)),IF(AND($A$2="England",OR($A$3="Virtual",$A$3="Face to face")),SUMPRODUCT(('Data - Visits'!$A$2:$A$3873=$A9)*('Data - Visits'!$C$2:$C$3873=$R$4)*('Data - Visits'!$D$2:$D$3873=$A$3)*('Data - Visits'!$E$2:$E$3873=$R$5)*('Data - Visits'!$F$2:$F$3873=R$6)*('Data - Visits'!$I$2:$I$3873)),IF(AND(OR($A$3="Virtual",$A$3="Face to face"),OR($A$2="Non-metropolitan",$A$2="Metropolitan")),SUMPRODUCT(('Data - Visits'!$A$2:$A$3873=$A9)*('Data - Visits'!$C$2:$C$3873=$R$4)*('Data - Visits'!$D$2:$D$3873=$A$3)*('Data - Visits'!$H$2:$H$3873=$A$2)*('Data - Visits'!$E$2:$E$3873=$R$5)*('Data - Visits'!$F$2:$F$3873=R$6)*('Data - Visits'!$I$2:$I$3873)),IF(AND(OR($A$3="Virtual",$A$3="Face to face"),OR($A$2="Predominantly Urban",$A$2="Significantly Rural",$A$2="Predominantly Rural")),SUMPRODUCT(('Data - Visits'!$A$2:$A$3873=$A9)*('Data - Visits'!$C$2:$C$3873=$R$4)*('Data - Visits'!$D$2:$D$3873=$A$3)*('Data - Visits'!$G$2:$G$3873=$A$2)*('Data - Visits'!$E$2:$E$3873=$R$5)*('Data - Visits'!$F$2:$F$3873=R$6)*('Data - Visits'!$I$2:$I$3873)),IF(OR($A$3="Virtual",$A$3="Face to face"),SUMPRODUCT(('Data - Visits'!$A$2:$A$3873=$A9)*('Data - Visits'!$B$2:$B$3873=$A$2)*('Data - Visits'!$C$2:$C$3873=$R$4)*('Data - Visits'!$D$2:$D$3873=$A$3)*('Data - Visits'!$E$2:$E$3873=$R$5)*('Data - Visits'!$F$2:$F$3873=R$6)*('Data - Visits'!$I$2:$I$3873))))))))))</f>
        <v>1372</v>
      </c>
      <c r="S9" s="51" cm="1">
        <f t="array" ref="S9">IF(AND($A$2="England",OR($A$3="Total")),SUMPRODUCT(('Data - Visits'!$A$2:$A$3873=$A9)*('Data - Visits'!$C$2:$C$3873=$R$4)*('Data - Visits'!$E$2:$E$3873=$R$5)*('Data - Visits'!$F$2:$F$3873=S$6)*('Data - Visits'!$I$2:$I$3873)),IF(AND($A$3="Total",OR($A$2="Non-metropolitan",$A$2="Metropolitan")),SUMPRODUCT(('Data - Visits'!$A$2:$A$3873=$A9)*('Data - Visits'!$C$2:$C$3873=$R$4)*('Data - Visits'!$H$2:$H$3873=$A$2)*('Data - Visits'!$E$2:$E$3873=$R$5)*('Data - Visits'!$F$2:$F$3873=S$6)*('Data - Visits'!$I$2:$I$3873)),IF(AND($A$3="Total",OR($A$2="Predominantly Urban",$A$2="Significantly Rural",$A$2="Predominantly Rural")),SUMPRODUCT(('Data - Visits'!$A$2:$A$3873=$A9)*('Data - Visits'!$C$2:$C$3873=$R$4)*('Data - Visits'!$G$2:$G$3873=$A$2)*('Data - Visits'!$E$2:$E$3873=$R$5)*('Data - Visits'!$F$2:$F$3873=S$6)*('Data - Visits'!$I$2:$I$3873)),IF($A$3="Total",SUMPRODUCT(('Data - Visits'!$A$2:$A$3873=$A9)*('Data - Visits'!$B$2:$B$3873=$A$2)*('Data - Visits'!$C$2:$C$3873=$R$4)*('Data - Visits'!$E$2:$E$3873=$R$5)*('Data - Visits'!$F$2:$F$3873=S$6)*('Data - Visits'!$I$2:$I$3873)),IF(AND($A$2="England",OR($A$3="Virtual",$A$3="Face to face")),SUMPRODUCT(('Data - Visits'!$A$2:$A$3873=$A9)*('Data - Visits'!$C$2:$C$3873=$R$4)*('Data - Visits'!$D$2:$D$3873=$A$3)*('Data - Visits'!$E$2:$E$3873=$R$5)*('Data - Visits'!$F$2:$F$3873=S$6)*('Data - Visits'!$I$2:$I$3873)),IF(AND(OR($A$3="Virtual",$A$3="Face to face"),OR($A$2="Non-metropolitan",$A$2="Metropolitan")),SUMPRODUCT(('Data - Visits'!$A$2:$A$3873=$A9)*('Data - Visits'!$C$2:$C$3873=$R$4)*('Data - Visits'!$D$2:$D$3873=$A$3)*('Data - Visits'!$H$2:$H$3873=$A$2)*('Data - Visits'!$E$2:$E$3873=$R$5)*('Data - Visits'!$F$2:$F$3873=S$6)*('Data - Visits'!$I$2:$I$3873)),IF(AND(OR($A$3="Virtual",$A$3="Face to face"),OR($A$2="Predominantly Urban",$A$2="Significantly Rural",$A$2="Predominantly Rural")),SUMPRODUCT(('Data - Visits'!$A$2:$A$3873=$A9)*('Data - Visits'!$C$2:$C$3873=$R$4)*('Data - Visits'!$D$2:$D$3873=$A$3)*('Data - Visits'!$G$2:$G$3873=$A$2)*('Data - Visits'!$E$2:$E$3873=$R$5)*('Data - Visits'!$F$2:$F$3873=S$6)*('Data - Visits'!$I$2:$I$3873)),IF(OR($A$3="Virtual",$A$3="Face to face"),SUMPRODUCT(('Data - Visits'!$A$2:$A$3873=$A9)*('Data - Visits'!$B$2:$B$3873=$A$2)*('Data - Visits'!$C$2:$C$3873=$R$4)*('Data - Visits'!$D$2:$D$3873=$A$3)*('Data - Visits'!$E$2:$E$3873=$R$5)*('Data - Visits'!$F$2:$F$3873=S$6)*('Data - Visits'!$I$2:$I$3873))))))))))</f>
        <v>1111</v>
      </c>
      <c r="T9" s="27">
        <f t="shared" ref="T9:T10" si="1">P9-SUM(Q9:S9)</f>
        <v>4673</v>
      </c>
      <c r="V9" s="19" t="s">
        <v>55</v>
      </c>
      <c r="W9" s="19" t="s">
        <v>92</v>
      </c>
    </row>
    <row r="10" spans="1:23" x14ac:dyDescent="0.35">
      <c r="A10" s="25" t="s">
        <v>56</v>
      </c>
      <c r="B10" s="51" cm="1">
        <f t="array" ref="B10">IF(AND($A$2="England",OR($A$3="Total")),SUMPRODUCT(('Data - Visits'!$A$2:$A$3873=$A10)*('Data - Visits'!$E$2:$E$3873=$E$5)*('Data - Visits'!$F$2:$F$3873=B$6)*('Data - Visits'!$I$2:$I$3873)),IF(AND($A$3="Total",OR($A$2="Non-metropolitan",$A$2="Metropolitan")),SUMPRODUCT(('Data - Visits'!$A$2:$A$3873=$A10)*('Data - Visits'!$H$2:$H$3873=$A$2)*('Data - Visits'!$E$2:$E$3873=$E$5)*('Data - Visits'!$F$2:$F$3873=B$6)*('Data - Visits'!$I$2:$I$3873)),IF(AND($A$3="Total",OR($A$2="Predominantly Urban",$A$2="Significantly Rural",$A$2="Predominantly Rural")),SUMPRODUCT(('Data - Visits'!$A$2:$A$3873=$A10)*('Data - Visits'!$G$2:$G$3873=$A$2)*('Data - Visits'!$E$2:$E$3873=$E$5)*('Data - Visits'!$F$2:$F$3873=B$6)*('Data - Visits'!$I$2:$I$3873)),IF($A$3="Total",SUMPRODUCT(('Data - Visits'!$A$2:$A$3873=$A10)*('Data - Visits'!$B$2:$B$3873=$A$2)*('Data - Visits'!$E$2:$E$3873=$E$5)*('Data - Visits'!$F$2:$F$3873=B$6)*('Data - Visits'!$I$2:$I$3873)),IF(AND($A$2="England",OR($A$3="Virtual",$A$3="Face to face")),SUMPRODUCT(('Data - Visits'!$A$2:$A$3873=$A10)*('Data - Visits'!$D$2:$D$3873=$A$3)*('Data - Visits'!$E$2:$E$3873=$E$5)*('Data - Visits'!$F$2:$F$3873=B$6)*('Data - Visits'!$I$2:$I$3873)),IF(AND(OR($A$3="Virtual",$A$3="Face to face"),OR($A$2="Non-metropolitan",$A$2="Metropolitan")),SUMPRODUCT(('Data - Visits'!$A$2:$A$3873=$A10)*('Data - Visits'!$D$2:$D$3873=$A$3)*('Data - Visits'!$H$2:$H$3873=$A$2)*('Data - Visits'!$E$2:$E$3873=$E$5)*('Data - Visits'!$F$2:$F$3873=B$6)*('Data - Visits'!$I$2:$I$3873)),IF(AND(OR($A$3="Virtual",$A$3="Face to face"),OR($A$2="Predominantly Urban",$A$2="Significantly Rural",$A$2="Predominantly Rural")),SUMPRODUCT(('Data - Visits'!$A$2:$A$3873=$A10)*('Data - Visits'!$D$2:$D$3873=$A$3)*('Data - Visits'!$G$2:$G$3873=$A$2)*('Data - Visits'!$E$2:$E$3873=$E$5)*('Data - Visits'!$F$2:$F$3873=B$6)*('Data - Visits'!$I$2:$I$3873)),IF(OR($A$3="Virtual",$A$3="Face to face"),SUMPRODUCT(('Data - Visits'!$A$2:$A$3873=$A10)*('Data - Visits'!$B$2:$B$3873=$A$2)*('Data - Visits'!$D$2:$D$3873=$A$3)*('Data - Visits'!$E$2:$E$3873=$E$5)*('Data - Visits'!$F$2:$F$3873=B$6)*('Data - Visits'!$I$2:$I$3873))))))))))</f>
        <v>440381</v>
      </c>
      <c r="C10" s="27" cm="1">
        <f t="array" ref="C10">IF(AND($A$2="England",OR($A$3="Total")),SUMPRODUCT(('Data - Visits'!$A$2:$A$3873=$A10)*('Data - Visits'!$E$2:$E$3873=$E$5)*('Data - Visits'!$F$2:$F$3873=C$6)*('Data - Visits'!$I$2:$I$3873)),IF(AND($A$3="Total",OR($A$2="Non-metropolitan",$A$2="Metropolitan")),SUMPRODUCT(('Data - Visits'!$A$2:$A$3873=$A10)*('Data - Visits'!$H$2:$H$3873=$A$2)*('Data - Visits'!$E$2:$E$3873=$E$5)*('Data - Visits'!$F$2:$F$3873=C$6)*('Data - Visits'!$I$2:$I$3873)),IF(AND($A$3="Total",OR($A$2="Predominantly Urban",$A$2="Significantly Rural",$A$2="Predominantly Rural")),SUMPRODUCT(('Data - Visits'!$A$2:$A$3873=$A10)*('Data - Visits'!$G$2:$G$3873=$A$2)*('Data - Visits'!$E$2:$E$3873=$E$5)*('Data - Visits'!$F$2:$F$3873=C$6)*('Data - Visits'!$I$2:$I$3873)),IF($A$3="Total",SUMPRODUCT(('Data - Visits'!$A$2:$A$3873=$A10)*('Data - Visits'!$B$2:$B$3873=$A$2)*('Data - Visits'!$E$2:$E$3873=$E$5)*('Data - Visits'!$F$2:$F$3873=C$6)*('Data - Visits'!$I$2:$I$3873)),IF(AND($A$2="England",OR($A$3="Virtual",$A$3="Face to face")),SUMPRODUCT(('Data - Visits'!$A$2:$A$3873=$A10)*('Data - Visits'!$D$2:$D$3873=$A$3)*('Data - Visits'!$E$2:$E$3873=$E$5)*('Data - Visits'!$F$2:$F$3873=C$6)*('Data - Visits'!$I$2:$I$3873)),IF(AND(OR($A$3="Virtual",$A$3="Face to face"),OR($A$2="Non-metropolitan",$A$2="Metropolitan")),SUMPRODUCT(('Data - Visits'!$A$2:$A$3873=$A10)*('Data - Visits'!$D$2:$D$3873=$A$3)*('Data - Visits'!$H$2:$H$3873=$A$2)*('Data - Visits'!$E$2:$E$3873=$E$5)*('Data - Visits'!$F$2:$F$3873=C$6)*('Data - Visits'!$I$2:$I$3873)),IF(AND(OR($A$3="Virtual",$A$3="Face to face"),OR($A$2="Predominantly Urban",$A$2="Significantly Rural",$A$2="Predominantly Rural")),SUMPRODUCT(('Data - Visits'!$A$2:$A$3873=$A10)*('Data - Visits'!$D$2:$D$3873=$A$3)*('Data - Visits'!$G$2:$G$3873=$A$2)*('Data - Visits'!$E$2:$E$3873=$E$5)*('Data - Visits'!$F$2:$F$3873=C$6)*('Data - Visits'!$I$2:$I$3873)),IF(OR($A$3="Virtual",$A$3="Face to face"),SUMPRODUCT(('Data - Visits'!$A$2:$A$3873=$A10)*('Data - Visits'!$B$2:$B$3873=$A$2)*('Data - Visits'!$D$2:$D$3873=$A$3)*('Data - Visits'!$E$2:$E$3873=$E$5)*('Data - Visits'!$F$2:$F$3873=C$6)*('Data - Visits'!$I$2:$I$3873))))))))))</f>
        <v>337400</v>
      </c>
      <c r="D10" s="27" cm="1">
        <f t="array" ref="D10">IF(AND($A$2="England",OR($A$3="Total")),SUMPRODUCT(('Data - Visits'!$A$2:$A$3873=$A10)*('Data - Visits'!$E$2:$E$3873=$E$5)*('Data - Visits'!$F$2:$F$3873=D$6)*('Data - Visits'!$I$2:$I$3873)),IF(AND($A$3="Total",OR($A$2="Non-metropolitan",$A$2="Metropolitan")),SUMPRODUCT(('Data - Visits'!$A$2:$A$3873=$A10)*('Data - Visits'!$H$2:$H$3873=$A$2)*('Data - Visits'!$E$2:$E$3873=$E$5)*('Data - Visits'!$F$2:$F$3873=D$6)*('Data - Visits'!$I$2:$I$3873)),IF(AND($A$3="Total",OR($A$2="Predominantly Urban",$A$2="Significantly Rural",$A$2="Predominantly Rural")),SUMPRODUCT(('Data - Visits'!$A$2:$A$3873=$A10)*('Data - Visits'!$G$2:$G$3873=$A$2)*('Data - Visits'!$E$2:$E$3873=$E$5)*('Data - Visits'!$F$2:$F$3873=D$6)*('Data - Visits'!$I$2:$I$3873)),IF($A$3="Total",SUMPRODUCT(('Data - Visits'!$A$2:$A$3873=$A10)*('Data - Visits'!$B$2:$B$3873=$A$2)*('Data - Visits'!$E$2:$E$3873=$E$5)*('Data - Visits'!$F$2:$F$3873=D$6)*('Data - Visits'!$I$2:$I$3873)),IF(AND($A$2="England",OR($A$3="Virtual",$A$3="Face to face")),SUMPRODUCT(('Data - Visits'!$A$2:$A$3873=$A10)*('Data - Visits'!$D$2:$D$3873=$A$3)*('Data - Visits'!$E$2:$E$3873=$E$5)*('Data - Visits'!$F$2:$F$3873=D$6)*('Data - Visits'!$I$2:$I$3873)),IF(AND(OR($A$3="Virtual",$A$3="Face to face"),OR($A$2="Non-metropolitan",$A$2="Metropolitan")),SUMPRODUCT(('Data - Visits'!$A$2:$A$3873=$A10)*('Data - Visits'!$D$2:$D$3873=$A$3)*('Data - Visits'!$H$2:$H$3873=$A$2)*('Data - Visits'!$E$2:$E$3873=$E$5)*('Data - Visits'!$F$2:$F$3873=D$6)*('Data - Visits'!$I$2:$I$3873)),IF(AND(OR($A$3="Virtual",$A$3="Face to face"),OR($A$2="Predominantly Urban",$A$2="Significantly Rural",$A$2="Predominantly Rural")),SUMPRODUCT(('Data - Visits'!$A$2:$A$3873=$A10)*('Data - Visits'!$D$2:$D$3873=$A$3)*('Data - Visits'!$G$2:$G$3873=$A$2)*('Data - Visits'!$E$2:$E$3873=$E$5)*('Data - Visits'!$F$2:$F$3873=D$6)*('Data - Visits'!$I$2:$I$3873)),IF(OR($A$3="Virtual",$A$3="Face to face"),SUMPRODUCT(('Data - Visits'!$A$2:$A$3873=$A10)*('Data - Visits'!$B$2:$B$3873=$A$2)*('Data - Visits'!$D$2:$D$3873=$A$3)*('Data - Visits'!$E$2:$E$3873=$E$5)*('Data - Visits'!$F$2:$F$3873=D$6)*('Data - Visits'!$I$2:$I$3873))))))))))</f>
        <v>107212</v>
      </c>
      <c r="E10" s="27" cm="1">
        <f t="array" ref="E10">IF(AND($A$2="England",OR($A$3="Total")),SUMPRODUCT(('Data - Visits'!$A$2:$A$3873=$A10)*('Data - Visits'!$E$2:$E$3873=$E$5)*('Data - Visits'!$F$2:$F$3873=E$6)*('Data - Visits'!$I$2:$I$3873)),IF(AND($A$3="Total",OR($A$2="Non-metropolitan",$A$2="Metropolitan")),SUMPRODUCT(('Data - Visits'!$A$2:$A$3873=$A10)*('Data - Visits'!$H$2:$H$3873=$A$2)*('Data - Visits'!$E$2:$E$3873=$E$5)*('Data - Visits'!$F$2:$F$3873=E$6)*('Data - Visits'!$I$2:$I$3873)),IF(AND($A$3="Total",OR($A$2="Predominantly Urban",$A$2="Significantly Rural",$A$2="Predominantly Rural")),SUMPRODUCT(('Data - Visits'!$A$2:$A$3873=$A10)*('Data - Visits'!$G$2:$G$3873=$A$2)*('Data - Visits'!$E$2:$E$3873=$E$5)*('Data - Visits'!$F$2:$F$3873=E$6)*('Data - Visits'!$I$2:$I$3873)),IF($A$3="Total",SUMPRODUCT(('Data - Visits'!$A$2:$A$3873=$A10)*('Data - Visits'!$B$2:$B$3873=$A$2)*('Data - Visits'!$E$2:$E$3873=$E$5)*('Data - Visits'!$F$2:$F$3873=E$6)*('Data - Visits'!$I$2:$I$3873)),IF(AND($A$2="England",OR($A$3="Virtual",$A$3="Face to face")),SUMPRODUCT(('Data - Visits'!$A$2:$A$3873=$A10)*('Data - Visits'!$D$2:$D$3873=$A$3)*('Data - Visits'!$E$2:$E$3873=$E$5)*('Data - Visits'!$F$2:$F$3873=E$6)*('Data - Visits'!$I$2:$I$3873)),IF(AND(OR($A$3="Virtual",$A$3="Face to face"),OR($A$2="Non-metropolitan",$A$2="Metropolitan")),SUMPRODUCT(('Data - Visits'!$A$2:$A$3873=$A10)*('Data - Visits'!$D$2:$D$3873=$A$3)*('Data - Visits'!$H$2:$H$3873=$A$2)*('Data - Visits'!$E$2:$E$3873=$E$5)*('Data - Visits'!$F$2:$F$3873=E$6)*('Data - Visits'!$I$2:$I$3873)),IF(AND(OR($A$3="Virtual",$A$3="Face to face"),OR($A$2="Predominantly Urban",$A$2="Significantly Rural",$A$2="Predominantly Rural")),SUMPRODUCT(('Data - Visits'!$A$2:$A$3873=$A10)*('Data - Visits'!$D$2:$D$3873=$A$3)*('Data - Visits'!$G$2:$G$3873=$A$2)*('Data - Visits'!$E$2:$E$3873=$E$5)*('Data - Visits'!$F$2:$F$3873=E$6)*('Data - Visits'!$I$2:$I$3873)),IF(OR($A$3="Virtual",$A$3="Face to face"),SUMPRODUCT(('Data - Visits'!$A$2:$A$3873=$A10)*('Data - Visits'!$B$2:$B$3873=$A$2)*('Data - Visits'!$D$2:$D$3873=$A$3)*('Data - Visits'!$E$2:$E$3873=$E$5)*('Data - Visits'!$F$2:$F$3873=E$6)*('Data - Visits'!$I$2:$I$3873))))))))))</f>
        <v>128022</v>
      </c>
      <c r="F10" s="27" cm="1">
        <f t="array" ref="F10">IF(AND($A$2="England",OR($A$3="Total")),SUMPRODUCT(('Data - Visits'!$A$2:$A$3873=$A10)*('Data - Visits'!$E$2:$E$3873=$E$5)*('Data - Visits'!$F$2:$F$3873=F$6)*('Data - Visits'!$I$2:$I$3873)),IF(AND($A$3="Total",OR($A$2="Non-metropolitan",$A$2="Metropolitan")),SUMPRODUCT(('Data - Visits'!$A$2:$A$3873=$A10)*('Data - Visits'!$H$2:$H$3873=$A$2)*('Data - Visits'!$E$2:$E$3873=$E$5)*('Data - Visits'!$F$2:$F$3873=F$6)*('Data - Visits'!$I$2:$I$3873)),IF(AND($A$3="Total",OR($A$2="Predominantly Urban",$A$2="Significantly Rural",$A$2="Predominantly Rural")),SUMPRODUCT(('Data - Visits'!$A$2:$A$3873=$A10)*('Data - Visits'!$G$2:$G$3873=$A$2)*('Data - Visits'!$E$2:$E$3873=$E$5)*('Data - Visits'!$F$2:$F$3873=F$6)*('Data - Visits'!$I$2:$I$3873)),IF($A$3="Total",SUMPRODUCT(('Data - Visits'!$A$2:$A$3873=$A10)*('Data - Visits'!$B$2:$B$3873=$A$2)*('Data - Visits'!$E$2:$E$3873=$E$5)*('Data - Visits'!$F$2:$F$3873=F$6)*('Data - Visits'!$I$2:$I$3873)),IF(AND($A$2="England",OR($A$3="Virtual",$A$3="Face to face")),SUMPRODUCT(('Data - Visits'!$A$2:$A$3873=$A10)*('Data - Visits'!$D$2:$D$3873=$A$3)*('Data - Visits'!$E$2:$E$3873=$E$5)*('Data - Visits'!$F$2:$F$3873=F$6)*('Data - Visits'!$I$2:$I$3873)),IF(AND(OR($A$3="Virtual",$A$3="Face to face"),OR($A$2="Non-metropolitan",$A$2="Metropolitan")),SUMPRODUCT(('Data - Visits'!$A$2:$A$3873=$A10)*('Data - Visits'!$D$2:$D$3873=$A$3)*('Data - Visits'!$H$2:$H$3873=$A$2)*('Data - Visits'!$E$2:$E$3873=$E$5)*('Data - Visits'!$F$2:$F$3873=F$6)*('Data - Visits'!$I$2:$I$3873)),IF(AND(OR($A$3="Virtual",$A$3="Face to face"),OR($A$2="Predominantly Urban",$A$2="Significantly Rural",$A$2="Predominantly Rural")),SUMPRODUCT(('Data - Visits'!$A$2:$A$3873=$A10)*('Data - Visits'!$D$2:$D$3873=$A$3)*('Data - Visits'!$G$2:$G$3873=$A$2)*('Data - Visits'!$E$2:$E$3873=$E$5)*('Data - Visits'!$F$2:$F$3873=F$6)*('Data - Visits'!$I$2:$I$3873)),IF(OR($A$3="Virtual",$A$3="Face to face"),SUMPRODUCT(('Data - Visits'!$A$2:$A$3873=$A10)*('Data - Visits'!$B$2:$B$3873=$A$2)*('Data - Visits'!$D$2:$D$3873=$A$3)*('Data - Visits'!$E$2:$E$3873=$E$5)*('Data - Visits'!$F$2:$F$3873=F$6)*('Data - Visits'!$I$2:$I$3873))))))))))</f>
        <v>34109</v>
      </c>
      <c r="G10" s="27">
        <f t="shared" ref="G10" si="2">B10-C10</f>
        <v>102981</v>
      </c>
      <c r="H10" s="20"/>
      <c r="I10" s="51" cm="1">
        <f t="array" ref="I10">IF(AND($A$2="England",OR($A$3="Total")),SUMPRODUCT(('Data - Visits'!$A$2:$A$3873=$A10)*('Data - Visits'!$C$2:$C$3873=$L$4)*('Data - Visits'!$E$2:$E$3873=$L$5)*('Data - Visits'!$F$2:$F$3873=I$6)*('Data - Visits'!$I$2:$I$3873)),IF(AND($A$3="Total",OR($A$2="Non-metropolitan",$A$2="Metropolitan")),SUMPRODUCT(('Data - Visits'!$A$2:$A$3873=$A10)*('Data - Visits'!$C$2:$C$3873=$L$4)*('Data - Visits'!$H$2:$H$3873=$A$2)*('Data - Visits'!$E$2:$E$3873=$L$5)*('Data - Visits'!$F$2:$F$3873=I$6)*('Data - Visits'!$I$2:$I$3873)),IF(AND($A$3="Total",OR($A$2="Predominantly Urban",$A$2="Significantly Rural",$A$2="Predominantly Rural")),SUMPRODUCT(('Data - Visits'!$A$2:$A$3873=$A10)*('Data - Visits'!$C$2:$C$3873=$L$4)*('Data - Visits'!$G$2:$G$3873=$A$2)*('Data - Visits'!$E$2:$E$3873=$L$5)*('Data - Visits'!$F$2:$F$3873=I$6)*('Data - Visits'!$I$2:$I$3873)),IF($A$3="Total",SUMPRODUCT(('Data - Visits'!$A$2:$A$3873=$A10)*('Data - Visits'!$B$2:$B$3873=$A$2)*('Data - Visits'!$C$2:$C$3873=$L$4)*('Data - Visits'!$E$2:$E$3873=$L$5)*('Data - Visits'!$F$2:$F$3873=I$6)*('Data - Visits'!$I$2:$I$3873)),IF(AND($A$2="England",OR($A$3="Virtual",$A$3="Face to face")),SUMPRODUCT(('Data - Visits'!$A$2:$A$3873=$A10)*('Data - Visits'!$C$2:$C$3873=$L$4)*('Data - Visits'!$D$2:$D$3873=$A$3)*('Data - Visits'!$E$2:$E$3873=$L$5)*('Data - Visits'!$F$2:$F$3873=I$6)*('Data - Visits'!$I$2:$I$3873)),IF(AND(OR($A$3="Virtual",$A$3="Face to face"),OR($A$2="Non-metropolitan",$A$2="Metropolitan")),SUMPRODUCT(('Data - Visits'!$A$2:$A$3873=$A10)*('Data - Visits'!$C$2:$C$3873=$L$4)*('Data - Visits'!$D$2:$D$3873=$A$3)*('Data - Visits'!$H$2:$H$3873=$A$2)*('Data - Visits'!$E$2:$E$3873=$L$5)*('Data - Visits'!$F$2:$F$3873=I$6)*('Data - Visits'!$I$2:$I$3873)),IF(AND(OR($A$3="Virtual",$A$3="Face to face"),OR($A$2="Predominantly Urban",$A$2="Significantly Rural",$A$2="Predominantly Rural")),SUMPRODUCT(('Data - Visits'!$A$2:$A$3873=$A10)*('Data - Visits'!$C$2:$C$3873=$L$4)*('Data - Visits'!$D$2:$D$3873=$A$3)*('Data - Visits'!$G$2:$G$3873=$A$2)*('Data - Visits'!$E$2:$E$3873=$L$5)*('Data - Visits'!$F$2:$F$3873=I$6)*('Data - Visits'!$I$2:$I$3873)),IF(OR($A$3="Virtual",$A$3="Face to face"),SUMPRODUCT(('Data - Visits'!$A$2:$A$3873=$A10)*('Data - Visits'!$B$2:$B$3873=$A$2)*('Data - Visits'!$C$2:$C$3873=$L$4)*('Data - Visits'!$D$2:$D$3873=$A$3)*('Data - Visits'!$E$2:$E$3873=$L$5)*('Data - Visits'!$F$2:$F$3873=I$6)*('Data - Visits'!$I$2:$I$3873))))))))))</f>
        <v>430703</v>
      </c>
      <c r="J10" s="27" cm="1">
        <f t="array" ref="J10">IF(AND($A$2="England",OR($A$3="Total")),SUMPRODUCT(('Data - Visits'!$A$2:$A$3873=$A10)*('Data - Visits'!$C$2:$C$3873=$L$4)*('Data - Visits'!$E$2:$E$3873=$L$5)*('Data - Visits'!$F$2:$F$3873=J$6)*('Data - Visits'!$I$2:$I$3873)),IF(AND($A$3="Total",OR($A$2="Non-metropolitan",$A$2="Metropolitan")),SUMPRODUCT(('Data - Visits'!$A$2:$A$3873=$A10)*('Data - Visits'!$C$2:$C$3873=$L$4)*('Data - Visits'!$H$2:$H$3873=$A$2)*('Data - Visits'!$E$2:$E$3873=$L$5)*('Data - Visits'!$F$2:$F$3873=J$6)*('Data - Visits'!$I$2:$I$3873)),IF(AND($A$3="Total",OR($A$2="Predominantly Urban",$A$2="Significantly Rural",$A$2="Predominantly Rural")),SUMPRODUCT(('Data - Visits'!$A$2:$A$3873=$A10)*('Data - Visits'!$C$2:$C$3873=$L$4)*('Data - Visits'!$G$2:$G$3873=$A$2)*('Data - Visits'!$E$2:$E$3873=$L$5)*('Data - Visits'!$F$2:$F$3873=J$6)*('Data - Visits'!$I$2:$I$3873)),IF($A$3="Total",SUMPRODUCT(('Data - Visits'!$A$2:$A$3873=$A10)*('Data - Visits'!$B$2:$B$3873=$A$2)*('Data - Visits'!$C$2:$C$3873=$L$4)*('Data - Visits'!$E$2:$E$3873=$L$5)*('Data - Visits'!$F$2:$F$3873=J$6)*('Data - Visits'!$I$2:$I$3873)),IF(AND($A$2="England",OR($A$3="Virtual",$A$3="Face to face")),SUMPRODUCT(('Data - Visits'!$A$2:$A$3873=$A10)*('Data - Visits'!$C$2:$C$3873=$L$4)*('Data - Visits'!$D$2:$D$3873=$A$3)*('Data - Visits'!$E$2:$E$3873=$L$5)*('Data - Visits'!$F$2:$F$3873=J$6)*('Data - Visits'!$I$2:$I$3873)),IF(AND(OR($A$3="Virtual",$A$3="Face to face"),OR($A$2="Non-metropolitan",$A$2="Metropolitan")),SUMPRODUCT(('Data - Visits'!$A$2:$A$3873=$A10)*('Data - Visits'!$C$2:$C$3873=$L$4)*('Data - Visits'!$D$2:$D$3873=$A$3)*('Data - Visits'!$H$2:$H$3873=$A$2)*('Data - Visits'!$E$2:$E$3873=$L$5)*('Data - Visits'!$F$2:$F$3873=J$6)*('Data - Visits'!$I$2:$I$3873)),IF(AND(OR($A$3="Virtual",$A$3="Face to face"),OR($A$2="Predominantly Urban",$A$2="Significantly Rural",$A$2="Predominantly Rural")),SUMPRODUCT(('Data - Visits'!$A$2:$A$3873=$A10)*('Data - Visits'!$C$2:$C$3873=$L$4)*('Data - Visits'!$D$2:$D$3873=$A$3)*('Data - Visits'!$G$2:$G$3873=$A$2)*('Data - Visits'!$E$2:$E$3873=$L$5)*('Data - Visits'!$F$2:$F$3873=J$6)*('Data - Visits'!$I$2:$I$3873)),IF(OR($A$3="Virtual",$A$3="Face to face"),SUMPRODUCT(('Data - Visits'!$A$2:$A$3873=$A10)*('Data - Visits'!$B$2:$B$3873=$A$2)*('Data - Visits'!$C$2:$C$3873=$L$4)*('Data - Visits'!$D$2:$D$3873=$A$3)*('Data - Visits'!$E$2:$E$3873=$L$5)*('Data - Visits'!$F$2:$F$3873=J$6)*('Data - Visits'!$I$2:$I$3873))))))))))</f>
        <v>337400</v>
      </c>
      <c r="K10" s="27" cm="1">
        <f t="array" ref="K10">IF(AND($A$2="England",OR($A$3="Total")),SUMPRODUCT(('Data - Visits'!$A$2:$A$3873=$A10)*('Data - Visits'!$C$2:$C$3873=$L$4)*('Data - Visits'!$E$2:$E$3873=$L$5)*('Data - Visits'!$F$2:$F$3873=K$6)*('Data - Visits'!$I$2:$I$3873)),IF(AND($A$3="Total",OR($A$2="Non-metropolitan",$A$2="Metropolitan")),SUMPRODUCT(('Data - Visits'!$A$2:$A$3873=$A10)*('Data - Visits'!$C$2:$C$3873=$L$4)*('Data - Visits'!$H$2:$H$3873=$A$2)*('Data - Visits'!$E$2:$E$3873=$L$5)*('Data - Visits'!$F$2:$F$3873=K$6)*('Data - Visits'!$I$2:$I$3873)),IF(AND($A$3="Total",OR($A$2="Predominantly Urban",$A$2="Significantly Rural",$A$2="Predominantly Rural")),SUMPRODUCT(('Data - Visits'!$A$2:$A$3873=$A10)*('Data - Visits'!$C$2:$C$3873=$L$4)*('Data - Visits'!$G$2:$G$3873=$A$2)*('Data - Visits'!$E$2:$E$3873=$L$5)*('Data - Visits'!$F$2:$F$3873=K$6)*('Data - Visits'!$I$2:$I$3873)),IF($A$3="Total",SUMPRODUCT(('Data - Visits'!$A$2:$A$3873=$A10)*('Data - Visits'!$B$2:$B$3873=$A$2)*('Data - Visits'!$C$2:$C$3873=$L$4)*('Data - Visits'!$E$2:$E$3873=$L$5)*('Data - Visits'!$F$2:$F$3873=K$6)*('Data - Visits'!$I$2:$I$3873)),IF(AND($A$2="England",OR($A$3="Virtual",$A$3="Face to face")),SUMPRODUCT(('Data - Visits'!$A$2:$A$3873=$A10)*('Data - Visits'!$C$2:$C$3873=$L$4)*('Data - Visits'!$D$2:$D$3873=$A$3)*('Data - Visits'!$E$2:$E$3873=$L$5)*('Data - Visits'!$F$2:$F$3873=K$6)*('Data - Visits'!$I$2:$I$3873)),IF(AND(OR($A$3="Virtual",$A$3="Face to face"),OR($A$2="Non-metropolitan",$A$2="Metropolitan")),SUMPRODUCT(('Data - Visits'!$A$2:$A$3873=$A10)*('Data - Visits'!$C$2:$C$3873=$L$4)*('Data - Visits'!$D$2:$D$3873=$A$3)*('Data - Visits'!$H$2:$H$3873=$A$2)*('Data - Visits'!$E$2:$E$3873=$L$5)*('Data - Visits'!$F$2:$F$3873=K$6)*('Data - Visits'!$I$2:$I$3873)),IF(AND(OR($A$3="Virtual",$A$3="Face to face"),OR($A$2="Predominantly Urban",$A$2="Significantly Rural",$A$2="Predominantly Rural")),SUMPRODUCT(('Data - Visits'!$A$2:$A$3873=$A10)*('Data - Visits'!$C$2:$C$3873=$L$4)*('Data - Visits'!$D$2:$D$3873=$A$3)*('Data - Visits'!$G$2:$G$3873=$A$2)*('Data - Visits'!$E$2:$E$3873=$L$5)*('Data - Visits'!$F$2:$F$3873=K$6)*('Data - Visits'!$I$2:$I$3873)),IF(OR($A$3="Virtual",$A$3="Face to face"),SUMPRODUCT(('Data - Visits'!$A$2:$A$3873=$A10)*('Data - Visits'!$B$2:$B$3873=$A$2)*('Data - Visits'!$C$2:$C$3873=$L$4)*('Data - Visits'!$D$2:$D$3873=$A$3)*('Data - Visits'!$E$2:$E$3873=$L$5)*('Data - Visits'!$F$2:$F$3873=K$6)*('Data - Visits'!$I$2:$I$3873))))))))))</f>
        <v>104975</v>
      </c>
      <c r="L10" s="27" cm="1">
        <f t="array" ref="L10">IF(AND($A$2="England",OR($A$3="Total")),SUMPRODUCT(('Data - Visits'!$A$2:$A$3873=$A10)*('Data - Visits'!$C$2:$C$3873=$L$4)*('Data - Visits'!$E$2:$E$3873=$L$5)*('Data - Visits'!$F$2:$F$3873=L$6)*('Data - Visits'!$I$2:$I$3873)),IF(AND($A$3="Total",OR($A$2="Non-metropolitan",$A$2="Metropolitan")),SUMPRODUCT(('Data - Visits'!$A$2:$A$3873=$A10)*('Data - Visits'!$C$2:$C$3873=$L$4)*('Data - Visits'!$H$2:$H$3873=$A$2)*('Data - Visits'!$E$2:$E$3873=$L$5)*('Data - Visits'!$F$2:$F$3873=L$6)*('Data - Visits'!$I$2:$I$3873)),IF(AND($A$3="Total",OR($A$2="Predominantly Urban",$A$2="Significantly Rural",$A$2="Predominantly Rural")),SUMPRODUCT(('Data - Visits'!$A$2:$A$3873=$A10)*('Data - Visits'!$C$2:$C$3873=$L$4)*('Data - Visits'!$G$2:$G$3873=$A$2)*('Data - Visits'!$E$2:$E$3873=$L$5)*('Data - Visits'!$F$2:$F$3873=L$6)*('Data - Visits'!$I$2:$I$3873)),IF($A$3="Total",SUMPRODUCT(('Data - Visits'!$A$2:$A$3873=$A10)*('Data - Visits'!$B$2:$B$3873=$A$2)*('Data - Visits'!$C$2:$C$3873=$L$4)*('Data - Visits'!$E$2:$E$3873=$L$5)*('Data - Visits'!$F$2:$F$3873=L$6)*('Data - Visits'!$I$2:$I$3873)),IF(AND($A$2="England",OR($A$3="Virtual",$A$3="Face to face")),SUMPRODUCT(('Data - Visits'!$A$2:$A$3873=$A10)*('Data - Visits'!$C$2:$C$3873=$L$4)*('Data - Visits'!$D$2:$D$3873=$A$3)*('Data - Visits'!$E$2:$E$3873=$L$5)*('Data - Visits'!$F$2:$F$3873=L$6)*('Data - Visits'!$I$2:$I$3873)),IF(AND(OR($A$3="Virtual",$A$3="Face to face"),OR($A$2="Non-metropolitan",$A$2="Metropolitan")),SUMPRODUCT(('Data - Visits'!$A$2:$A$3873=$A10)*('Data - Visits'!$C$2:$C$3873=$L$4)*('Data - Visits'!$D$2:$D$3873=$A$3)*('Data - Visits'!$H$2:$H$3873=$A$2)*('Data - Visits'!$E$2:$E$3873=$L$5)*('Data - Visits'!$F$2:$F$3873=L$6)*('Data - Visits'!$I$2:$I$3873)),IF(AND(OR($A$3="Virtual",$A$3="Face to face"),OR($A$2="Predominantly Urban",$A$2="Significantly Rural",$A$2="Predominantly Rural")),SUMPRODUCT(('Data - Visits'!$A$2:$A$3873=$A10)*('Data - Visits'!$C$2:$C$3873=$L$4)*('Data - Visits'!$D$2:$D$3873=$A$3)*('Data - Visits'!$G$2:$G$3873=$A$2)*('Data - Visits'!$E$2:$E$3873=$L$5)*('Data - Visits'!$F$2:$F$3873=L$6)*('Data - Visits'!$I$2:$I$3873)),IF(OR($A$3="Virtual",$A$3="Face to face"),SUMPRODUCT(('Data - Visits'!$A$2:$A$3873=$A10)*('Data - Visits'!$B$2:$B$3873=$A$2)*('Data - Visits'!$C$2:$C$3873=$L$4)*('Data - Visits'!$D$2:$D$3873=$A$3)*('Data - Visits'!$E$2:$E$3873=$L$5)*('Data - Visits'!$F$2:$F$3873=L$6)*('Data - Visits'!$I$2:$I$3873))))))))))</f>
        <v>126253</v>
      </c>
      <c r="M10" s="27" cm="1">
        <f t="array" ref="M10">IF(AND($A$2="England",OR($A$3="Total")),SUMPRODUCT(('Data - Visits'!$A$2:$A$3873=$A10)*('Data - Visits'!$C$2:$C$3873=$L$4)*('Data - Visits'!$E$2:$E$3873=$L$5)*('Data - Visits'!$F$2:$F$3873=M$6)*('Data - Visits'!$I$2:$I$3873)),IF(AND($A$3="Total",OR($A$2="Non-metropolitan",$A$2="Metropolitan")),SUMPRODUCT(('Data - Visits'!$A$2:$A$3873=$A10)*('Data - Visits'!$C$2:$C$3873=$L$4)*('Data - Visits'!$H$2:$H$3873=$A$2)*('Data - Visits'!$E$2:$E$3873=$L$5)*('Data - Visits'!$F$2:$F$3873=M$6)*('Data - Visits'!$I$2:$I$3873)),IF(AND($A$3="Total",OR($A$2="Predominantly Urban",$A$2="Significantly Rural",$A$2="Predominantly Rural")),SUMPRODUCT(('Data - Visits'!$A$2:$A$3873=$A10)*('Data - Visits'!$C$2:$C$3873=$L$4)*('Data - Visits'!$G$2:$G$3873=$A$2)*('Data - Visits'!$E$2:$E$3873=$L$5)*('Data - Visits'!$F$2:$F$3873=M$6)*('Data - Visits'!$I$2:$I$3873)),IF($A$3="Total",SUMPRODUCT(('Data - Visits'!$A$2:$A$3873=$A10)*('Data - Visits'!$B$2:$B$3873=$A$2)*('Data - Visits'!$C$2:$C$3873=$L$4)*('Data - Visits'!$E$2:$E$3873=$L$5)*('Data - Visits'!$F$2:$F$3873=M$6)*('Data - Visits'!$I$2:$I$3873)),IF(AND($A$2="England",OR($A$3="Virtual",$A$3="Face to face")),SUMPRODUCT(('Data - Visits'!$A$2:$A$3873=$A10)*('Data - Visits'!$C$2:$C$3873=$L$4)*('Data - Visits'!$D$2:$D$3873=$A$3)*('Data - Visits'!$E$2:$E$3873=$L$5)*('Data - Visits'!$F$2:$F$3873=M$6)*('Data - Visits'!$I$2:$I$3873)),IF(AND(OR($A$3="Virtual",$A$3="Face to face"),OR($A$2="Non-metropolitan",$A$2="Metropolitan")),SUMPRODUCT(('Data - Visits'!$A$2:$A$3873=$A10)*('Data - Visits'!$C$2:$C$3873=$L$4)*('Data - Visits'!$D$2:$D$3873=$A$3)*('Data - Visits'!$H$2:$H$3873=$A$2)*('Data - Visits'!$E$2:$E$3873=$L$5)*('Data - Visits'!$F$2:$F$3873=M$6)*('Data - Visits'!$I$2:$I$3873)),IF(AND(OR($A$3="Virtual",$A$3="Face to face"),OR($A$2="Predominantly Urban",$A$2="Significantly Rural",$A$2="Predominantly Rural")),SUMPRODUCT(('Data - Visits'!$A$2:$A$3873=$A10)*('Data - Visits'!$C$2:$C$3873=$L$4)*('Data - Visits'!$D$2:$D$3873=$A$3)*('Data - Visits'!$G$2:$G$3873=$A$2)*('Data - Visits'!$E$2:$E$3873=$L$5)*('Data - Visits'!$F$2:$F$3873=M$6)*('Data - Visits'!$I$2:$I$3873)),IF(OR($A$3="Virtual",$A$3="Face to face"),SUMPRODUCT(('Data - Visits'!$A$2:$A$3873=$A10)*('Data - Visits'!$B$2:$B$3873=$A$2)*('Data - Visits'!$C$2:$C$3873=$L$4)*('Data - Visits'!$D$2:$D$3873=$A$3)*('Data - Visits'!$E$2:$E$3873=$L$5)*('Data - Visits'!$F$2:$F$3873=M$6)*('Data - Visits'!$I$2:$I$3873))))))))))</f>
        <v>33305</v>
      </c>
      <c r="N10" s="27">
        <f t="shared" si="0"/>
        <v>93303</v>
      </c>
      <c r="O10" s="50"/>
      <c r="P10" s="51" cm="1">
        <f t="array" ref="P10">IF(AND($A$2="England",OR($A$3="Total")),SUMPRODUCT(('Data - Visits'!$A$2:$A$3873=$A10)*('Data - Visits'!$C$2:$C$3873=$R$4)*('Data - Visits'!$E$2:$E$3873=$R$5)*('Data - Visits'!$F$2:$F$3873=P$6)*('Data - Visits'!$I$2:$I$3873)),IF(AND($A$3="Total",OR($A$2="Non-metropolitan",$A$2="Metropolitan")),SUMPRODUCT(('Data - Visits'!$A$2:$A$3873=$A10)*('Data - Visits'!$C$2:$C$3873=$R$4)*('Data - Visits'!$H$2:$H$3873=$A$2)*('Data - Visits'!$E$2:$E$3873=$R$5)*('Data - Visits'!$F$2:$F$3873=P$6)*('Data - Visits'!$I$2:$I$3873)),IF(AND($A$3="Total",OR($A$2="Predominantly Urban",$A$2="Significantly Rural",$A$2="Predominantly Rural")),SUMPRODUCT(('Data - Visits'!$A$2:$A$3873=$A10)*('Data - Visits'!$C$2:$C$3873=$R$4)*('Data - Visits'!$G$2:$G$3873=$A$2)*('Data - Visits'!$E$2:$E$3873=$R$5)*('Data - Visits'!$F$2:$F$3873=P$6)*('Data - Visits'!$I$2:$I$3873)),IF($A$3="Total",SUMPRODUCT(('Data - Visits'!$A$2:$A$3873=$A10)*('Data - Visits'!$B$2:$B$3873=$A$2)*('Data - Visits'!$C$2:$C$3873=$R$4)*('Data - Visits'!$E$2:$E$3873=$R$5)*('Data - Visits'!$F$2:$F$3873=P$6)*('Data - Visits'!$I$2:$I$3873)),IF(AND($A$2="England",OR($A$3="Virtual",$A$3="Face to face")),SUMPRODUCT(('Data - Visits'!$A$2:$A$3873=$A10)*('Data - Visits'!$C$2:$C$3873=$R$4)*('Data - Visits'!$D$2:$D$3873=$A$3)*('Data - Visits'!$E$2:$E$3873=$R$5)*('Data - Visits'!$F$2:$F$3873=P$6)*('Data - Visits'!$I$2:$I$3873)),IF(AND(OR($A$3="Virtual",$A$3="Face to face"),OR($A$2="Non-metropolitan",$A$2="Metropolitan")),SUMPRODUCT(('Data - Visits'!$A$2:$A$3873=$A10)*('Data - Visits'!$C$2:$C$3873=$R$4)*('Data - Visits'!$D$2:$D$3873=$A$3)*('Data - Visits'!$H$2:$H$3873=$A$2)*('Data - Visits'!$E$2:$E$3873=$R$5)*('Data - Visits'!$F$2:$F$3873=P$6)*('Data - Visits'!$I$2:$I$3873)),IF(AND(OR($A$3="Virtual",$A$3="Face to face"),OR($A$2="Predominantly Urban",$A$2="Significantly Rural",$A$2="Predominantly Rural")),SUMPRODUCT(('Data - Visits'!$A$2:$A$3873=$A10)*('Data - Visits'!$C$2:$C$3873=$R$4)*('Data - Visits'!$D$2:$D$3873=$A$3)*('Data - Visits'!$G$2:$G$3873=$A$2)*('Data - Visits'!$E$2:$E$3873=$R$5)*('Data - Visits'!$F$2:$F$3873=P$6)*('Data - Visits'!$I$2:$I$3873)),IF(OR($A$3="Virtual",$A$3="Face to face"),SUMPRODUCT(('Data - Visits'!$A$2:$A$3873=$A10)*('Data - Visits'!$B$2:$B$3873=$A$2)*('Data - Visits'!$C$2:$C$3873=$R$4)*('Data - Visits'!$D$2:$D$3873=$A$3)*('Data - Visits'!$E$2:$E$3873=$R$5)*('Data - Visits'!$F$2:$F$3873=P$6)*('Data - Visits'!$I$2:$I$3873))))))))))</f>
        <v>9678</v>
      </c>
      <c r="Q10" s="51" cm="1">
        <f t="array" ref="Q10">IF(AND($A$2="England",OR($A$3="Total")),SUMPRODUCT(('Data - Visits'!$A$2:$A$3873=$A10)*('Data - Visits'!$C$2:$C$3873=$R$4)*('Data - Visits'!$E$2:$E$3873=$R$5)*('Data - Visits'!$F$2:$F$3873=Q$6)*('Data - Visits'!$I$2:$I$3873)),IF(AND($A$3="Total",OR($A$2="Non-metropolitan",$A$2="Metropolitan")),SUMPRODUCT(('Data - Visits'!$A$2:$A$3873=$A10)*('Data - Visits'!$C$2:$C$3873=$R$4)*('Data - Visits'!$H$2:$H$3873=$A$2)*('Data - Visits'!$E$2:$E$3873=$R$5)*('Data - Visits'!$F$2:$F$3873=Q$6)*('Data - Visits'!$I$2:$I$3873)),IF(AND($A$3="Total",OR($A$2="Predominantly Urban",$A$2="Significantly Rural",$A$2="Predominantly Rural")),SUMPRODUCT(('Data - Visits'!$A$2:$A$3873=$A10)*('Data - Visits'!$C$2:$C$3873=$R$4)*('Data - Visits'!$G$2:$G$3873=$A$2)*('Data - Visits'!$E$2:$E$3873=$R$5)*('Data - Visits'!$F$2:$F$3873=Q$6)*('Data - Visits'!$I$2:$I$3873)),IF($A$3="Total",SUMPRODUCT(('Data - Visits'!$A$2:$A$3873=$A10)*('Data - Visits'!$B$2:$B$3873=$A$2)*('Data - Visits'!$C$2:$C$3873=$R$4)*('Data - Visits'!$E$2:$E$3873=$R$5)*('Data - Visits'!$F$2:$F$3873=Q$6)*('Data - Visits'!$I$2:$I$3873)),IF(AND($A$2="England",OR($A$3="Virtual",$A$3="Face to face")),SUMPRODUCT(('Data - Visits'!$A$2:$A$3873=$A10)*('Data - Visits'!$C$2:$C$3873=$R$4)*('Data - Visits'!$D$2:$D$3873=$A$3)*('Data - Visits'!$E$2:$E$3873=$R$5)*('Data - Visits'!$F$2:$F$3873=Q$6)*('Data - Visits'!$I$2:$I$3873)),IF(AND(OR($A$3="Virtual",$A$3="Face to face"),OR($A$2="Non-metropolitan",$A$2="Metropolitan")),SUMPRODUCT(('Data - Visits'!$A$2:$A$3873=$A10)*('Data - Visits'!$C$2:$C$3873=$R$4)*('Data - Visits'!$D$2:$D$3873=$A$3)*('Data - Visits'!$H$2:$H$3873=$A$2)*('Data - Visits'!$E$2:$E$3873=$R$5)*('Data - Visits'!$F$2:$F$3873=Q$6)*('Data - Visits'!$I$2:$I$3873)),IF(AND(OR($A$3="Virtual",$A$3="Face to face"),OR($A$2="Predominantly Urban",$A$2="Significantly Rural",$A$2="Predominantly Rural")),SUMPRODUCT(('Data - Visits'!$A$2:$A$3873=$A10)*('Data - Visits'!$C$2:$C$3873=$R$4)*('Data - Visits'!$D$2:$D$3873=$A$3)*('Data - Visits'!$G$2:$G$3873=$A$2)*('Data - Visits'!$E$2:$E$3873=$R$5)*('Data - Visits'!$F$2:$F$3873=Q$6)*('Data - Visits'!$I$2:$I$3873)),IF(OR($A$3="Virtual",$A$3="Face to face"),SUMPRODUCT(('Data - Visits'!$A$2:$A$3873=$A10)*('Data - Visits'!$B$2:$B$3873=$A$2)*('Data - Visits'!$C$2:$C$3873=$R$4)*('Data - Visits'!$D$2:$D$3873=$A$3)*('Data - Visits'!$E$2:$E$3873=$R$5)*('Data - Visits'!$F$2:$F$3873=Q$6)*('Data - Visits'!$I$2:$I$3873))))))))))</f>
        <v>2237</v>
      </c>
      <c r="R10" s="51" cm="1">
        <f t="array" ref="R10">IF(AND($A$2="England",OR($A$3="Total")),SUMPRODUCT(('Data - Visits'!$A$2:$A$3873=$A10)*('Data - Visits'!$C$2:$C$3873=$R$4)*('Data - Visits'!$E$2:$E$3873=$R$5)*('Data - Visits'!$F$2:$F$3873=R$6)*('Data - Visits'!$I$2:$I$3873)),IF(AND($A$3="Total",OR($A$2="Non-metropolitan",$A$2="Metropolitan")),SUMPRODUCT(('Data - Visits'!$A$2:$A$3873=$A10)*('Data - Visits'!$C$2:$C$3873=$R$4)*('Data - Visits'!$H$2:$H$3873=$A$2)*('Data - Visits'!$E$2:$E$3873=$R$5)*('Data - Visits'!$F$2:$F$3873=R$6)*('Data - Visits'!$I$2:$I$3873)),IF(AND($A$3="Total",OR($A$2="Predominantly Urban",$A$2="Significantly Rural",$A$2="Predominantly Rural")),SUMPRODUCT(('Data - Visits'!$A$2:$A$3873=$A10)*('Data - Visits'!$C$2:$C$3873=$R$4)*('Data - Visits'!$G$2:$G$3873=$A$2)*('Data - Visits'!$E$2:$E$3873=$R$5)*('Data - Visits'!$F$2:$F$3873=R$6)*('Data - Visits'!$I$2:$I$3873)),IF($A$3="Total",SUMPRODUCT(('Data - Visits'!$A$2:$A$3873=$A10)*('Data - Visits'!$B$2:$B$3873=$A$2)*('Data - Visits'!$C$2:$C$3873=$R$4)*('Data - Visits'!$E$2:$E$3873=$R$5)*('Data - Visits'!$F$2:$F$3873=R$6)*('Data - Visits'!$I$2:$I$3873)),IF(AND($A$2="England",OR($A$3="Virtual",$A$3="Face to face")),SUMPRODUCT(('Data - Visits'!$A$2:$A$3873=$A10)*('Data - Visits'!$C$2:$C$3873=$R$4)*('Data - Visits'!$D$2:$D$3873=$A$3)*('Data - Visits'!$E$2:$E$3873=$R$5)*('Data - Visits'!$F$2:$F$3873=R$6)*('Data - Visits'!$I$2:$I$3873)),IF(AND(OR($A$3="Virtual",$A$3="Face to face"),OR($A$2="Non-metropolitan",$A$2="Metropolitan")),SUMPRODUCT(('Data - Visits'!$A$2:$A$3873=$A10)*('Data - Visits'!$C$2:$C$3873=$R$4)*('Data - Visits'!$D$2:$D$3873=$A$3)*('Data - Visits'!$H$2:$H$3873=$A$2)*('Data - Visits'!$E$2:$E$3873=$R$5)*('Data - Visits'!$F$2:$F$3873=R$6)*('Data - Visits'!$I$2:$I$3873)),IF(AND(OR($A$3="Virtual",$A$3="Face to face"),OR($A$2="Predominantly Urban",$A$2="Significantly Rural",$A$2="Predominantly Rural")),SUMPRODUCT(('Data - Visits'!$A$2:$A$3873=$A10)*('Data - Visits'!$C$2:$C$3873=$R$4)*('Data - Visits'!$D$2:$D$3873=$A$3)*('Data - Visits'!$G$2:$G$3873=$A$2)*('Data - Visits'!$E$2:$E$3873=$R$5)*('Data - Visits'!$F$2:$F$3873=R$6)*('Data - Visits'!$I$2:$I$3873)),IF(OR($A$3="Virtual",$A$3="Face to face"),SUMPRODUCT(('Data - Visits'!$A$2:$A$3873=$A10)*('Data - Visits'!$B$2:$B$3873=$A$2)*('Data - Visits'!$C$2:$C$3873=$R$4)*('Data - Visits'!$D$2:$D$3873=$A$3)*('Data - Visits'!$E$2:$E$3873=$R$5)*('Data - Visits'!$F$2:$F$3873=R$6)*('Data - Visits'!$I$2:$I$3873))))))))))</f>
        <v>1769</v>
      </c>
      <c r="S10" s="51" cm="1">
        <f t="array" ref="S10">IF(AND($A$2="England",OR($A$3="Total")),SUMPRODUCT(('Data - Visits'!$A$2:$A$3873=$A10)*('Data - Visits'!$C$2:$C$3873=$R$4)*('Data - Visits'!$E$2:$E$3873=$R$5)*('Data - Visits'!$F$2:$F$3873=S$6)*('Data - Visits'!$I$2:$I$3873)),IF(AND($A$3="Total",OR($A$2="Non-metropolitan",$A$2="Metropolitan")),SUMPRODUCT(('Data - Visits'!$A$2:$A$3873=$A10)*('Data - Visits'!$C$2:$C$3873=$R$4)*('Data - Visits'!$H$2:$H$3873=$A$2)*('Data - Visits'!$E$2:$E$3873=$R$5)*('Data - Visits'!$F$2:$F$3873=S$6)*('Data - Visits'!$I$2:$I$3873)),IF(AND($A$3="Total",OR($A$2="Predominantly Urban",$A$2="Significantly Rural",$A$2="Predominantly Rural")),SUMPRODUCT(('Data - Visits'!$A$2:$A$3873=$A10)*('Data - Visits'!$C$2:$C$3873=$R$4)*('Data - Visits'!$G$2:$G$3873=$A$2)*('Data - Visits'!$E$2:$E$3873=$R$5)*('Data - Visits'!$F$2:$F$3873=S$6)*('Data - Visits'!$I$2:$I$3873)),IF($A$3="Total",SUMPRODUCT(('Data - Visits'!$A$2:$A$3873=$A10)*('Data - Visits'!$B$2:$B$3873=$A$2)*('Data - Visits'!$C$2:$C$3873=$R$4)*('Data - Visits'!$E$2:$E$3873=$R$5)*('Data - Visits'!$F$2:$F$3873=S$6)*('Data - Visits'!$I$2:$I$3873)),IF(AND($A$2="England",OR($A$3="Virtual",$A$3="Face to face")),SUMPRODUCT(('Data - Visits'!$A$2:$A$3873=$A10)*('Data - Visits'!$C$2:$C$3873=$R$4)*('Data - Visits'!$D$2:$D$3873=$A$3)*('Data - Visits'!$E$2:$E$3873=$R$5)*('Data - Visits'!$F$2:$F$3873=S$6)*('Data - Visits'!$I$2:$I$3873)),IF(AND(OR($A$3="Virtual",$A$3="Face to face"),OR($A$2="Non-metropolitan",$A$2="Metropolitan")),SUMPRODUCT(('Data - Visits'!$A$2:$A$3873=$A10)*('Data - Visits'!$C$2:$C$3873=$R$4)*('Data - Visits'!$D$2:$D$3873=$A$3)*('Data - Visits'!$H$2:$H$3873=$A$2)*('Data - Visits'!$E$2:$E$3873=$R$5)*('Data - Visits'!$F$2:$F$3873=S$6)*('Data - Visits'!$I$2:$I$3873)),IF(AND(OR($A$3="Virtual",$A$3="Face to face"),OR($A$2="Predominantly Urban",$A$2="Significantly Rural",$A$2="Predominantly Rural")),SUMPRODUCT(('Data - Visits'!$A$2:$A$3873=$A10)*('Data - Visits'!$C$2:$C$3873=$R$4)*('Data - Visits'!$D$2:$D$3873=$A$3)*('Data - Visits'!$G$2:$G$3873=$A$2)*('Data - Visits'!$E$2:$E$3873=$R$5)*('Data - Visits'!$F$2:$F$3873=S$6)*('Data - Visits'!$I$2:$I$3873)),IF(OR($A$3="Virtual",$A$3="Face to face"),SUMPRODUCT(('Data - Visits'!$A$2:$A$3873=$A10)*('Data - Visits'!$B$2:$B$3873=$A$2)*('Data - Visits'!$C$2:$C$3873=$R$4)*('Data - Visits'!$D$2:$D$3873=$A$3)*('Data - Visits'!$E$2:$E$3873=$R$5)*('Data - Visits'!$F$2:$F$3873=S$6)*('Data - Visits'!$I$2:$I$3873))))))))))</f>
        <v>804</v>
      </c>
      <c r="T10" s="27">
        <f t="shared" si="1"/>
        <v>4868</v>
      </c>
      <c r="W10" s="19" t="s">
        <v>87</v>
      </c>
    </row>
    <row r="11" spans="1:23" x14ac:dyDescent="0.35">
      <c r="A11" s="25" t="s">
        <v>81</v>
      </c>
      <c r="B11" s="51" cm="1">
        <f t="array" ref="B11">IF(AND($A$2="England",OR($A$3="Total")),SUMPRODUCT(('Data - Visits'!$A$2:$A$3873=$A11)*('Data - Visits'!$E$2:$E$3873=$E$5)*('Data - Visits'!$F$2:$F$3873=B$6)*('Data - Visits'!$I$2:$I$3873)),IF(AND($A$3="Total",OR($A$2="Non-metropolitan",$A$2="Metropolitan")),SUMPRODUCT(('Data - Visits'!$A$2:$A$3873=$A11)*('Data - Visits'!$H$2:$H$3873=$A$2)*('Data - Visits'!$E$2:$E$3873=$E$5)*('Data - Visits'!$F$2:$F$3873=B$6)*('Data - Visits'!$I$2:$I$3873)),IF(AND($A$3="Total",OR($A$2="Predominantly Urban",$A$2="Significantly Rural",$A$2="Predominantly Rural")),SUMPRODUCT(('Data - Visits'!$A$2:$A$3873=$A11)*('Data - Visits'!$G$2:$G$3873=$A$2)*('Data - Visits'!$E$2:$E$3873=$E$5)*('Data - Visits'!$F$2:$F$3873=B$6)*('Data - Visits'!$I$2:$I$3873)),IF($A$3="Total",SUMPRODUCT(('Data - Visits'!$A$2:$A$3873=$A11)*('Data - Visits'!$B$2:$B$3873=$A$2)*('Data - Visits'!$E$2:$E$3873=$E$5)*('Data - Visits'!$F$2:$F$3873=B$6)*('Data - Visits'!$I$2:$I$3873)),IF(AND($A$2="England",OR($A$3="Virtual",$A$3="Face to face")),SUMPRODUCT(('Data - Visits'!$A$2:$A$3873=$A11)*('Data - Visits'!$D$2:$D$3873=$A$3)*('Data - Visits'!$E$2:$E$3873=$E$5)*('Data - Visits'!$F$2:$F$3873=B$6)*('Data - Visits'!$I$2:$I$3873)),IF(AND(OR($A$3="Virtual",$A$3="Face to face"),OR($A$2="Non-metropolitan",$A$2="Metropolitan")),SUMPRODUCT(('Data - Visits'!$A$2:$A$3873=$A11)*('Data - Visits'!$D$2:$D$3873=$A$3)*('Data - Visits'!$H$2:$H$3873=$A$2)*('Data - Visits'!$E$2:$E$3873=$E$5)*('Data - Visits'!$F$2:$F$3873=B$6)*('Data - Visits'!$I$2:$I$3873)),IF(AND(OR($A$3="Virtual",$A$3="Face to face"),OR($A$2="Predominantly Urban",$A$2="Significantly Rural",$A$2="Predominantly Rural")),SUMPRODUCT(('Data - Visits'!$A$2:$A$3873=$A11)*('Data - Visits'!$D$2:$D$3873=$A$3)*('Data - Visits'!$G$2:$G$3873=$A$2)*('Data - Visits'!$E$2:$E$3873=$E$5)*('Data - Visits'!$F$2:$F$3873=B$6)*('Data - Visits'!$I$2:$I$3873)),IF(OR($A$3="Virtual",$A$3="Face to face"),SUMPRODUCT(('Data - Visits'!$A$2:$A$3873=$A11)*('Data - Visits'!$B$2:$B$3873=$A$2)*('Data - Visits'!$D$2:$D$3873=$A$3)*('Data - Visits'!$E$2:$E$3873=$E$5)*('Data - Visits'!$F$2:$F$3873=B$6)*('Data - Visits'!$I$2:$I$3873))))))))))</f>
        <v>537003</v>
      </c>
      <c r="C11" s="27" cm="1">
        <f t="array" ref="C11">IF(AND($A$2="England",OR($A$3="Total")),SUMPRODUCT(('Data - Visits'!$A$2:$A$3873=$A11)*('Data - Visits'!$E$2:$E$3873=$E$5)*('Data - Visits'!$F$2:$F$3873=C$6)*('Data - Visits'!$I$2:$I$3873)),IF(AND($A$3="Total",OR($A$2="Non-metropolitan",$A$2="Metropolitan")),SUMPRODUCT(('Data - Visits'!$A$2:$A$3873=$A11)*('Data - Visits'!$H$2:$H$3873=$A$2)*('Data - Visits'!$E$2:$E$3873=$E$5)*('Data - Visits'!$F$2:$F$3873=C$6)*('Data - Visits'!$I$2:$I$3873)),IF(AND($A$3="Total",OR($A$2="Predominantly Urban",$A$2="Significantly Rural",$A$2="Predominantly Rural")),SUMPRODUCT(('Data - Visits'!$A$2:$A$3873=$A11)*('Data - Visits'!$G$2:$G$3873=$A$2)*('Data - Visits'!$E$2:$E$3873=$E$5)*('Data - Visits'!$F$2:$F$3873=C$6)*('Data - Visits'!$I$2:$I$3873)),IF($A$3="Total",SUMPRODUCT(('Data - Visits'!$A$2:$A$3873=$A11)*('Data - Visits'!$B$2:$B$3873=$A$2)*('Data - Visits'!$E$2:$E$3873=$E$5)*('Data - Visits'!$F$2:$F$3873=C$6)*('Data - Visits'!$I$2:$I$3873)),IF(AND($A$2="England",OR($A$3="Virtual",$A$3="Face to face")),SUMPRODUCT(('Data - Visits'!$A$2:$A$3873=$A11)*('Data - Visits'!$D$2:$D$3873=$A$3)*('Data - Visits'!$E$2:$E$3873=$E$5)*('Data - Visits'!$F$2:$F$3873=C$6)*('Data - Visits'!$I$2:$I$3873)),IF(AND(OR($A$3="Virtual",$A$3="Face to face"),OR($A$2="Non-metropolitan",$A$2="Metropolitan")),SUMPRODUCT(('Data - Visits'!$A$2:$A$3873=$A11)*('Data - Visits'!$D$2:$D$3873=$A$3)*('Data - Visits'!$H$2:$H$3873=$A$2)*('Data - Visits'!$E$2:$E$3873=$E$5)*('Data - Visits'!$F$2:$F$3873=C$6)*('Data - Visits'!$I$2:$I$3873)),IF(AND(OR($A$3="Virtual",$A$3="Face to face"),OR($A$2="Predominantly Urban",$A$2="Significantly Rural",$A$2="Predominantly Rural")),SUMPRODUCT(('Data - Visits'!$A$2:$A$3873=$A11)*('Data - Visits'!$D$2:$D$3873=$A$3)*('Data - Visits'!$G$2:$G$3873=$A$2)*('Data - Visits'!$E$2:$E$3873=$E$5)*('Data - Visits'!$F$2:$F$3873=C$6)*('Data - Visits'!$I$2:$I$3873)),IF(OR($A$3="Virtual",$A$3="Face to face"),SUMPRODUCT(('Data - Visits'!$A$2:$A$3873=$A11)*('Data - Visits'!$B$2:$B$3873=$A$2)*('Data - Visits'!$D$2:$D$3873=$A$3)*('Data - Visits'!$E$2:$E$3873=$E$5)*('Data - Visits'!$F$2:$F$3873=C$6)*('Data - Visits'!$I$2:$I$3873))))))))))</f>
        <v>405283</v>
      </c>
      <c r="D11" s="27" cm="1">
        <f t="array" ref="D11">IF(AND($A$2="England",OR($A$3="Total")),SUMPRODUCT(('Data - Visits'!$A$2:$A$3873=$A11)*('Data - Visits'!$E$2:$E$3873=$E$5)*('Data - Visits'!$F$2:$F$3873=D$6)*('Data - Visits'!$I$2:$I$3873)),IF(AND($A$3="Total",OR($A$2="Non-metropolitan",$A$2="Metropolitan")),SUMPRODUCT(('Data - Visits'!$A$2:$A$3873=$A11)*('Data - Visits'!$H$2:$H$3873=$A$2)*('Data - Visits'!$E$2:$E$3873=$E$5)*('Data - Visits'!$F$2:$F$3873=D$6)*('Data - Visits'!$I$2:$I$3873)),IF(AND($A$3="Total",OR($A$2="Predominantly Urban",$A$2="Significantly Rural",$A$2="Predominantly Rural")),SUMPRODUCT(('Data - Visits'!$A$2:$A$3873=$A11)*('Data - Visits'!$G$2:$G$3873=$A$2)*('Data - Visits'!$E$2:$E$3873=$E$5)*('Data - Visits'!$F$2:$F$3873=D$6)*('Data - Visits'!$I$2:$I$3873)),IF($A$3="Total",SUMPRODUCT(('Data - Visits'!$A$2:$A$3873=$A11)*('Data - Visits'!$B$2:$B$3873=$A$2)*('Data - Visits'!$E$2:$E$3873=$E$5)*('Data - Visits'!$F$2:$F$3873=D$6)*('Data - Visits'!$I$2:$I$3873)),IF(AND($A$2="England",OR($A$3="Virtual",$A$3="Face to face")),SUMPRODUCT(('Data - Visits'!$A$2:$A$3873=$A11)*('Data - Visits'!$D$2:$D$3873=$A$3)*('Data - Visits'!$E$2:$E$3873=$E$5)*('Data - Visits'!$F$2:$F$3873=D$6)*('Data - Visits'!$I$2:$I$3873)),IF(AND(OR($A$3="Virtual",$A$3="Face to face"),OR($A$2="Non-metropolitan",$A$2="Metropolitan")),SUMPRODUCT(('Data - Visits'!$A$2:$A$3873=$A11)*('Data - Visits'!$D$2:$D$3873=$A$3)*('Data - Visits'!$H$2:$H$3873=$A$2)*('Data - Visits'!$E$2:$E$3873=$E$5)*('Data - Visits'!$F$2:$F$3873=D$6)*('Data - Visits'!$I$2:$I$3873)),IF(AND(OR($A$3="Virtual",$A$3="Face to face"),OR($A$2="Predominantly Urban",$A$2="Significantly Rural",$A$2="Predominantly Rural")),SUMPRODUCT(('Data - Visits'!$A$2:$A$3873=$A11)*('Data - Visits'!$D$2:$D$3873=$A$3)*('Data - Visits'!$G$2:$G$3873=$A$2)*('Data - Visits'!$E$2:$E$3873=$E$5)*('Data - Visits'!$F$2:$F$3873=D$6)*('Data - Visits'!$I$2:$I$3873)),IF(OR($A$3="Virtual",$A$3="Face to face"),SUMPRODUCT(('Data - Visits'!$A$2:$A$3873=$A11)*('Data - Visits'!$B$2:$B$3873=$A$2)*('Data - Visits'!$D$2:$D$3873=$A$3)*('Data - Visits'!$E$2:$E$3873=$E$5)*('Data - Visits'!$F$2:$F$3873=D$6)*('Data - Visits'!$I$2:$I$3873))))))))))</f>
        <v>125933</v>
      </c>
      <c r="E11" s="27" cm="1">
        <f t="array" ref="E11">IF(AND($A$2="England",OR($A$3="Total")),SUMPRODUCT(('Data - Visits'!$A$2:$A$3873=$A11)*('Data - Visits'!$E$2:$E$3873=$E$5)*('Data - Visits'!$F$2:$F$3873=E$6)*('Data - Visits'!$I$2:$I$3873)),IF(AND($A$3="Total",OR($A$2="Non-metropolitan",$A$2="Metropolitan")),SUMPRODUCT(('Data - Visits'!$A$2:$A$3873=$A11)*('Data - Visits'!$H$2:$H$3873=$A$2)*('Data - Visits'!$E$2:$E$3873=$E$5)*('Data - Visits'!$F$2:$F$3873=E$6)*('Data - Visits'!$I$2:$I$3873)),IF(AND($A$3="Total",OR($A$2="Predominantly Urban",$A$2="Significantly Rural",$A$2="Predominantly Rural")),SUMPRODUCT(('Data - Visits'!$A$2:$A$3873=$A11)*('Data - Visits'!$G$2:$G$3873=$A$2)*('Data - Visits'!$E$2:$E$3873=$E$5)*('Data - Visits'!$F$2:$F$3873=E$6)*('Data - Visits'!$I$2:$I$3873)),IF($A$3="Total",SUMPRODUCT(('Data - Visits'!$A$2:$A$3873=$A11)*('Data - Visits'!$B$2:$B$3873=$A$2)*('Data - Visits'!$E$2:$E$3873=$E$5)*('Data - Visits'!$F$2:$F$3873=E$6)*('Data - Visits'!$I$2:$I$3873)),IF(AND($A$2="England",OR($A$3="Virtual",$A$3="Face to face")),SUMPRODUCT(('Data - Visits'!$A$2:$A$3873=$A11)*('Data - Visits'!$D$2:$D$3873=$A$3)*('Data - Visits'!$E$2:$E$3873=$E$5)*('Data - Visits'!$F$2:$F$3873=E$6)*('Data - Visits'!$I$2:$I$3873)),IF(AND(OR($A$3="Virtual",$A$3="Face to face"),OR($A$2="Non-metropolitan",$A$2="Metropolitan")),SUMPRODUCT(('Data - Visits'!$A$2:$A$3873=$A11)*('Data - Visits'!$D$2:$D$3873=$A$3)*('Data - Visits'!$H$2:$H$3873=$A$2)*('Data - Visits'!$E$2:$E$3873=$E$5)*('Data - Visits'!$F$2:$F$3873=E$6)*('Data - Visits'!$I$2:$I$3873)),IF(AND(OR($A$3="Virtual",$A$3="Face to face"),OR($A$2="Predominantly Urban",$A$2="Significantly Rural",$A$2="Predominantly Rural")),SUMPRODUCT(('Data - Visits'!$A$2:$A$3873=$A11)*('Data - Visits'!$D$2:$D$3873=$A$3)*('Data - Visits'!$G$2:$G$3873=$A$2)*('Data - Visits'!$E$2:$E$3873=$E$5)*('Data - Visits'!$F$2:$F$3873=E$6)*('Data - Visits'!$I$2:$I$3873)),IF(OR($A$3="Virtual",$A$3="Face to face"),SUMPRODUCT(('Data - Visits'!$A$2:$A$3873=$A11)*('Data - Visits'!$B$2:$B$3873=$A$2)*('Data - Visits'!$D$2:$D$3873=$A$3)*('Data - Visits'!$E$2:$E$3873=$E$5)*('Data - Visits'!$F$2:$F$3873=E$6)*('Data - Visits'!$I$2:$I$3873))))))))))</f>
        <v>127759</v>
      </c>
      <c r="F11" s="27" cm="1">
        <f t="array" ref="F11">IF(AND($A$2="England",OR($A$3="Total")),SUMPRODUCT(('Data - Visits'!$A$2:$A$3873=$A11)*('Data - Visits'!$E$2:$E$3873=$E$5)*('Data - Visits'!$F$2:$F$3873=F$6)*('Data - Visits'!$I$2:$I$3873)),IF(AND($A$3="Total",OR($A$2="Non-metropolitan",$A$2="Metropolitan")),SUMPRODUCT(('Data - Visits'!$A$2:$A$3873=$A11)*('Data - Visits'!$H$2:$H$3873=$A$2)*('Data - Visits'!$E$2:$E$3873=$E$5)*('Data - Visits'!$F$2:$F$3873=F$6)*('Data - Visits'!$I$2:$I$3873)),IF(AND($A$3="Total",OR($A$2="Predominantly Urban",$A$2="Significantly Rural",$A$2="Predominantly Rural")),SUMPRODUCT(('Data - Visits'!$A$2:$A$3873=$A11)*('Data - Visits'!$G$2:$G$3873=$A$2)*('Data - Visits'!$E$2:$E$3873=$E$5)*('Data - Visits'!$F$2:$F$3873=F$6)*('Data - Visits'!$I$2:$I$3873)),IF($A$3="Total",SUMPRODUCT(('Data - Visits'!$A$2:$A$3873=$A11)*('Data - Visits'!$B$2:$B$3873=$A$2)*('Data - Visits'!$E$2:$E$3873=$E$5)*('Data - Visits'!$F$2:$F$3873=F$6)*('Data - Visits'!$I$2:$I$3873)),IF(AND($A$2="England",OR($A$3="Virtual",$A$3="Face to face")),SUMPRODUCT(('Data - Visits'!$A$2:$A$3873=$A11)*('Data - Visits'!$D$2:$D$3873=$A$3)*('Data - Visits'!$E$2:$E$3873=$E$5)*('Data - Visits'!$F$2:$F$3873=F$6)*('Data - Visits'!$I$2:$I$3873)),IF(AND(OR($A$3="Virtual",$A$3="Face to face"),OR($A$2="Non-metropolitan",$A$2="Metropolitan")),SUMPRODUCT(('Data - Visits'!$A$2:$A$3873=$A11)*('Data - Visits'!$D$2:$D$3873=$A$3)*('Data - Visits'!$H$2:$H$3873=$A$2)*('Data - Visits'!$E$2:$E$3873=$E$5)*('Data - Visits'!$F$2:$F$3873=F$6)*('Data - Visits'!$I$2:$I$3873)),IF(AND(OR($A$3="Virtual",$A$3="Face to face"),OR($A$2="Predominantly Urban",$A$2="Significantly Rural",$A$2="Predominantly Rural")),SUMPRODUCT(('Data - Visits'!$A$2:$A$3873=$A11)*('Data - Visits'!$D$2:$D$3873=$A$3)*('Data - Visits'!$G$2:$G$3873=$A$2)*('Data - Visits'!$E$2:$E$3873=$E$5)*('Data - Visits'!$F$2:$F$3873=F$6)*('Data - Visits'!$I$2:$I$3873)),IF(OR($A$3="Virtual",$A$3="Face to face"),SUMPRODUCT(('Data - Visits'!$A$2:$A$3873=$A11)*('Data - Visits'!$B$2:$B$3873=$A$2)*('Data - Visits'!$D$2:$D$3873=$A$3)*('Data - Visits'!$E$2:$E$3873=$E$5)*('Data - Visits'!$F$2:$F$3873=F$6)*('Data - Visits'!$I$2:$I$3873))))))))))</f>
        <v>40811</v>
      </c>
      <c r="G11" s="27">
        <f>B11-C11</f>
        <v>131720</v>
      </c>
      <c r="H11" s="20"/>
      <c r="I11" s="51" cm="1">
        <f t="array" ref="I11">IF(AND($A$2="England",OR($A$3="Total")),SUMPRODUCT(('Data - Visits'!$A$2:$A$3873=$A11)*('Data - Visits'!$C$2:$C$3873=$L$4)*('Data - Visits'!$E$2:$E$3873=$L$5)*('Data - Visits'!$F$2:$F$3873=I$6)*('Data - Visits'!$I$2:$I$3873)),IF(AND($A$3="Total",OR($A$2="Non-metropolitan",$A$2="Metropolitan")),SUMPRODUCT(('Data - Visits'!$A$2:$A$3873=$A11)*('Data - Visits'!$C$2:$C$3873=$L$4)*('Data - Visits'!$H$2:$H$3873=$A$2)*('Data - Visits'!$E$2:$E$3873=$L$5)*('Data - Visits'!$F$2:$F$3873=I$6)*('Data - Visits'!$I$2:$I$3873)),IF(AND($A$3="Total",OR($A$2="Predominantly Urban",$A$2="Significantly Rural",$A$2="Predominantly Rural")),SUMPRODUCT(('Data - Visits'!$A$2:$A$3873=$A11)*('Data - Visits'!$C$2:$C$3873=$L$4)*('Data - Visits'!$G$2:$G$3873=$A$2)*('Data - Visits'!$E$2:$E$3873=$L$5)*('Data - Visits'!$F$2:$F$3873=I$6)*('Data - Visits'!$I$2:$I$3873)),IF($A$3="Total",SUMPRODUCT(('Data - Visits'!$A$2:$A$3873=$A11)*('Data - Visits'!$B$2:$B$3873=$A$2)*('Data - Visits'!$C$2:$C$3873=$L$4)*('Data - Visits'!$E$2:$E$3873=$L$5)*('Data - Visits'!$F$2:$F$3873=I$6)*('Data - Visits'!$I$2:$I$3873)),IF(AND($A$2="England",OR($A$3="Virtual",$A$3="Face to face")),SUMPRODUCT(('Data - Visits'!$A$2:$A$3873=$A11)*('Data - Visits'!$C$2:$C$3873=$L$4)*('Data - Visits'!$D$2:$D$3873=$A$3)*('Data - Visits'!$E$2:$E$3873=$L$5)*('Data - Visits'!$F$2:$F$3873=I$6)*('Data - Visits'!$I$2:$I$3873)),IF(AND(OR($A$3="Virtual",$A$3="Face to face"),OR($A$2="Non-metropolitan",$A$2="Metropolitan")),SUMPRODUCT(('Data - Visits'!$A$2:$A$3873=$A11)*('Data - Visits'!$C$2:$C$3873=$L$4)*('Data - Visits'!$D$2:$D$3873=$A$3)*('Data - Visits'!$H$2:$H$3873=$A$2)*('Data - Visits'!$E$2:$E$3873=$L$5)*('Data - Visits'!$F$2:$F$3873=I$6)*('Data - Visits'!$I$2:$I$3873)),IF(AND(OR($A$3="Virtual",$A$3="Face to face"),OR($A$2="Predominantly Urban",$A$2="Significantly Rural",$A$2="Predominantly Rural")),SUMPRODUCT(('Data - Visits'!$A$2:$A$3873=$A11)*('Data - Visits'!$C$2:$C$3873=$L$4)*('Data - Visits'!$D$2:$D$3873=$A$3)*('Data - Visits'!$G$2:$G$3873=$A$2)*('Data - Visits'!$E$2:$E$3873=$L$5)*('Data - Visits'!$F$2:$F$3873=I$6)*('Data - Visits'!$I$2:$I$3873)),IF(OR($A$3="Virtual",$A$3="Face to face"),SUMPRODUCT(('Data - Visits'!$A$2:$A$3873=$A11)*('Data - Visits'!$B$2:$B$3873=$A$2)*('Data - Visits'!$C$2:$C$3873=$L$4)*('Data - Visits'!$D$2:$D$3873=$A$3)*('Data - Visits'!$E$2:$E$3873=$L$5)*('Data - Visits'!$F$2:$F$3873=I$6)*('Data - Visits'!$I$2:$I$3873))))))))))</f>
        <v>529423</v>
      </c>
      <c r="J11" s="27" cm="1">
        <f t="array" ref="J11">IF(AND($A$2="England",OR($A$3="Total")),SUMPRODUCT(('Data - Visits'!$A$2:$A$3873=$A11)*('Data - Visits'!$C$2:$C$3873=$L$4)*('Data - Visits'!$E$2:$E$3873=$L$5)*('Data - Visits'!$F$2:$F$3873=J$6)*('Data - Visits'!$I$2:$I$3873)),IF(AND($A$3="Total",OR($A$2="Non-metropolitan",$A$2="Metropolitan")),SUMPRODUCT(('Data - Visits'!$A$2:$A$3873=$A11)*('Data - Visits'!$C$2:$C$3873=$L$4)*('Data - Visits'!$H$2:$H$3873=$A$2)*('Data - Visits'!$E$2:$E$3873=$L$5)*('Data - Visits'!$F$2:$F$3873=J$6)*('Data - Visits'!$I$2:$I$3873)),IF(AND($A$3="Total",OR($A$2="Predominantly Urban",$A$2="Significantly Rural",$A$2="Predominantly Rural")),SUMPRODUCT(('Data - Visits'!$A$2:$A$3873=$A11)*('Data - Visits'!$C$2:$C$3873=$L$4)*('Data - Visits'!$G$2:$G$3873=$A$2)*('Data - Visits'!$E$2:$E$3873=$L$5)*('Data - Visits'!$F$2:$F$3873=J$6)*('Data - Visits'!$I$2:$I$3873)),IF($A$3="Total",SUMPRODUCT(('Data - Visits'!$A$2:$A$3873=$A11)*('Data - Visits'!$B$2:$B$3873=$A$2)*('Data - Visits'!$C$2:$C$3873=$L$4)*('Data - Visits'!$E$2:$E$3873=$L$5)*('Data - Visits'!$F$2:$F$3873=J$6)*('Data - Visits'!$I$2:$I$3873)),IF(AND($A$2="England",OR($A$3="Virtual",$A$3="Face to face")),SUMPRODUCT(('Data - Visits'!$A$2:$A$3873=$A11)*('Data - Visits'!$C$2:$C$3873=$L$4)*('Data - Visits'!$D$2:$D$3873=$A$3)*('Data - Visits'!$E$2:$E$3873=$L$5)*('Data - Visits'!$F$2:$F$3873=J$6)*('Data - Visits'!$I$2:$I$3873)),IF(AND(OR($A$3="Virtual",$A$3="Face to face"),OR($A$2="Non-metropolitan",$A$2="Metropolitan")),SUMPRODUCT(('Data - Visits'!$A$2:$A$3873=$A11)*('Data - Visits'!$C$2:$C$3873=$L$4)*('Data - Visits'!$D$2:$D$3873=$A$3)*('Data - Visits'!$H$2:$H$3873=$A$2)*('Data - Visits'!$E$2:$E$3873=$L$5)*('Data - Visits'!$F$2:$F$3873=J$6)*('Data - Visits'!$I$2:$I$3873)),IF(AND(OR($A$3="Virtual",$A$3="Face to face"),OR($A$2="Predominantly Urban",$A$2="Significantly Rural",$A$2="Predominantly Rural")),SUMPRODUCT(('Data - Visits'!$A$2:$A$3873=$A11)*('Data - Visits'!$C$2:$C$3873=$L$4)*('Data - Visits'!$D$2:$D$3873=$A$3)*('Data - Visits'!$G$2:$G$3873=$A$2)*('Data - Visits'!$E$2:$E$3873=$L$5)*('Data - Visits'!$F$2:$F$3873=J$6)*('Data - Visits'!$I$2:$I$3873)),IF(OR($A$3="Virtual",$A$3="Face to face"),SUMPRODUCT(('Data - Visits'!$A$2:$A$3873=$A11)*('Data - Visits'!$B$2:$B$3873=$A$2)*('Data - Visits'!$C$2:$C$3873=$L$4)*('Data - Visits'!$D$2:$D$3873=$A$3)*('Data - Visits'!$E$2:$E$3873=$L$5)*('Data - Visits'!$F$2:$F$3873=J$6)*('Data - Visits'!$I$2:$I$3873))))))))))</f>
        <v>405283</v>
      </c>
      <c r="K11" s="27" cm="1">
        <f t="array" ref="K11">IF(AND($A$2="England",OR($A$3="Total")),SUMPRODUCT(('Data - Visits'!$A$2:$A$3873=$A11)*('Data - Visits'!$C$2:$C$3873=$L$4)*('Data - Visits'!$E$2:$E$3873=$L$5)*('Data - Visits'!$F$2:$F$3873=K$6)*('Data - Visits'!$I$2:$I$3873)),IF(AND($A$3="Total",OR($A$2="Non-metropolitan",$A$2="Metropolitan")),SUMPRODUCT(('Data - Visits'!$A$2:$A$3873=$A11)*('Data - Visits'!$C$2:$C$3873=$L$4)*('Data - Visits'!$H$2:$H$3873=$A$2)*('Data - Visits'!$E$2:$E$3873=$L$5)*('Data - Visits'!$F$2:$F$3873=K$6)*('Data - Visits'!$I$2:$I$3873)),IF(AND($A$3="Total",OR($A$2="Predominantly Urban",$A$2="Significantly Rural",$A$2="Predominantly Rural")),SUMPRODUCT(('Data - Visits'!$A$2:$A$3873=$A11)*('Data - Visits'!$C$2:$C$3873=$L$4)*('Data - Visits'!$G$2:$G$3873=$A$2)*('Data - Visits'!$E$2:$E$3873=$L$5)*('Data - Visits'!$F$2:$F$3873=K$6)*('Data - Visits'!$I$2:$I$3873)),IF($A$3="Total",SUMPRODUCT(('Data - Visits'!$A$2:$A$3873=$A11)*('Data - Visits'!$B$2:$B$3873=$A$2)*('Data - Visits'!$C$2:$C$3873=$L$4)*('Data - Visits'!$E$2:$E$3873=$L$5)*('Data - Visits'!$F$2:$F$3873=K$6)*('Data - Visits'!$I$2:$I$3873)),IF(AND($A$2="England",OR($A$3="Virtual",$A$3="Face to face")),SUMPRODUCT(('Data - Visits'!$A$2:$A$3873=$A11)*('Data - Visits'!$C$2:$C$3873=$L$4)*('Data - Visits'!$D$2:$D$3873=$A$3)*('Data - Visits'!$E$2:$E$3873=$L$5)*('Data - Visits'!$F$2:$F$3873=K$6)*('Data - Visits'!$I$2:$I$3873)),IF(AND(OR($A$3="Virtual",$A$3="Face to face"),OR($A$2="Non-metropolitan",$A$2="Metropolitan")),SUMPRODUCT(('Data - Visits'!$A$2:$A$3873=$A11)*('Data - Visits'!$C$2:$C$3873=$L$4)*('Data - Visits'!$D$2:$D$3873=$A$3)*('Data - Visits'!$H$2:$H$3873=$A$2)*('Data - Visits'!$E$2:$E$3873=$L$5)*('Data - Visits'!$F$2:$F$3873=K$6)*('Data - Visits'!$I$2:$I$3873)),IF(AND(OR($A$3="Virtual",$A$3="Face to face"),OR($A$2="Predominantly Urban",$A$2="Significantly Rural",$A$2="Predominantly Rural")),SUMPRODUCT(('Data - Visits'!$A$2:$A$3873=$A11)*('Data - Visits'!$C$2:$C$3873=$L$4)*('Data - Visits'!$D$2:$D$3873=$A$3)*('Data - Visits'!$G$2:$G$3873=$A$2)*('Data - Visits'!$E$2:$E$3873=$L$5)*('Data - Visits'!$F$2:$F$3873=K$6)*('Data - Visits'!$I$2:$I$3873)),IF(OR($A$3="Virtual",$A$3="Face to face"),SUMPRODUCT(('Data - Visits'!$A$2:$A$3873=$A11)*('Data - Visits'!$B$2:$B$3873=$A$2)*('Data - Visits'!$C$2:$C$3873=$L$4)*('Data - Visits'!$D$2:$D$3873=$A$3)*('Data - Visits'!$E$2:$E$3873=$L$5)*('Data - Visits'!$F$2:$F$3873=K$6)*('Data - Visits'!$I$2:$I$3873))))))))))</f>
        <v>124371</v>
      </c>
      <c r="L11" s="27" cm="1">
        <f t="array" ref="L11">IF(AND($A$2="England",OR($A$3="Total")),SUMPRODUCT(('Data - Visits'!$A$2:$A$3873=$A11)*('Data - Visits'!$C$2:$C$3873=$L$4)*('Data - Visits'!$E$2:$E$3873=$L$5)*('Data - Visits'!$F$2:$F$3873=L$6)*('Data - Visits'!$I$2:$I$3873)),IF(AND($A$3="Total",OR($A$2="Non-metropolitan",$A$2="Metropolitan")),SUMPRODUCT(('Data - Visits'!$A$2:$A$3873=$A11)*('Data - Visits'!$C$2:$C$3873=$L$4)*('Data - Visits'!$H$2:$H$3873=$A$2)*('Data - Visits'!$E$2:$E$3873=$L$5)*('Data - Visits'!$F$2:$F$3873=L$6)*('Data - Visits'!$I$2:$I$3873)),IF(AND($A$3="Total",OR($A$2="Predominantly Urban",$A$2="Significantly Rural",$A$2="Predominantly Rural")),SUMPRODUCT(('Data - Visits'!$A$2:$A$3873=$A11)*('Data - Visits'!$C$2:$C$3873=$L$4)*('Data - Visits'!$G$2:$G$3873=$A$2)*('Data - Visits'!$E$2:$E$3873=$L$5)*('Data - Visits'!$F$2:$F$3873=L$6)*('Data - Visits'!$I$2:$I$3873)),IF($A$3="Total",SUMPRODUCT(('Data - Visits'!$A$2:$A$3873=$A11)*('Data - Visits'!$B$2:$B$3873=$A$2)*('Data - Visits'!$C$2:$C$3873=$L$4)*('Data - Visits'!$E$2:$E$3873=$L$5)*('Data - Visits'!$F$2:$F$3873=L$6)*('Data - Visits'!$I$2:$I$3873)),IF(AND($A$2="England",OR($A$3="Virtual",$A$3="Face to face")),SUMPRODUCT(('Data - Visits'!$A$2:$A$3873=$A11)*('Data - Visits'!$C$2:$C$3873=$L$4)*('Data - Visits'!$D$2:$D$3873=$A$3)*('Data - Visits'!$E$2:$E$3873=$L$5)*('Data - Visits'!$F$2:$F$3873=L$6)*('Data - Visits'!$I$2:$I$3873)),IF(AND(OR($A$3="Virtual",$A$3="Face to face"),OR($A$2="Non-metropolitan",$A$2="Metropolitan")),SUMPRODUCT(('Data - Visits'!$A$2:$A$3873=$A11)*('Data - Visits'!$C$2:$C$3873=$L$4)*('Data - Visits'!$D$2:$D$3873=$A$3)*('Data - Visits'!$H$2:$H$3873=$A$2)*('Data - Visits'!$E$2:$E$3873=$L$5)*('Data - Visits'!$F$2:$F$3873=L$6)*('Data - Visits'!$I$2:$I$3873)),IF(AND(OR($A$3="Virtual",$A$3="Face to face"),OR($A$2="Predominantly Urban",$A$2="Significantly Rural",$A$2="Predominantly Rural")),SUMPRODUCT(('Data - Visits'!$A$2:$A$3873=$A11)*('Data - Visits'!$C$2:$C$3873=$L$4)*('Data - Visits'!$D$2:$D$3873=$A$3)*('Data - Visits'!$G$2:$G$3873=$A$2)*('Data - Visits'!$E$2:$E$3873=$L$5)*('Data - Visits'!$F$2:$F$3873=L$6)*('Data - Visits'!$I$2:$I$3873)),IF(OR($A$3="Virtual",$A$3="Face to face"),SUMPRODUCT(('Data - Visits'!$A$2:$A$3873=$A11)*('Data - Visits'!$B$2:$B$3873=$A$2)*('Data - Visits'!$C$2:$C$3873=$L$4)*('Data - Visits'!$D$2:$D$3873=$A$3)*('Data - Visits'!$E$2:$E$3873=$L$5)*('Data - Visits'!$F$2:$F$3873=L$6)*('Data - Visits'!$I$2:$I$3873))))))))))</f>
        <v>126169</v>
      </c>
      <c r="M11" s="27" cm="1">
        <f t="array" ref="M11">IF(AND($A$2="England",OR($A$3="Total")),SUMPRODUCT(('Data - Visits'!$A$2:$A$3873=$A11)*('Data - Visits'!$C$2:$C$3873=$L$4)*('Data - Visits'!$E$2:$E$3873=$L$5)*('Data - Visits'!$F$2:$F$3873=M$6)*('Data - Visits'!$I$2:$I$3873)),IF(AND($A$3="Total",OR($A$2="Non-metropolitan",$A$2="Metropolitan")),SUMPRODUCT(('Data - Visits'!$A$2:$A$3873=$A11)*('Data - Visits'!$C$2:$C$3873=$L$4)*('Data - Visits'!$H$2:$H$3873=$A$2)*('Data - Visits'!$E$2:$E$3873=$L$5)*('Data - Visits'!$F$2:$F$3873=M$6)*('Data - Visits'!$I$2:$I$3873)),IF(AND($A$3="Total",OR($A$2="Predominantly Urban",$A$2="Significantly Rural",$A$2="Predominantly Rural")),SUMPRODUCT(('Data - Visits'!$A$2:$A$3873=$A11)*('Data - Visits'!$C$2:$C$3873=$L$4)*('Data - Visits'!$G$2:$G$3873=$A$2)*('Data - Visits'!$E$2:$E$3873=$L$5)*('Data - Visits'!$F$2:$F$3873=M$6)*('Data - Visits'!$I$2:$I$3873)),IF($A$3="Total",SUMPRODUCT(('Data - Visits'!$A$2:$A$3873=$A11)*('Data - Visits'!$B$2:$B$3873=$A$2)*('Data - Visits'!$C$2:$C$3873=$L$4)*('Data - Visits'!$E$2:$E$3873=$L$5)*('Data - Visits'!$F$2:$F$3873=M$6)*('Data - Visits'!$I$2:$I$3873)),IF(AND($A$2="England",OR($A$3="Virtual",$A$3="Face to face")),SUMPRODUCT(('Data - Visits'!$A$2:$A$3873=$A11)*('Data - Visits'!$C$2:$C$3873=$L$4)*('Data - Visits'!$D$2:$D$3873=$A$3)*('Data - Visits'!$E$2:$E$3873=$L$5)*('Data - Visits'!$F$2:$F$3873=M$6)*('Data - Visits'!$I$2:$I$3873)),IF(AND(OR($A$3="Virtual",$A$3="Face to face"),OR($A$2="Non-metropolitan",$A$2="Metropolitan")),SUMPRODUCT(('Data - Visits'!$A$2:$A$3873=$A11)*('Data - Visits'!$C$2:$C$3873=$L$4)*('Data - Visits'!$D$2:$D$3873=$A$3)*('Data - Visits'!$H$2:$H$3873=$A$2)*('Data - Visits'!$E$2:$E$3873=$L$5)*('Data - Visits'!$F$2:$F$3873=M$6)*('Data - Visits'!$I$2:$I$3873)),IF(AND(OR($A$3="Virtual",$A$3="Face to face"),OR($A$2="Predominantly Urban",$A$2="Significantly Rural",$A$2="Predominantly Rural")),SUMPRODUCT(('Data - Visits'!$A$2:$A$3873=$A11)*('Data - Visits'!$C$2:$C$3873=$L$4)*('Data - Visits'!$D$2:$D$3873=$A$3)*('Data - Visits'!$G$2:$G$3873=$A$2)*('Data - Visits'!$E$2:$E$3873=$L$5)*('Data - Visits'!$F$2:$F$3873=M$6)*('Data - Visits'!$I$2:$I$3873)),IF(OR($A$3="Virtual",$A$3="Face to face"),SUMPRODUCT(('Data - Visits'!$A$2:$A$3873=$A11)*('Data - Visits'!$B$2:$B$3873=$A$2)*('Data - Visits'!$C$2:$C$3873=$L$4)*('Data - Visits'!$D$2:$D$3873=$A$3)*('Data - Visits'!$E$2:$E$3873=$L$5)*('Data - Visits'!$F$2:$F$3873=M$6)*('Data - Visits'!$I$2:$I$3873))))))))))</f>
        <v>39517</v>
      </c>
      <c r="N11" s="27">
        <f>I11-J11</f>
        <v>124140</v>
      </c>
      <c r="O11" s="50"/>
      <c r="P11" s="51" cm="1">
        <f t="array" ref="P11">IF(AND($A$2="England",OR($A$3="Total")),SUMPRODUCT(('Data - Visits'!$A$2:$A$3873=$A11)*('Data - Visits'!$C$2:$C$3873=$R$4)*('Data - Visits'!$E$2:$E$3873=$R$5)*('Data - Visits'!$F$2:$F$3873=P$6)*('Data - Visits'!$I$2:$I$3873)),IF(AND($A$3="Total",OR($A$2="Non-metropolitan",$A$2="Metropolitan")),SUMPRODUCT(('Data - Visits'!$A$2:$A$3873=$A11)*('Data - Visits'!$C$2:$C$3873=$R$4)*('Data - Visits'!$H$2:$H$3873=$A$2)*('Data - Visits'!$E$2:$E$3873=$R$5)*('Data - Visits'!$F$2:$F$3873=P$6)*('Data - Visits'!$I$2:$I$3873)),IF(AND($A$3="Total",OR($A$2="Predominantly Urban",$A$2="Significantly Rural",$A$2="Predominantly Rural")),SUMPRODUCT(('Data - Visits'!$A$2:$A$3873=$A11)*('Data - Visits'!$C$2:$C$3873=$R$4)*('Data - Visits'!$G$2:$G$3873=$A$2)*('Data - Visits'!$E$2:$E$3873=$R$5)*('Data - Visits'!$F$2:$F$3873=P$6)*('Data - Visits'!$I$2:$I$3873)),IF($A$3="Total",SUMPRODUCT(('Data - Visits'!$A$2:$A$3873=$A11)*('Data - Visits'!$B$2:$B$3873=$A$2)*('Data - Visits'!$C$2:$C$3873=$R$4)*('Data - Visits'!$E$2:$E$3873=$R$5)*('Data - Visits'!$F$2:$F$3873=P$6)*('Data - Visits'!$I$2:$I$3873)),IF(AND($A$2="England",OR($A$3="Virtual",$A$3="Face to face")),SUMPRODUCT(('Data - Visits'!$A$2:$A$3873=$A11)*('Data - Visits'!$C$2:$C$3873=$R$4)*('Data - Visits'!$D$2:$D$3873=$A$3)*('Data - Visits'!$E$2:$E$3873=$R$5)*('Data - Visits'!$F$2:$F$3873=P$6)*('Data - Visits'!$I$2:$I$3873)),IF(AND(OR($A$3="Virtual",$A$3="Face to face"),OR($A$2="Non-metropolitan",$A$2="Metropolitan")),SUMPRODUCT(('Data - Visits'!$A$2:$A$3873=$A11)*('Data - Visits'!$C$2:$C$3873=$R$4)*('Data - Visits'!$D$2:$D$3873=$A$3)*('Data - Visits'!$H$2:$H$3873=$A$2)*('Data - Visits'!$E$2:$E$3873=$R$5)*('Data - Visits'!$F$2:$F$3873=P$6)*('Data - Visits'!$I$2:$I$3873)),IF(AND(OR($A$3="Virtual",$A$3="Face to face"),OR($A$2="Predominantly Urban",$A$2="Significantly Rural",$A$2="Predominantly Rural")),SUMPRODUCT(('Data - Visits'!$A$2:$A$3873=$A11)*('Data - Visits'!$C$2:$C$3873=$R$4)*('Data - Visits'!$D$2:$D$3873=$A$3)*('Data - Visits'!$G$2:$G$3873=$A$2)*('Data - Visits'!$E$2:$E$3873=$R$5)*('Data - Visits'!$F$2:$F$3873=P$6)*('Data - Visits'!$I$2:$I$3873)),IF(OR($A$3="Virtual",$A$3="Face to face"),SUMPRODUCT(('Data - Visits'!$A$2:$A$3873=$A11)*('Data - Visits'!$B$2:$B$3873=$A$2)*('Data - Visits'!$C$2:$C$3873=$R$4)*('Data - Visits'!$D$2:$D$3873=$A$3)*('Data - Visits'!$E$2:$E$3873=$R$5)*('Data - Visits'!$F$2:$F$3873=P$6)*('Data - Visits'!$I$2:$I$3873))))))))))</f>
        <v>7580</v>
      </c>
      <c r="Q11" s="51" cm="1">
        <f t="array" ref="Q11">IF(AND($A$2="England",OR($A$3="Total")),SUMPRODUCT(('Data - Visits'!$A$2:$A$3873=$A11)*('Data - Visits'!$C$2:$C$3873=$R$4)*('Data - Visits'!$E$2:$E$3873=$R$5)*('Data - Visits'!$F$2:$F$3873=Q$6)*('Data - Visits'!$I$2:$I$3873)),IF(AND($A$3="Total",OR($A$2="Non-metropolitan",$A$2="Metropolitan")),SUMPRODUCT(('Data - Visits'!$A$2:$A$3873=$A11)*('Data - Visits'!$C$2:$C$3873=$R$4)*('Data - Visits'!$H$2:$H$3873=$A$2)*('Data - Visits'!$E$2:$E$3873=$R$5)*('Data - Visits'!$F$2:$F$3873=Q$6)*('Data - Visits'!$I$2:$I$3873)),IF(AND($A$3="Total",OR($A$2="Predominantly Urban",$A$2="Significantly Rural",$A$2="Predominantly Rural")),SUMPRODUCT(('Data - Visits'!$A$2:$A$3873=$A11)*('Data - Visits'!$C$2:$C$3873=$R$4)*('Data - Visits'!$G$2:$G$3873=$A$2)*('Data - Visits'!$E$2:$E$3873=$R$5)*('Data - Visits'!$F$2:$F$3873=Q$6)*('Data - Visits'!$I$2:$I$3873)),IF($A$3="Total",SUMPRODUCT(('Data - Visits'!$A$2:$A$3873=$A11)*('Data - Visits'!$B$2:$B$3873=$A$2)*('Data - Visits'!$C$2:$C$3873=$R$4)*('Data - Visits'!$E$2:$E$3873=$R$5)*('Data - Visits'!$F$2:$F$3873=Q$6)*('Data - Visits'!$I$2:$I$3873)),IF(AND($A$2="England",OR($A$3="Virtual",$A$3="Face to face")),SUMPRODUCT(('Data - Visits'!$A$2:$A$3873=$A11)*('Data - Visits'!$C$2:$C$3873=$R$4)*('Data - Visits'!$D$2:$D$3873=$A$3)*('Data - Visits'!$E$2:$E$3873=$R$5)*('Data - Visits'!$F$2:$F$3873=Q$6)*('Data - Visits'!$I$2:$I$3873)),IF(AND(OR($A$3="Virtual",$A$3="Face to face"),OR($A$2="Non-metropolitan",$A$2="Metropolitan")),SUMPRODUCT(('Data - Visits'!$A$2:$A$3873=$A11)*('Data - Visits'!$C$2:$C$3873=$R$4)*('Data - Visits'!$D$2:$D$3873=$A$3)*('Data - Visits'!$H$2:$H$3873=$A$2)*('Data - Visits'!$E$2:$E$3873=$R$5)*('Data - Visits'!$F$2:$F$3873=Q$6)*('Data - Visits'!$I$2:$I$3873)),IF(AND(OR($A$3="Virtual",$A$3="Face to face"),OR($A$2="Predominantly Urban",$A$2="Significantly Rural",$A$2="Predominantly Rural")),SUMPRODUCT(('Data - Visits'!$A$2:$A$3873=$A11)*('Data - Visits'!$C$2:$C$3873=$R$4)*('Data - Visits'!$D$2:$D$3873=$A$3)*('Data - Visits'!$G$2:$G$3873=$A$2)*('Data - Visits'!$E$2:$E$3873=$R$5)*('Data - Visits'!$F$2:$F$3873=Q$6)*('Data - Visits'!$I$2:$I$3873)),IF(OR($A$3="Virtual",$A$3="Face to face"),SUMPRODUCT(('Data - Visits'!$A$2:$A$3873=$A11)*('Data - Visits'!$B$2:$B$3873=$A$2)*('Data - Visits'!$C$2:$C$3873=$R$4)*('Data - Visits'!$D$2:$D$3873=$A$3)*('Data - Visits'!$E$2:$E$3873=$R$5)*('Data - Visits'!$F$2:$F$3873=Q$6)*('Data - Visits'!$I$2:$I$3873))))))))))</f>
        <v>1562</v>
      </c>
      <c r="R11" s="51" cm="1">
        <f t="array" ref="R11">IF(AND($A$2="England",OR($A$3="Total")),SUMPRODUCT(('Data - Visits'!$A$2:$A$3873=$A11)*('Data - Visits'!$C$2:$C$3873=$R$4)*('Data - Visits'!$E$2:$E$3873=$R$5)*('Data - Visits'!$F$2:$F$3873=R$6)*('Data - Visits'!$I$2:$I$3873)),IF(AND($A$3="Total",OR($A$2="Non-metropolitan",$A$2="Metropolitan")),SUMPRODUCT(('Data - Visits'!$A$2:$A$3873=$A11)*('Data - Visits'!$C$2:$C$3873=$R$4)*('Data - Visits'!$H$2:$H$3873=$A$2)*('Data - Visits'!$E$2:$E$3873=$R$5)*('Data - Visits'!$F$2:$F$3873=R$6)*('Data - Visits'!$I$2:$I$3873)),IF(AND($A$3="Total",OR($A$2="Predominantly Urban",$A$2="Significantly Rural",$A$2="Predominantly Rural")),SUMPRODUCT(('Data - Visits'!$A$2:$A$3873=$A11)*('Data - Visits'!$C$2:$C$3873=$R$4)*('Data - Visits'!$G$2:$G$3873=$A$2)*('Data - Visits'!$E$2:$E$3873=$R$5)*('Data - Visits'!$F$2:$F$3873=R$6)*('Data - Visits'!$I$2:$I$3873)),IF($A$3="Total",SUMPRODUCT(('Data - Visits'!$A$2:$A$3873=$A11)*('Data - Visits'!$B$2:$B$3873=$A$2)*('Data - Visits'!$C$2:$C$3873=$R$4)*('Data - Visits'!$E$2:$E$3873=$R$5)*('Data - Visits'!$F$2:$F$3873=R$6)*('Data - Visits'!$I$2:$I$3873)),IF(AND($A$2="England",OR($A$3="Virtual",$A$3="Face to face")),SUMPRODUCT(('Data - Visits'!$A$2:$A$3873=$A11)*('Data - Visits'!$C$2:$C$3873=$R$4)*('Data - Visits'!$D$2:$D$3873=$A$3)*('Data - Visits'!$E$2:$E$3873=$R$5)*('Data - Visits'!$F$2:$F$3873=R$6)*('Data - Visits'!$I$2:$I$3873)),IF(AND(OR($A$3="Virtual",$A$3="Face to face"),OR($A$2="Non-metropolitan",$A$2="Metropolitan")),SUMPRODUCT(('Data - Visits'!$A$2:$A$3873=$A11)*('Data - Visits'!$C$2:$C$3873=$R$4)*('Data - Visits'!$D$2:$D$3873=$A$3)*('Data - Visits'!$H$2:$H$3873=$A$2)*('Data - Visits'!$E$2:$E$3873=$R$5)*('Data - Visits'!$F$2:$F$3873=R$6)*('Data - Visits'!$I$2:$I$3873)),IF(AND(OR($A$3="Virtual",$A$3="Face to face"),OR($A$2="Predominantly Urban",$A$2="Significantly Rural",$A$2="Predominantly Rural")),SUMPRODUCT(('Data - Visits'!$A$2:$A$3873=$A11)*('Data - Visits'!$C$2:$C$3873=$R$4)*('Data - Visits'!$D$2:$D$3873=$A$3)*('Data - Visits'!$G$2:$G$3873=$A$2)*('Data - Visits'!$E$2:$E$3873=$R$5)*('Data - Visits'!$F$2:$F$3873=R$6)*('Data - Visits'!$I$2:$I$3873)),IF(OR($A$3="Virtual",$A$3="Face to face"),SUMPRODUCT(('Data - Visits'!$A$2:$A$3873=$A11)*('Data - Visits'!$B$2:$B$3873=$A$2)*('Data - Visits'!$C$2:$C$3873=$R$4)*('Data - Visits'!$D$2:$D$3873=$A$3)*('Data - Visits'!$E$2:$E$3873=$R$5)*('Data - Visits'!$F$2:$F$3873=R$6)*('Data - Visits'!$I$2:$I$3873))))))))))</f>
        <v>1590</v>
      </c>
      <c r="S11" s="51" cm="1">
        <f t="array" ref="S11">IF(AND($A$2="England",OR($A$3="Total")),SUMPRODUCT(('Data - Visits'!$A$2:$A$3873=$A11)*('Data - Visits'!$C$2:$C$3873=$R$4)*('Data - Visits'!$E$2:$E$3873=$R$5)*('Data - Visits'!$F$2:$F$3873=S$6)*('Data - Visits'!$I$2:$I$3873)),IF(AND($A$3="Total",OR($A$2="Non-metropolitan",$A$2="Metropolitan")),SUMPRODUCT(('Data - Visits'!$A$2:$A$3873=$A11)*('Data - Visits'!$C$2:$C$3873=$R$4)*('Data - Visits'!$H$2:$H$3873=$A$2)*('Data - Visits'!$E$2:$E$3873=$R$5)*('Data - Visits'!$F$2:$F$3873=S$6)*('Data - Visits'!$I$2:$I$3873)),IF(AND($A$3="Total",OR($A$2="Predominantly Urban",$A$2="Significantly Rural",$A$2="Predominantly Rural")),SUMPRODUCT(('Data - Visits'!$A$2:$A$3873=$A11)*('Data - Visits'!$C$2:$C$3873=$R$4)*('Data - Visits'!$G$2:$G$3873=$A$2)*('Data - Visits'!$E$2:$E$3873=$R$5)*('Data - Visits'!$F$2:$F$3873=S$6)*('Data - Visits'!$I$2:$I$3873)),IF($A$3="Total",SUMPRODUCT(('Data - Visits'!$A$2:$A$3873=$A11)*('Data - Visits'!$B$2:$B$3873=$A$2)*('Data - Visits'!$C$2:$C$3873=$R$4)*('Data - Visits'!$E$2:$E$3873=$R$5)*('Data - Visits'!$F$2:$F$3873=S$6)*('Data - Visits'!$I$2:$I$3873)),IF(AND($A$2="England",OR($A$3="Virtual",$A$3="Face to face")),SUMPRODUCT(('Data - Visits'!$A$2:$A$3873=$A11)*('Data - Visits'!$C$2:$C$3873=$R$4)*('Data - Visits'!$D$2:$D$3873=$A$3)*('Data - Visits'!$E$2:$E$3873=$R$5)*('Data - Visits'!$F$2:$F$3873=S$6)*('Data - Visits'!$I$2:$I$3873)),IF(AND(OR($A$3="Virtual",$A$3="Face to face"),OR($A$2="Non-metropolitan",$A$2="Metropolitan")),SUMPRODUCT(('Data - Visits'!$A$2:$A$3873=$A11)*('Data - Visits'!$C$2:$C$3873=$R$4)*('Data - Visits'!$D$2:$D$3873=$A$3)*('Data - Visits'!$H$2:$H$3873=$A$2)*('Data - Visits'!$E$2:$E$3873=$R$5)*('Data - Visits'!$F$2:$F$3873=S$6)*('Data - Visits'!$I$2:$I$3873)),IF(AND(OR($A$3="Virtual",$A$3="Face to face"),OR($A$2="Predominantly Urban",$A$2="Significantly Rural",$A$2="Predominantly Rural")),SUMPRODUCT(('Data - Visits'!$A$2:$A$3873=$A11)*('Data - Visits'!$C$2:$C$3873=$R$4)*('Data - Visits'!$D$2:$D$3873=$A$3)*('Data - Visits'!$G$2:$G$3873=$A$2)*('Data - Visits'!$E$2:$E$3873=$R$5)*('Data - Visits'!$F$2:$F$3873=S$6)*('Data - Visits'!$I$2:$I$3873)),IF(OR($A$3="Virtual",$A$3="Face to face"),SUMPRODUCT(('Data - Visits'!$A$2:$A$3873=$A11)*('Data - Visits'!$B$2:$B$3873=$A$2)*('Data - Visits'!$C$2:$C$3873=$R$4)*('Data - Visits'!$D$2:$D$3873=$A$3)*('Data - Visits'!$E$2:$E$3873=$R$5)*('Data - Visits'!$F$2:$F$3873=S$6)*('Data - Visits'!$I$2:$I$3873))))))))))</f>
        <v>1294</v>
      </c>
      <c r="T11" s="27">
        <f>P11-SUM(Q11:S11)</f>
        <v>3134</v>
      </c>
      <c r="W11" s="19" t="s">
        <v>90</v>
      </c>
    </row>
    <row r="12" spans="1:23" x14ac:dyDescent="0.35">
      <c r="A12" s="103" t="s">
        <v>247</v>
      </c>
      <c r="B12" s="51" cm="1">
        <f t="array" ref="B12">IF(AND($A$2="England",OR($A$3="Total")),SUMPRODUCT(('Data - Visits'!$A$2:$A$3873=$A12)*('Data - Visits'!$E$2:$E$3873=$E$5)*('Data - Visits'!$F$2:$F$3873=B$6)*('Data - Visits'!$I$2:$I$3873)),IF(AND($A$3="Total",OR($A$2="Non-metropolitan",$A$2="Metropolitan")),SUMPRODUCT(('Data - Visits'!$A$2:$A$3873=$A12)*('Data - Visits'!$H$2:$H$3873=$A$2)*('Data - Visits'!$E$2:$E$3873=$E$5)*('Data - Visits'!$F$2:$F$3873=B$6)*('Data - Visits'!$I$2:$I$3873)),IF(AND($A$3="Total",OR($A$2="Predominantly Urban",$A$2="Significantly Rural",$A$2="Predominantly Rural")),SUMPRODUCT(('Data - Visits'!$A$2:$A$3873=$A12)*('Data - Visits'!$G$2:$G$3873=$A$2)*('Data - Visits'!$E$2:$E$3873=$E$5)*('Data - Visits'!$F$2:$F$3873=B$6)*('Data - Visits'!$I$2:$I$3873)),IF($A$3="Total",SUMPRODUCT(('Data - Visits'!$A$2:$A$3873=$A12)*('Data - Visits'!$B$2:$B$3873=$A$2)*('Data - Visits'!$E$2:$E$3873=$E$5)*('Data - Visits'!$F$2:$F$3873=B$6)*('Data - Visits'!$I$2:$I$3873)),IF(AND($A$2="England",OR($A$3="Virtual",$A$3="Face to face")),SUMPRODUCT(('Data - Visits'!$A$2:$A$3873=$A12)*('Data - Visits'!$D$2:$D$3873=$A$3)*('Data - Visits'!$E$2:$E$3873=$E$5)*('Data - Visits'!$F$2:$F$3873=B$6)*('Data - Visits'!$I$2:$I$3873)),IF(AND(OR($A$3="Virtual",$A$3="Face to face"),OR($A$2="Non-metropolitan",$A$2="Metropolitan")),SUMPRODUCT(('Data - Visits'!$A$2:$A$3873=$A12)*('Data - Visits'!$D$2:$D$3873=$A$3)*('Data - Visits'!$H$2:$H$3873=$A$2)*('Data - Visits'!$E$2:$E$3873=$E$5)*('Data - Visits'!$F$2:$F$3873=B$6)*('Data - Visits'!$I$2:$I$3873)),IF(AND(OR($A$3="Virtual",$A$3="Face to face"),OR($A$2="Predominantly Urban",$A$2="Significantly Rural",$A$2="Predominantly Rural")),SUMPRODUCT(('Data - Visits'!$A$2:$A$3873=$A12)*('Data - Visits'!$D$2:$D$3873=$A$3)*('Data - Visits'!$G$2:$G$3873=$A$2)*('Data - Visits'!$E$2:$E$3873=$E$5)*('Data - Visits'!$F$2:$F$3873=B$6)*('Data - Visits'!$I$2:$I$3873)),IF(OR($A$3="Virtual",$A$3="Face to face"),SUMPRODUCT(('Data - Visits'!$A$2:$A$3873=$A12)*('Data - Visits'!$B$2:$B$3873=$A$2)*('Data - Visits'!$D$2:$D$3873=$A$3)*('Data - Visits'!$E$2:$E$3873=$E$5)*('Data - Visits'!$F$2:$F$3873=B$6)*('Data - Visits'!$I$2:$I$3873))))))))))</f>
        <v>598342</v>
      </c>
      <c r="C12" s="27" cm="1">
        <f t="array" ref="C12">IF(AND($A$2="England",OR($A$3="Total")),SUMPRODUCT(('Data - Visits'!$A$2:$A$3873=$A12)*('Data - Visits'!$E$2:$E$3873=$E$5)*('Data - Visits'!$F$2:$F$3873=C$6)*('Data - Visits'!$I$2:$I$3873)),IF(AND($A$3="Total",OR($A$2="Non-metropolitan",$A$2="Metropolitan")),SUMPRODUCT(('Data - Visits'!$A$2:$A$3873=$A12)*('Data - Visits'!$H$2:$H$3873=$A$2)*('Data - Visits'!$E$2:$E$3873=$E$5)*('Data - Visits'!$F$2:$F$3873=C$6)*('Data - Visits'!$I$2:$I$3873)),IF(AND($A$3="Total",OR($A$2="Predominantly Urban",$A$2="Significantly Rural",$A$2="Predominantly Rural")),SUMPRODUCT(('Data - Visits'!$A$2:$A$3873=$A12)*('Data - Visits'!$G$2:$G$3873=$A$2)*('Data - Visits'!$E$2:$E$3873=$E$5)*('Data - Visits'!$F$2:$F$3873=C$6)*('Data - Visits'!$I$2:$I$3873)),IF($A$3="Total",SUMPRODUCT(('Data - Visits'!$A$2:$A$3873=$A12)*('Data - Visits'!$B$2:$B$3873=$A$2)*('Data - Visits'!$E$2:$E$3873=$E$5)*('Data - Visits'!$F$2:$F$3873=C$6)*('Data - Visits'!$I$2:$I$3873)),IF(AND($A$2="England",OR($A$3="Virtual",$A$3="Face to face")),SUMPRODUCT(('Data - Visits'!$A$2:$A$3873=$A12)*('Data - Visits'!$D$2:$D$3873=$A$3)*('Data - Visits'!$E$2:$E$3873=$E$5)*('Data - Visits'!$F$2:$F$3873=C$6)*('Data - Visits'!$I$2:$I$3873)),IF(AND(OR($A$3="Virtual",$A$3="Face to face"),OR($A$2="Non-metropolitan",$A$2="Metropolitan")),SUMPRODUCT(('Data - Visits'!$A$2:$A$3873=$A12)*('Data - Visits'!$D$2:$D$3873=$A$3)*('Data - Visits'!$H$2:$H$3873=$A$2)*('Data - Visits'!$E$2:$E$3873=$E$5)*('Data - Visits'!$F$2:$F$3873=C$6)*('Data - Visits'!$I$2:$I$3873)),IF(AND(OR($A$3="Virtual",$A$3="Face to face"),OR($A$2="Predominantly Urban",$A$2="Significantly Rural",$A$2="Predominantly Rural")),SUMPRODUCT(('Data - Visits'!$A$2:$A$3873=$A12)*('Data - Visits'!$D$2:$D$3873=$A$3)*('Data - Visits'!$G$2:$G$3873=$A$2)*('Data - Visits'!$E$2:$E$3873=$E$5)*('Data - Visits'!$F$2:$F$3873=C$6)*('Data - Visits'!$I$2:$I$3873)),IF(OR($A$3="Virtual",$A$3="Face to face"),SUMPRODUCT(('Data - Visits'!$A$2:$A$3873=$A12)*('Data - Visits'!$B$2:$B$3873=$A$2)*('Data - Visits'!$D$2:$D$3873=$A$3)*('Data - Visits'!$E$2:$E$3873=$E$5)*('Data - Visits'!$F$2:$F$3873=C$6)*('Data - Visits'!$I$2:$I$3873))))))))))</f>
        <v>481739</v>
      </c>
      <c r="D12" s="27" cm="1">
        <f t="array" ref="D12">IF(AND($A$2="England",OR($A$3="Total")),SUMPRODUCT(('Data - Visits'!$A$2:$A$3873=$A12)*('Data - Visits'!$E$2:$E$3873=$E$5)*('Data - Visits'!$F$2:$F$3873=D$6)*('Data - Visits'!$I$2:$I$3873)),IF(AND($A$3="Total",OR($A$2="Non-metropolitan",$A$2="Metropolitan")),SUMPRODUCT(('Data - Visits'!$A$2:$A$3873=$A12)*('Data - Visits'!$H$2:$H$3873=$A$2)*('Data - Visits'!$E$2:$E$3873=$E$5)*('Data - Visits'!$F$2:$F$3873=D$6)*('Data - Visits'!$I$2:$I$3873)),IF(AND($A$3="Total",OR($A$2="Predominantly Urban",$A$2="Significantly Rural",$A$2="Predominantly Rural")),SUMPRODUCT(('Data - Visits'!$A$2:$A$3873=$A12)*('Data - Visits'!$G$2:$G$3873=$A$2)*('Data - Visits'!$E$2:$E$3873=$E$5)*('Data - Visits'!$F$2:$F$3873=D$6)*('Data - Visits'!$I$2:$I$3873)),IF($A$3="Total",SUMPRODUCT(('Data - Visits'!$A$2:$A$3873=$A12)*('Data - Visits'!$B$2:$B$3873=$A$2)*('Data - Visits'!$E$2:$E$3873=$E$5)*('Data - Visits'!$F$2:$F$3873=D$6)*('Data - Visits'!$I$2:$I$3873)),IF(AND($A$2="England",OR($A$3="Virtual",$A$3="Face to face")),SUMPRODUCT(('Data - Visits'!$A$2:$A$3873=$A12)*('Data - Visits'!$D$2:$D$3873=$A$3)*('Data - Visits'!$E$2:$E$3873=$E$5)*('Data - Visits'!$F$2:$F$3873=D$6)*('Data - Visits'!$I$2:$I$3873)),IF(AND(OR($A$3="Virtual",$A$3="Face to face"),OR($A$2="Non-metropolitan",$A$2="Metropolitan")),SUMPRODUCT(('Data - Visits'!$A$2:$A$3873=$A12)*('Data - Visits'!$D$2:$D$3873=$A$3)*('Data - Visits'!$H$2:$H$3873=$A$2)*('Data - Visits'!$E$2:$E$3873=$E$5)*('Data - Visits'!$F$2:$F$3873=D$6)*('Data - Visits'!$I$2:$I$3873)),IF(AND(OR($A$3="Virtual",$A$3="Face to face"),OR($A$2="Predominantly Urban",$A$2="Significantly Rural",$A$2="Predominantly Rural")),SUMPRODUCT(('Data - Visits'!$A$2:$A$3873=$A12)*('Data - Visits'!$D$2:$D$3873=$A$3)*('Data - Visits'!$G$2:$G$3873=$A$2)*('Data - Visits'!$E$2:$E$3873=$E$5)*('Data - Visits'!$F$2:$F$3873=D$6)*('Data - Visits'!$I$2:$I$3873)),IF(OR($A$3="Virtual",$A$3="Face to face"),SUMPRODUCT(('Data - Visits'!$A$2:$A$3873=$A12)*('Data - Visits'!$B$2:$B$3873=$A$2)*('Data - Visits'!$D$2:$D$3873=$A$3)*('Data - Visits'!$E$2:$E$3873=$E$5)*('Data - Visits'!$F$2:$F$3873=D$6)*('Data - Visits'!$I$2:$I$3873))))))))))</f>
        <v>155514</v>
      </c>
      <c r="E12" s="27" cm="1">
        <f t="array" ref="E12">IF(AND($A$2="England",OR($A$3="Total")),SUMPRODUCT(('Data - Visits'!$A$2:$A$3873=$A12)*('Data - Visits'!$E$2:$E$3873=$E$5)*('Data - Visits'!$F$2:$F$3873=E$6)*('Data - Visits'!$I$2:$I$3873)),IF(AND($A$3="Total",OR($A$2="Non-metropolitan",$A$2="Metropolitan")),SUMPRODUCT(('Data - Visits'!$A$2:$A$3873=$A12)*('Data - Visits'!$H$2:$H$3873=$A$2)*('Data - Visits'!$E$2:$E$3873=$E$5)*('Data - Visits'!$F$2:$F$3873=E$6)*('Data - Visits'!$I$2:$I$3873)),IF(AND($A$3="Total",OR($A$2="Predominantly Urban",$A$2="Significantly Rural",$A$2="Predominantly Rural")),SUMPRODUCT(('Data - Visits'!$A$2:$A$3873=$A12)*('Data - Visits'!$G$2:$G$3873=$A$2)*('Data - Visits'!$E$2:$E$3873=$E$5)*('Data - Visits'!$F$2:$F$3873=E$6)*('Data - Visits'!$I$2:$I$3873)),IF($A$3="Total",SUMPRODUCT(('Data - Visits'!$A$2:$A$3873=$A12)*('Data - Visits'!$B$2:$B$3873=$A$2)*('Data - Visits'!$E$2:$E$3873=$E$5)*('Data - Visits'!$F$2:$F$3873=E$6)*('Data - Visits'!$I$2:$I$3873)),IF(AND($A$2="England",OR($A$3="Virtual",$A$3="Face to face")),SUMPRODUCT(('Data - Visits'!$A$2:$A$3873=$A12)*('Data - Visits'!$D$2:$D$3873=$A$3)*('Data - Visits'!$E$2:$E$3873=$E$5)*('Data - Visits'!$F$2:$F$3873=E$6)*('Data - Visits'!$I$2:$I$3873)),IF(AND(OR($A$3="Virtual",$A$3="Face to face"),OR($A$2="Non-metropolitan",$A$2="Metropolitan")),SUMPRODUCT(('Data - Visits'!$A$2:$A$3873=$A12)*('Data - Visits'!$D$2:$D$3873=$A$3)*('Data - Visits'!$H$2:$H$3873=$A$2)*('Data - Visits'!$E$2:$E$3873=$E$5)*('Data - Visits'!$F$2:$F$3873=E$6)*('Data - Visits'!$I$2:$I$3873)),IF(AND(OR($A$3="Virtual",$A$3="Face to face"),OR($A$2="Predominantly Urban",$A$2="Significantly Rural",$A$2="Predominantly Rural")),SUMPRODUCT(('Data - Visits'!$A$2:$A$3873=$A12)*('Data - Visits'!$D$2:$D$3873=$A$3)*('Data - Visits'!$G$2:$G$3873=$A$2)*('Data - Visits'!$E$2:$E$3873=$E$5)*('Data - Visits'!$F$2:$F$3873=E$6)*('Data - Visits'!$I$2:$I$3873)),IF(OR($A$3="Virtual",$A$3="Face to face"),SUMPRODUCT(('Data - Visits'!$A$2:$A$3873=$A12)*('Data - Visits'!$B$2:$B$3873=$A$2)*('Data - Visits'!$D$2:$D$3873=$A$3)*('Data - Visits'!$E$2:$E$3873=$E$5)*('Data - Visits'!$F$2:$F$3873=E$6)*('Data - Visits'!$I$2:$I$3873))))))))))</f>
        <v>169254</v>
      </c>
      <c r="F12" s="27" cm="1">
        <f t="array" ref="F12">IF(AND($A$2="England",OR($A$3="Total")),SUMPRODUCT(('Data - Visits'!$A$2:$A$3873=$A12)*('Data - Visits'!$E$2:$E$3873=$E$5)*('Data - Visits'!$F$2:$F$3873=F$6)*('Data - Visits'!$I$2:$I$3873)),IF(AND($A$3="Total",OR($A$2="Non-metropolitan",$A$2="Metropolitan")),SUMPRODUCT(('Data - Visits'!$A$2:$A$3873=$A12)*('Data - Visits'!$H$2:$H$3873=$A$2)*('Data - Visits'!$E$2:$E$3873=$E$5)*('Data - Visits'!$F$2:$F$3873=F$6)*('Data - Visits'!$I$2:$I$3873)),IF(AND($A$3="Total",OR($A$2="Predominantly Urban",$A$2="Significantly Rural",$A$2="Predominantly Rural")),SUMPRODUCT(('Data - Visits'!$A$2:$A$3873=$A12)*('Data - Visits'!$G$2:$G$3873=$A$2)*('Data - Visits'!$E$2:$E$3873=$E$5)*('Data - Visits'!$F$2:$F$3873=F$6)*('Data - Visits'!$I$2:$I$3873)),IF($A$3="Total",SUMPRODUCT(('Data - Visits'!$A$2:$A$3873=$A12)*('Data - Visits'!$B$2:$B$3873=$A$2)*('Data - Visits'!$E$2:$E$3873=$E$5)*('Data - Visits'!$F$2:$F$3873=F$6)*('Data - Visits'!$I$2:$I$3873)),IF(AND($A$2="England",OR($A$3="Virtual",$A$3="Face to face")),SUMPRODUCT(('Data - Visits'!$A$2:$A$3873=$A12)*('Data - Visits'!$D$2:$D$3873=$A$3)*('Data - Visits'!$E$2:$E$3873=$E$5)*('Data - Visits'!$F$2:$F$3873=F$6)*('Data - Visits'!$I$2:$I$3873)),IF(AND(OR($A$3="Virtual",$A$3="Face to face"),OR($A$2="Non-metropolitan",$A$2="Metropolitan")),SUMPRODUCT(('Data - Visits'!$A$2:$A$3873=$A12)*('Data - Visits'!$D$2:$D$3873=$A$3)*('Data - Visits'!$H$2:$H$3873=$A$2)*('Data - Visits'!$E$2:$E$3873=$E$5)*('Data - Visits'!$F$2:$F$3873=F$6)*('Data - Visits'!$I$2:$I$3873)),IF(AND(OR($A$3="Virtual",$A$3="Face to face"),OR($A$2="Predominantly Urban",$A$2="Significantly Rural",$A$2="Predominantly Rural")),SUMPRODUCT(('Data - Visits'!$A$2:$A$3873=$A12)*('Data - Visits'!$D$2:$D$3873=$A$3)*('Data - Visits'!$G$2:$G$3873=$A$2)*('Data - Visits'!$E$2:$E$3873=$E$5)*('Data - Visits'!$F$2:$F$3873=F$6)*('Data - Visits'!$I$2:$I$3873)),IF(OR($A$3="Virtual",$A$3="Face to face"),SUMPRODUCT(('Data - Visits'!$A$2:$A$3873=$A12)*('Data - Visits'!$B$2:$B$3873=$A$2)*('Data - Visits'!$D$2:$D$3873=$A$3)*('Data - Visits'!$E$2:$E$3873=$E$5)*('Data - Visits'!$F$2:$F$3873=F$6)*('Data - Visits'!$I$2:$I$3873))))))))))</f>
        <v>47728</v>
      </c>
      <c r="G12" s="27">
        <f>B12-C12</f>
        <v>116603</v>
      </c>
      <c r="H12" s="20"/>
      <c r="I12" s="51" cm="1">
        <f t="array" ref="I12">IF(AND($A$2="England",OR($A$3="Total")),SUMPRODUCT(('Data - Visits'!$A$2:$A$3873=$A12)*('Data - Visits'!$C$2:$C$3873=$L$4)*('Data - Visits'!$E$2:$E$3873=$L$5)*('Data - Visits'!$F$2:$F$3873=I$6)*('Data - Visits'!$I$2:$I$3873)),IF(AND($A$3="Total",OR($A$2="Non-metropolitan",$A$2="Metropolitan")),SUMPRODUCT(('Data - Visits'!$A$2:$A$3873=$A12)*('Data - Visits'!$C$2:$C$3873=$L$4)*('Data - Visits'!$H$2:$H$3873=$A$2)*('Data - Visits'!$E$2:$E$3873=$L$5)*('Data - Visits'!$F$2:$F$3873=I$6)*('Data - Visits'!$I$2:$I$3873)),IF(AND($A$3="Total",OR($A$2="Predominantly Urban",$A$2="Significantly Rural",$A$2="Predominantly Rural")),SUMPRODUCT(('Data - Visits'!$A$2:$A$3873=$A12)*('Data - Visits'!$C$2:$C$3873=$L$4)*('Data - Visits'!$G$2:$G$3873=$A$2)*('Data - Visits'!$E$2:$E$3873=$L$5)*('Data - Visits'!$F$2:$F$3873=I$6)*('Data - Visits'!$I$2:$I$3873)),IF($A$3="Total",SUMPRODUCT(('Data - Visits'!$A$2:$A$3873=$A12)*('Data - Visits'!$B$2:$B$3873=$A$2)*('Data - Visits'!$C$2:$C$3873=$L$4)*('Data - Visits'!$E$2:$E$3873=$L$5)*('Data - Visits'!$F$2:$F$3873=I$6)*('Data - Visits'!$I$2:$I$3873)),IF(AND($A$2="England",OR($A$3="Virtual",$A$3="Face to face")),SUMPRODUCT(('Data - Visits'!$A$2:$A$3873=$A12)*('Data - Visits'!$C$2:$C$3873=$L$4)*('Data - Visits'!$D$2:$D$3873=$A$3)*('Data - Visits'!$E$2:$E$3873=$L$5)*('Data - Visits'!$F$2:$F$3873=I$6)*('Data - Visits'!$I$2:$I$3873)),IF(AND(OR($A$3="Virtual",$A$3="Face to face"),OR($A$2="Non-metropolitan",$A$2="Metropolitan")),SUMPRODUCT(('Data - Visits'!$A$2:$A$3873=$A12)*('Data - Visits'!$C$2:$C$3873=$L$4)*('Data - Visits'!$D$2:$D$3873=$A$3)*('Data - Visits'!$H$2:$H$3873=$A$2)*('Data - Visits'!$E$2:$E$3873=$L$5)*('Data - Visits'!$F$2:$F$3873=I$6)*('Data - Visits'!$I$2:$I$3873)),IF(AND(OR($A$3="Virtual",$A$3="Face to face"),OR($A$2="Predominantly Urban",$A$2="Significantly Rural",$A$2="Predominantly Rural")),SUMPRODUCT(('Data - Visits'!$A$2:$A$3873=$A12)*('Data - Visits'!$C$2:$C$3873=$L$4)*('Data - Visits'!$D$2:$D$3873=$A$3)*('Data - Visits'!$G$2:$G$3873=$A$2)*('Data - Visits'!$E$2:$E$3873=$L$5)*('Data - Visits'!$F$2:$F$3873=I$6)*('Data - Visits'!$I$2:$I$3873)),IF(OR($A$3="Virtual",$A$3="Face to face"),SUMPRODUCT(('Data - Visits'!$A$2:$A$3873=$A12)*('Data - Visits'!$B$2:$B$3873=$A$2)*('Data - Visits'!$C$2:$C$3873=$L$4)*('Data - Visits'!$D$2:$D$3873=$A$3)*('Data - Visits'!$E$2:$E$3873=$L$5)*('Data - Visits'!$F$2:$F$3873=I$6)*('Data - Visits'!$I$2:$I$3873))))))))))</f>
        <v>564354</v>
      </c>
      <c r="J12" s="27" cm="1">
        <f t="array" ref="J12">IF(AND($A$2="England",OR($A$3="Total")),SUMPRODUCT(('Data - Visits'!$A$2:$A$3873=$A12)*('Data - Visits'!$C$2:$C$3873=$L$4)*('Data - Visits'!$E$2:$E$3873=$L$5)*('Data - Visits'!$F$2:$F$3873=J$6)*('Data - Visits'!$I$2:$I$3873)),IF(AND($A$3="Total",OR($A$2="Non-metropolitan",$A$2="Metropolitan")),SUMPRODUCT(('Data - Visits'!$A$2:$A$3873=$A12)*('Data - Visits'!$C$2:$C$3873=$L$4)*('Data - Visits'!$H$2:$H$3873=$A$2)*('Data - Visits'!$E$2:$E$3873=$L$5)*('Data - Visits'!$F$2:$F$3873=J$6)*('Data - Visits'!$I$2:$I$3873)),IF(AND($A$3="Total",OR($A$2="Predominantly Urban",$A$2="Significantly Rural",$A$2="Predominantly Rural")),SUMPRODUCT(('Data - Visits'!$A$2:$A$3873=$A12)*('Data - Visits'!$C$2:$C$3873=$L$4)*('Data - Visits'!$G$2:$G$3873=$A$2)*('Data - Visits'!$E$2:$E$3873=$L$5)*('Data - Visits'!$F$2:$F$3873=J$6)*('Data - Visits'!$I$2:$I$3873)),IF($A$3="Total",SUMPRODUCT(('Data - Visits'!$A$2:$A$3873=$A12)*('Data - Visits'!$B$2:$B$3873=$A$2)*('Data - Visits'!$C$2:$C$3873=$L$4)*('Data - Visits'!$E$2:$E$3873=$L$5)*('Data - Visits'!$F$2:$F$3873=J$6)*('Data - Visits'!$I$2:$I$3873)),IF(AND($A$2="England",OR($A$3="Virtual",$A$3="Face to face")),SUMPRODUCT(('Data - Visits'!$A$2:$A$3873=$A12)*('Data - Visits'!$C$2:$C$3873=$L$4)*('Data - Visits'!$D$2:$D$3873=$A$3)*('Data - Visits'!$E$2:$E$3873=$L$5)*('Data - Visits'!$F$2:$F$3873=J$6)*('Data - Visits'!$I$2:$I$3873)),IF(AND(OR($A$3="Virtual",$A$3="Face to face"),OR($A$2="Non-metropolitan",$A$2="Metropolitan")),SUMPRODUCT(('Data - Visits'!$A$2:$A$3873=$A12)*('Data - Visits'!$C$2:$C$3873=$L$4)*('Data - Visits'!$D$2:$D$3873=$A$3)*('Data - Visits'!$H$2:$H$3873=$A$2)*('Data - Visits'!$E$2:$E$3873=$L$5)*('Data - Visits'!$F$2:$F$3873=J$6)*('Data - Visits'!$I$2:$I$3873)),IF(AND(OR($A$3="Virtual",$A$3="Face to face"),OR($A$2="Predominantly Urban",$A$2="Significantly Rural",$A$2="Predominantly Rural")),SUMPRODUCT(('Data - Visits'!$A$2:$A$3873=$A12)*('Data - Visits'!$C$2:$C$3873=$L$4)*('Data - Visits'!$D$2:$D$3873=$A$3)*('Data - Visits'!$G$2:$G$3873=$A$2)*('Data - Visits'!$E$2:$E$3873=$L$5)*('Data - Visits'!$F$2:$F$3873=J$6)*('Data - Visits'!$I$2:$I$3873)),IF(OR($A$3="Virtual",$A$3="Face to face"),SUMPRODUCT(('Data - Visits'!$A$2:$A$3873=$A12)*('Data - Visits'!$B$2:$B$3873=$A$2)*('Data - Visits'!$C$2:$C$3873=$L$4)*('Data - Visits'!$D$2:$D$3873=$A$3)*('Data - Visits'!$E$2:$E$3873=$L$5)*('Data - Visits'!$F$2:$F$3873=J$6)*('Data - Visits'!$I$2:$I$3873))))))))))</f>
        <v>481739</v>
      </c>
      <c r="K12" s="27" cm="1">
        <f t="array" ref="K12">IF(AND($A$2="England",OR($A$3="Total")),SUMPRODUCT(('Data - Visits'!$A$2:$A$3873=$A12)*('Data - Visits'!$C$2:$C$3873=$L$4)*('Data - Visits'!$E$2:$E$3873=$L$5)*('Data - Visits'!$F$2:$F$3873=K$6)*('Data - Visits'!$I$2:$I$3873)),IF(AND($A$3="Total",OR($A$2="Non-metropolitan",$A$2="Metropolitan")),SUMPRODUCT(('Data - Visits'!$A$2:$A$3873=$A12)*('Data - Visits'!$C$2:$C$3873=$L$4)*('Data - Visits'!$H$2:$H$3873=$A$2)*('Data - Visits'!$E$2:$E$3873=$L$5)*('Data - Visits'!$F$2:$F$3873=K$6)*('Data - Visits'!$I$2:$I$3873)),IF(AND($A$3="Total",OR($A$2="Predominantly Urban",$A$2="Significantly Rural",$A$2="Predominantly Rural")),SUMPRODUCT(('Data - Visits'!$A$2:$A$3873=$A12)*('Data - Visits'!$C$2:$C$3873=$L$4)*('Data - Visits'!$G$2:$G$3873=$A$2)*('Data - Visits'!$E$2:$E$3873=$L$5)*('Data - Visits'!$F$2:$F$3873=K$6)*('Data - Visits'!$I$2:$I$3873)),IF($A$3="Total",SUMPRODUCT(('Data - Visits'!$A$2:$A$3873=$A12)*('Data - Visits'!$B$2:$B$3873=$A$2)*('Data - Visits'!$C$2:$C$3873=$L$4)*('Data - Visits'!$E$2:$E$3873=$L$5)*('Data - Visits'!$F$2:$F$3873=K$6)*('Data - Visits'!$I$2:$I$3873)),IF(AND($A$2="England",OR($A$3="Virtual",$A$3="Face to face")),SUMPRODUCT(('Data - Visits'!$A$2:$A$3873=$A12)*('Data - Visits'!$C$2:$C$3873=$L$4)*('Data - Visits'!$D$2:$D$3873=$A$3)*('Data - Visits'!$E$2:$E$3873=$L$5)*('Data - Visits'!$F$2:$F$3873=K$6)*('Data - Visits'!$I$2:$I$3873)),IF(AND(OR($A$3="Virtual",$A$3="Face to face"),OR($A$2="Non-metropolitan",$A$2="Metropolitan")),SUMPRODUCT(('Data - Visits'!$A$2:$A$3873=$A12)*('Data - Visits'!$C$2:$C$3873=$L$4)*('Data - Visits'!$D$2:$D$3873=$A$3)*('Data - Visits'!$H$2:$H$3873=$A$2)*('Data - Visits'!$E$2:$E$3873=$L$5)*('Data - Visits'!$F$2:$F$3873=K$6)*('Data - Visits'!$I$2:$I$3873)),IF(AND(OR($A$3="Virtual",$A$3="Face to face"),OR($A$2="Predominantly Urban",$A$2="Significantly Rural",$A$2="Predominantly Rural")),SUMPRODUCT(('Data - Visits'!$A$2:$A$3873=$A12)*('Data - Visits'!$C$2:$C$3873=$L$4)*('Data - Visits'!$D$2:$D$3873=$A$3)*('Data - Visits'!$G$2:$G$3873=$A$2)*('Data - Visits'!$E$2:$E$3873=$L$5)*('Data - Visits'!$F$2:$F$3873=K$6)*('Data - Visits'!$I$2:$I$3873)),IF(OR($A$3="Virtual",$A$3="Face to face"),SUMPRODUCT(('Data - Visits'!$A$2:$A$3873=$A12)*('Data - Visits'!$B$2:$B$3873=$A$2)*('Data - Visits'!$C$2:$C$3873=$L$4)*('Data - Visits'!$D$2:$D$3873=$A$3)*('Data - Visits'!$E$2:$E$3873=$L$5)*('Data - Visits'!$F$2:$F$3873=K$6)*('Data - Visits'!$I$2:$I$3873))))))))))</f>
        <v>153844</v>
      </c>
      <c r="L12" s="27" cm="1">
        <f t="array" ref="L12">IF(AND($A$2="England",OR($A$3="Total")),SUMPRODUCT(('Data - Visits'!$A$2:$A$3873=$A12)*('Data - Visits'!$C$2:$C$3873=$L$4)*('Data - Visits'!$E$2:$E$3873=$L$5)*('Data - Visits'!$F$2:$F$3873=L$6)*('Data - Visits'!$I$2:$I$3873)),IF(AND($A$3="Total",OR($A$2="Non-metropolitan",$A$2="Metropolitan")),SUMPRODUCT(('Data - Visits'!$A$2:$A$3873=$A12)*('Data - Visits'!$C$2:$C$3873=$L$4)*('Data - Visits'!$H$2:$H$3873=$A$2)*('Data - Visits'!$E$2:$E$3873=$L$5)*('Data - Visits'!$F$2:$F$3873=L$6)*('Data - Visits'!$I$2:$I$3873)),IF(AND($A$3="Total",OR($A$2="Predominantly Urban",$A$2="Significantly Rural",$A$2="Predominantly Rural")),SUMPRODUCT(('Data - Visits'!$A$2:$A$3873=$A12)*('Data - Visits'!$C$2:$C$3873=$L$4)*('Data - Visits'!$G$2:$G$3873=$A$2)*('Data - Visits'!$E$2:$E$3873=$L$5)*('Data - Visits'!$F$2:$F$3873=L$6)*('Data - Visits'!$I$2:$I$3873)),IF($A$3="Total",SUMPRODUCT(('Data - Visits'!$A$2:$A$3873=$A12)*('Data - Visits'!$B$2:$B$3873=$A$2)*('Data - Visits'!$C$2:$C$3873=$L$4)*('Data - Visits'!$E$2:$E$3873=$L$5)*('Data - Visits'!$F$2:$F$3873=L$6)*('Data - Visits'!$I$2:$I$3873)),IF(AND($A$2="England",OR($A$3="Virtual",$A$3="Face to face")),SUMPRODUCT(('Data - Visits'!$A$2:$A$3873=$A12)*('Data - Visits'!$C$2:$C$3873=$L$4)*('Data - Visits'!$D$2:$D$3873=$A$3)*('Data - Visits'!$E$2:$E$3873=$L$5)*('Data - Visits'!$F$2:$F$3873=L$6)*('Data - Visits'!$I$2:$I$3873)),IF(AND(OR($A$3="Virtual",$A$3="Face to face"),OR($A$2="Non-metropolitan",$A$2="Metropolitan")),SUMPRODUCT(('Data - Visits'!$A$2:$A$3873=$A12)*('Data - Visits'!$C$2:$C$3873=$L$4)*('Data - Visits'!$D$2:$D$3873=$A$3)*('Data - Visits'!$H$2:$H$3873=$A$2)*('Data - Visits'!$E$2:$E$3873=$L$5)*('Data - Visits'!$F$2:$F$3873=L$6)*('Data - Visits'!$I$2:$I$3873)),IF(AND(OR($A$3="Virtual",$A$3="Face to face"),OR($A$2="Predominantly Urban",$A$2="Significantly Rural",$A$2="Predominantly Rural")),SUMPRODUCT(('Data - Visits'!$A$2:$A$3873=$A12)*('Data - Visits'!$C$2:$C$3873=$L$4)*('Data - Visits'!$D$2:$D$3873=$A$3)*('Data - Visits'!$G$2:$G$3873=$A$2)*('Data - Visits'!$E$2:$E$3873=$L$5)*('Data - Visits'!$F$2:$F$3873=L$6)*('Data - Visits'!$I$2:$I$3873)),IF(OR($A$3="Virtual",$A$3="Face to face"),SUMPRODUCT(('Data - Visits'!$A$2:$A$3873=$A12)*('Data - Visits'!$B$2:$B$3873=$A$2)*('Data - Visits'!$C$2:$C$3873=$L$4)*('Data - Visits'!$D$2:$D$3873=$A$3)*('Data - Visits'!$E$2:$E$3873=$L$5)*('Data - Visits'!$F$2:$F$3873=L$6)*('Data - Visits'!$I$2:$I$3873))))))))))</f>
        <v>168200</v>
      </c>
      <c r="M12" s="27" cm="1">
        <f t="array" ref="M12">IF(AND($A$2="England",OR($A$3="Total")),SUMPRODUCT(('Data - Visits'!$A$2:$A$3873=$A12)*('Data - Visits'!$C$2:$C$3873=$L$4)*('Data - Visits'!$E$2:$E$3873=$L$5)*('Data - Visits'!$F$2:$F$3873=M$6)*('Data - Visits'!$I$2:$I$3873)),IF(AND($A$3="Total",OR($A$2="Non-metropolitan",$A$2="Metropolitan")),SUMPRODUCT(('Data - Visits'!$A$2:$A$3873=$A12)*('Data - Visits'!$C$2:$C$3873=$L$4)*('Data - Visits'!$H$2:$H$3873=$A$2)*('Data - Visits'!$E$2:$E$3873=$L$5)*('Data - Visits'!$F$2:$F$3873=M$6)*('Data - Visits'!$I$2:$I$3873)),IF(AND($A$3="Total",OR($A$2="Predominantly Urban",$A$2="Significantly Rural",$A$2="Predominantly Rural")),SUMPRODUCT(('Data - Visits'!$A$2:$A$3873=$A12)*('Data - Visits'!$C$2:$C$3873=$L$4)*('Data - Visits'!$G$2:$G$3873=$A$2)*('Data - Visits'!$E$2:$E$3873=$L$5)*('Data - Visits'!$F$2:$F$3873=M$6)*('Data - Visits'!$I$2:$I$3873)),IF($A$3="Total",SUMPRODUCT(('Data - Visits'!$A$2:$A$3873=$A12)*('Data - Visits'!$B$2:$B$3873=$A$2)*('Data - Visits'!$C$2:$C$3873=$L$4)*('Data - Visits'!$E$2:$E$3873=$L$5)*('Data - Visits'!$F$2:$F$3873=M$6)*('Data - Visits'!$I$2:$I$3873)),IF(AND($A$2="England",OR($A$3="Virtual",$A$3="Face to face")),SUMPRODUCT(('Data - Visits'!$A$2:$A$3873=$A12)*('Data - Visits'!$C$2:$C$3873=$L$4)*('Data - Visits'!$D$2:$D$3873=$A$3)*('Data - Visits'!$E$2:$E$3873=$L$5)*('Data - Visits'!$F$2:$F$3873=M$6)*('Data - Visits'!$I$2:$I$3873)),IF(AND(OR($A$3="Virtual",$A$3="Face to face"),OR($A$2="Non-metropolitan",$A$2="Metropolitan")),SUMPRODUCT(('Data - Visits'!$A$2:$A$3873=$A12)*('Data - Visits'!$C$2:$C$3873=$L$4)*('Data - Visits'!$D$2:$D$3873=$A$3)*('Data - Visits'!$H$2:$H$3873=$A$2)*('Data - Visits'!$E$2:$E$3873=$L$5)*('Data - Visits'!$F$2:$F$3873=M$6)*('Data - Visits'!$I$2:$I$3873)),IF(AND(OR($A$3="Virtual",$A$3="Face to face"),OR($A$2="Predominantly Urban",$A$2="Significantly Rural",$A$2="Predominantly Rural")),SUMPRODUCT(('Data - Visits'!$A$2:$A$3873=$A12)*('Data - Visits'!$C$2:$C$3873=$L$4)*('Data - Visits'!$D$2:$D$3873=$A$3)*('Data - Visits'!$G$2:$G$3873=$A$2)*('Data - Visits'!$E$2:$E$3873=$L$5)*('Data - Visits'!$F$2:$F$3873=M$6)*('Data - Visits'!$I$2:$I$3873)),IF(OR($A$3="Virtual",$A$3="Face to face"),SUMPRODUCT(('Data - Visits'!$A$2:$A$3873=$A12)*('Data - Visits'!$B$2:$B$3873=$A$2)*('Data - Visits'!$C$2:$C$3873=$L$4)*('Data - Visits'!$D$2:$D$3873=$A$3)*('Data - Visits'!$E$2:$E$3873=$L$5)*('Data - Visits'!$F$2:$F$3873=M$6)*('Data - Visits'!$I$2:$I$3873))))))))))</f>
        <v>46828</v>
      </c>
      <c r="N12" s="27">
        <f>I12-J12</f>
        <v>82615</v>
      </c>
      <c r="O12" s="50"/>
      <c r="P12" s="51" cm="1">
        <f t="array" ref="P12">IF(AND($A$2="England",OR($A$3="Total")),SUMPRODUCT(('Data - Visits'!$A$2:$A$3873=$A12)*('Data - Visits'!$C$2:$C$3873=$R$4)*('Data - Visits'!$E$2:$E$3873=$R$5)*('Data - Visits'!$F$2:$F$3873=P$6)*('Data - Visits'!$I$2:$I$3873)),IF(AND($A$3="Total",OR($A$2="Non-metropolitan",$A$2="Metropolitan")),SUMPRODUCT(('Data - Visits'!$A$2:$A$3873=$A12)*('Data - Visits'!$C$2:$C$3873=$R$4)*('Data - Visits'!$H$2:$H$3873=$A$2)*('Data - Visits'!$E$2:$E$3873=$R$5)*('Data - Visits'!$F$2:$F$3873=P$6)*('Data - Visits'!$I$2:$I$3873)),IF(AND($A$3="Total",OR($A$2="Predominantly Urban",$A$2="Significantly Rural",$A$2="Predominantly Rural")),SUMPRODUCT(('Data - Visits'!$A$2:$A$3873=$A12)*('Data - Visits'!$C$2:$C$3873=$R$4)*('Data - Visits'!$G$2:$G$3873=$A$2)*('Data - Visits'!$E$2:$E$3873=$R$5)*('Data - Visits'!$F$2:$F$3873=P$6)*('Data - Visits'!$I$2:$I$3873)),IF($A$3="Total",SUMPRODUCT(('Data - Visits'!$A$2:$A$3873=$A12)*('Data - Visits'!$B$2:$B$3873=$A$2)*('Data - Visits'!$C$2:$C$3873=$R$4)*('Data - Visits'!$E$2:$E$3873=$R$5)*('Data - Visits'!$F$2:$F$3873=P$6)*('Data - Visits'!$I$2:$I$3873)),IF(AND($A$2="England",OR($A$3="Virtual",$A$3="Face to face")),SUMPRODUCT(('Data - Visits'!$A$2:$A$3873=$A12)*('Data - Visits'!$C$2:$C$3873=$R$4)*('Data - Visits'!$D$2:$D$3873=$A$3)*('Data - Visits'!$E$2:$E$3873=$R$5)*('Data - Visits'!$F$2:$F$3873=P$6)*('Data - Visits'!$I$2:$I$3873)),IF(AND(OR($A$3="Virtual",$A$3="Face to face"),OR($A$2="Non-metropolitan",$A$2="Metropolitan")),SUMPRODUCT(('Data - Visits'!$A$2:$A$3873=$A12)*('Data - Visits'!$C$2:$C$3873=$R$4)*('Data - Visits'!$D$2:$D$3873=$A$3)*('Data - Visits'!$H$2:$H$3873=$A$2)*('Data - Visits'!$E$2:$E$3873=$R$5)*('Data - Visits'!$F$2:$F$3873=P$6)*('Data - Visits'!$I$2:$I$3873)),IF(AND(OR($A$3="Virtual",$A$3="Face to face"),OR($A$2="Predominantly Urban",$A$2="Significantly Rural",$A$2="Predominantly Rural")),SUMPRODUCT(('Data - Visits'!$A$2:$A$3873=$A12)*('Data - Visits'!$C$2:$C$3873=$R$4)*('Data - Visits'!$D$2:$D$3873=$A$3)*('Data - Visits'!$G$2:$G$3873=$A$2)*('Data - Visits'!$E$2:$E$3873=$R$5)*('Data - Visits'!$F$2:$F$3873=P$6)*('Data - Visits'!$I$2:$I$3873)),IF(OR($A$3="Virtual",$A$3="Face to face"),SUMPRODUCT(('Data - Visits'!$A$2:$A$3873=$A12)*('Data - Visits'!$B$2:$B$3873=$A$2)*('Data - Visits'!$C$2:$C$3873=$R$4)*('Data - Visits'!$D$2:$D$3873=$A$3)*('Data - Visits'!$E$2:$E$3873=$R$5)*('Data - Visits'!$F$2:$F$3873=P$6)*('Data - Visits'!$I$2:$I$3873))))))))))</f>
        <v>33988</v>
      </c>
      <c r="Q12" s="51" cm="1">
        <f t="array" ref="Q12">IF(AND($A$2="England",OR($A$3="Total")),SUMPRODUCT(('Data - Visits'!$A$2:$A$3873=$A12)*('Data - Visits'!$C$2:$C$3873=$R$4)*('Data - Visits'!$E$2:$E$3873=$R$5)*('Data - Visits'!$F$2:$F$3873=Q$6)*('Data - Visits'!$I$2:$I$3873)),IF(AND($A$3="Total",OR($A$2="Non-metropolitan",$A$2="Metropolitan")),SUMPRODUCT(('Data - Visits'!$A$2:$A$3873=$A12)*('Data - Visits'!$C$2:$C$3873=$R$4)*('Data - Visits'!$H$2:$H$3873=$A$2)*('Data - Visits'!$E$2:$E$3873=$R$5)*('Data - Visits'!$F$2:$F$3873=Q$6)*('Data - Visits'!$I$2:$I$3873)),IF(AND($A$3="Total",OR($A$2="Predominantly Urban",$A$2="Significantly Rural",$A$2="Predominantly Rural")),SUMPRODUCT(('Data - Visits'!$A$2:$A$3873=$A12)*('Data - Visits'!$C$2:$C$3873=$R$4)*('Data - Visits'!$G$2:$G$3873=$A$2)*('Data - Visits'!$E$2:$E$3873=$R$5)*('Data - Visits'!$F$2:$F$3873=Q$6)*('Data - Visits'!$I$2:$I$3873)),IF($A$3="Total",SUMPRODUCT(('Data - Visits'!$A$2:$A$3873=$A12)*('Data - Visits'!$B$2:$B$3873=$A$2)*('Data - Visits'!$C$2:$C$3873=$R$4)*('Data - Visits'!$E$2:$E$3873=$R$5)*('Data - Visits'!$F$2:$F$3873=Q$6)*('Data - Visits'!$I$2:$I$3873)),IF(AND($A$2="England",OR($A$3="Virtual",$A$3="Face to face")),SUMPRODUCT(('Data - Visits'!$A$2:$A$3873=$A12)*('Data - Visits'!$C$2:$C$3873=$R$4)*('Data - Visits'!$D$2:$D$3873=$A$3)*('Data - Visits'!$E$2:$E$3873=$R$5)*('Data - Visits'!$F$2:$F$3873=Q$6)*('Data - Visits'!$I$2:$I$3873)),IF(AND(OR($A$3="Virtual",$A$3="Face to face"),OR($A$2="Non-metropolitan",$A$2="Metropolitan")),SUMPRODUCT(('Data - Visits'!$A$2:$A$3873=$A12)*('Data - Visits'!$C$2:$C$3873=$R$4)*('Data - Visits'!$D$2:$D$3873=$A$3)*('Data - Visits'!$H$2:$H$3873=$A$2)*('Data - Visits'!$E$2:$E$3873=$R$5)*('Data - Visits'!$F$2:$F$3873=Q$6)*('Data - Visits'!$I$2:$I$3873)),IF(AND(OR($A$3="Virtual",$A$3="Face to face"),OR($A$2="Predominantly Urban",$A$2="Significantly Rural",$A$2="Predominantly Rural")),SUMPRODUCT(('Data - Visits'!$A$2:$A$3873=$A12)*('Data - Visits'!$C$2:$C$3873=$R$4)*('Data - Visits'!$D$2:$D$3873=$A$3)*('Data - Visits'!$G$2:$G$3873=$A$2)*('Data - Visits'!$E$2:$E$3873=$R$5)*('Data - Visits'!$F$2:$F$3873=Q$6)*('Data - Visits'!$I$2:$I$3873)),IF(OR($A$3="Virtual",$A$3="Face to face"),SUMPRODUCT(('Data - Visits'!$A$2:$A$3873=$A12)*('Data - Visits'!$B$2:$B$3873=$A$2)*('Data - Visits'!$C$2:$C$3873=$R$4)*('Data - Visits'!$D$2:$D$3873=$A$3)*('Data - Visits'!$E$2:$E$3873=$R$5)*('Data - Visits'!$F$2:$F$3873=Q$6)*('Data - Visits'!$I$2:$I$3873))))))))))</f>
        <v>1670</v>
      </c>
      <c r="R12" s="51" cm="1">
        <f t="array" ref="R12">IF(AND($A$2="England",OR($A$3="Total")),SUMPRODUCT(('Data - Visits'!$A$2:$A$3873=$A12)*('Data - Visits'!$C$2:$C$3873=$R$4)*('Data - Visits'!$E$2:$E$3873=$R$5)*('Data - Visits'!$F$2:$F$3873=R$6)*('Data - Visits'!$I$2:$I$3873)),IF(AND($A$3="Total",OR($A$2="Non-metropolitan",$A$2="Metropolitan")),SUMPRODUCT(('Data - Visits'!$A$2:$A$3873=$A12)*('Data - Visits'!$C$2:$C$3873=$R$4)*('Data - Visits'!$H$2:$H$3873=$A$2)*('Data - Visits'!$E$2:$E$3873=$R$5)*('Data - Visits'!$F$2:$F$3873=R$6)*('Data - Visits'!$I$2:$I$3873)),IF(AND($A$3="Total",OR($A$2="Predominantly Urban",$A$2="Significantly Rural",$A$2="Predominantly Rural")),SUMPRODUCT(('Data - Visits'!$A$2:$A$3873=$A12)*('Data - Visits'!$C$2:$C$3873=$R$4)*('Data - Visits'!$G$2:$G$3873=$A$2)*('Data - Visits'!$E$2:$E$3873=$R$5)*('Data - Visits'!$F$2:$F$3873=R$6)*('Data - Visits'!$I$2:$I$3873)),IF($A$3="Total",SUMPRODUCT(('Data - Visits'!$A$2:$A$3873=$A12)*('Data - Visits'!$B$2:$B$3873=$A$2)*('Data - Visits'!$C$2:$C$3873=$R$4)*('Data - Visits'!$E$2:$E$3873=$R$5)*('Data - Visits'!$F$2:$F$3873=R$6)*('Data - Visits'!$I$2:$I$3873)),IF(AND($A$2="England",OR($A$3="Virtual",$A$3="Face to face")),SUMPRODUCT(('Data - Visits'!$A$2:$A$3873=$A12)*('Data - Visits'!$C$2:$C$3873=$R$4)*('Data - Visits'!$D$2:$D$3873=$A$3)*('Data - Visits'!$E$2:$E$3873=$R$5)*('Data - Visits'!$F$2:$F$3873=R$6)*('Data - Visits'!$I$2:$I$3873)),IF(AND(OR($A$3="Virtual",$A$3="Face to face"),OR($A$2="Non-metropolitan",$A$2="Metropolitan")),SUMPRODUCT(('Data - Visits'!$A$2:$A$3873=$A12)*('Data - Visits'!$C$2:$C$3873=$R$4)*('Data - Visits'!$D$2:$D$3873=$A$3)*('Data - Visits'!$H$2:$H$3873=$A$2)*('Data - Visits'!$E$2:$E$3873=$R$5)*('Data - Visits'!$F$2:$F$3873=R$6)*('Data - Visits'!$I$2:$I$3873)),IF(AND(OR($A$3="Virtual",$A$3="Face to face"),OR($A$2="Predominantly Urban",$A$2="Significantly Rural",$A$2="Predominantly Rural")),SUMPRODUCT(('Data - Visits'!$A$2:$A$3873=$A12)*('Data - Visits'!$C$2:$C$3873=$R$4)*('Data - Visits'!$D$2:$D$3873=$A$3)*('Data - Visits'!$G$2:$G$3873=$A$2)*('Data - Visits'!$E$2:$E$3873=$R$5)*('Data - Visits'!$F$2:$F$3873=R$6)*('Data - Visits'!$I$2:$I$3873)),IF(OR($A$3="Virtual",$A$3="Face to face"),SUMPRODUCT(('Data - Visits'!$A$2:$A$3873=$A12)*('Data - Visits'!$B$2:$B$3873=$A$2)*('Data - Visits'!$C$2:$C$3873=$R$4)*('Data - Visits'!$D$2:$D$3873=$A$3)*('Data - Visits'!$E$2:$E$3873=$R$5)*('Data - Visits'!$F$2:$F$3873=R$6)*('Data - Visits'!$I$2:$I$3873))))))))))</f>
        <v>1054</v>
      </c>
      <c r="S12" s="51" cm="1">
        <f t="array" ref="S12">IF(AND($A$2="England",OR($A$3="Total")),SUMPRODUCT(('Data - Visits'!$A$2:$A$3873=$A12)*('Data - Visits'!$C$2:$C$3873=$R$4)*('Data - Visits'!$E$2:$E$3873=$R$5)*('Data - Visits'!$F$2:$F$3873=S$6)*('Data - Visits'!$I$2:$I$3873)),IF(AND($A$3="Total",OR($A$2="Non-metropolitan",$A$2="Metropolitan")),SUMPRODUCT(('Data - Visits'!$A$2:$A$3873=$A12)*('Data - Visits'!$C$2:$C$3873=$R$4)*('Data - Visits'!$H$2:$H$3873=$A$2)*('Data - Visits'!$E$2:$E$3873=$R$5)*('Data - Visits'!$F$2:$F$3873=S$6)*('Data - Visits'!$I$2:$I$3873)),IF(AND($A$3="Total",OR($A$2="Predominantly Urban",$A$2="Significantly Rural",$A$2="Predominantly Rural")),SUMPRODUCT(('Data - Visits'!$A$2:$A$3873=$A12)*('Data - Visits'!$C$2:$C$3873=$R$4)*('Data - Visits'!$G$2:$G$3873=$A$2)*('Data - Visits'!$E$2:$E$3873=$R$5)*('Data - Visits'!$F$2:$F$3873=S$6)*('Data - Visits'!$I$2:$I$3873)),IF($A$3="Total",SUMPRODUCT(('Data - Visits'!$A$2:$A$3873=$A12)*('Data - Visits'!$B$2:$B$3873=$A$2)*('Data - Visits'!$C$2:$C$3873=$R$4)*('Data - Visits'!$E$2:$E$3873=$R$5)*('Data - Visits'!$F$2:$F$3873=S$6)*('Data - Visits'!$I$2:$I$3873)),IF(AND($A$2="England",OR($A$3="Virtual",$A$3="Face to face")),SUMPRODUCT(('Data - Visits'!$A$2:$A$3873=$A12)*('Data - Visits'!$C$2:$C$3873=$R$4)*('Data - Visits'!$D$2:$D$3873=$A$3)*('Data - Visits'!$E$2:$E$3873=$R$5)*('Data - Visits'!$F$2:$F$3873=S$6)*('Data - Visits'!$I$2:$I$3873)),IF(AND(OR($A$3="Virtual",$A$3="Face to face"),OR($A$2="Non-metropolitan",$A$2="Metropolitan")),SUMPRODUCT(('Data - Visits'!$A$2:$A$3873=$A12)*('Data - Visits'!$C$2:$C$3873=$R$4)*('Data - Visits'!$D$2:$D$3873=$A$3)*('Data - Visits'!$H$2:$H$3873=$A$2)*('Data - Visits'!$E$2:$E$3873=$R$5)*('Data - Visits'!$F$2:$F$3873=S$6)*('Data - Visits'!$I$2:$I$3873)),IF(AND(OR($A$3="Virtual",$A$3="Face to face"),OR($A$2="Predominantly Urban",$A$2="Significantly Rural",$A$2="Predominantly Rural")),SUMPRODUCT(('Data - Visits'!$A$2:$A$3873=$A12)*('Data - Visits'!$C$2:$C$3873=$R$4)*('Data - Visits'!$D$2:$D$3873=$A$3)*('Data - Visits'!$G$2:$G$3873=$A$2)*('Data - Visits'!$E$2:$E$3873=$R$5)*('Data - Visits'!$F$2:$F$3873=S$6)*('Data - Visits'!$I$2:$I$3873)),IF(OR($A$3="Virtual",$A$3="Face to face"),SUMPRODUCT(('Data - Visits'!$A$2:$A$3873=$A12)*('Data - Visits'!$B$2:$B$3873=$A$2)*('Data - Visits'!$C$2:$C$3873=$R$4)*('Data - Visits'!$D$2:$D$3873=$A$3)*('Data - Visits'!$E$2:$E$3873=$R$5)*('Data - Visits'!$F$2:$F$3873=S$6)*('Data - Visits'!$I$2:$I$3873))))))))))</f>
        <v>900</v>
      </c>
      <c r="T12" s="27">
        <f>P12-SUM(Q12:S12)</f>
        <v>30364</v>
      </c>
      <c r="W12" s="19" t="s">
        <v>91</v>
      </c>
    </row>
    <row r="13" spans="1:23" x14ac:dyDescent="0.35">
      <c r="A13" s="17"/>
      <c r="B13" s="87"/>
      <c r="C13" s="91">
        <f>C12/$B12</f>
        <v>0.80512315699048376</v>
      </c>
      <c r="D13" s="91">
        <f>D12/$B12</f>
        <v>0.25990821302866923</v>
      </c>
      <c r="E13" s="91">
        <f>E12/$B12</f>
        <v>0.28287166871120528</v>
      </c>
      <c r="F13" s="91">
        <f t="shared" ref="F13:G13" si="3">F12/$B12</f>
        <v>7.9767089724605666E-2</v>
      </c>
      <c r="G13" s="91">
        <f t="shared" si="3"/>
        <v>0.1948768430095163</v>
      </c>
      <c r="H13" s="88"/>
      <c r="I13" s="88"/>
      <c r="J13" s="87"/>
      <c r="K13" s="87"/>
      <c r="L13" s="87"/>
      <c r="M13" s="87"/>
      <c r="N13" s="87"/>
      <c r="O13" s="87"/>
      <c r="P13" s="87"/>
      <c r="Q13" s="87"/>
      <c r="R13" s="87"/>
      <c r="S13" s="87"/>
      <c r="T13" s="87"/>
      <c r="W13" s="19" t="s">
        <v>8</v>
      </c>
    </row>
    <row r="14" spans="1:23" x14ac:dyDescent="0.35">
      <c r="A14" s="21"/>
      <c r="B14" s="87"/>
      <c r="C14" s="87"/>
      <c r="D14" s="87"/>
      <c r="E14" s="87"/>
      <c r="F14" s="87"/>
      <c r="G14" s="87"/>
      <c r="H14" s="88"/>
      <c r="I14" s="88"/>
      <c r="J14" s="87"/>
      <c r="K14" s="87"/>
      <c r="L14" s="87"/>
      <c r="M14" s="87"/>
      <c r="N14" s="87"/>
      <c r="O14" s="87"/>
      <c r="P14" s="87"/>
      <c r="Q14" s="87"/>
      <c r="R14" s="87"/>
      <c r="S14" s="87"/>
      <c r="T14" s="87"/>
      <c r="W14" s="19" t="s">
        <v>11</v>
      </c>
    </row>
    <row r="15" spans="1:23" ht="14.5" customHeight="1" x14ac:dyDescent="0.35">
      <c r="A15" s="21" t="s">
        <v>201</v>
      </c>
      <c r="B15" s="91">
        <f t="shared" ref="B15:D15" si="4">B12/B11-1</f>
        <v>0.11422468775779659</v>
      </c>
      <c r="C15" s="91">
        <f t="shared" si="4"/>
        <v>0.18864842591473119</v>
      </c>
      <c r="D15" s="91">
        <f t="shared" si="4"/>
        <v>0.23489474561870205</v>
      </c>
      <c r="E15" s="91">
        <f>E12/E11-1</f>
        <v>0.32479120844715448</v>
      </c>
      <c r="F15" s="91">
        <f t="shared" ref="F15:G15" si="5">F12/F11-1</f>
        <v>0.16948861826468353</v>
      </c>
      <c r="G15" s="91">
        <f t="shared" si="5"/>
        <v>-0.11476617066504702</v>
      </c>
      <c r="H15" s="88"/>
      <c r="I15" s="88"/>
      <c r="J15" s="87"/>
      <c r="K15" s="87"/>
      <c r="L15" s="87"/>
      <c r="M15" s="87"/>
      <c r="N15" s="87"/>
      <c r="O15" s="87"/>
      <c r="P15" s="87"/>
      <c r="Q15" s="87"/>
      <c r="R15" s="87"/>
      <c r="S15" s="87"/>
      <c r="T15" s="87"/>
      <c r="W15" s="19" t="s">
        <v>12</v>
      </c>
    </row>
    <row r="16" spans="1:23" ht="14.5" customHeight="1" x14ac:dyDescent="0.35">
      <c r="A16" s="21" t="s">
        <v>200</v>
      </c>
      <c r="B16" s="92">
        <f t="shared" ref="B16:C16" si="6">B12/B8-1</f>
        <v>1.6437164708000829E-2</v>
      </c>
      <c r="C16" s="92" t="e">
        <f t="shared" si="6"/>
        <v>#VALUE!</v>
      </c>
      <c r="D16" s="92">
        <f>D12/D8-1</f>
        <v>0.19806785615235278</v>
      </c>
      <c r="E16" s="92">
        <f>E12/E8-1</f>
        <v>-0.14306111082983142</v>
      </c>
      <c r="F16" s="92">
        <f t="shared" ref="F16:G16" si="7">F12/F8-1</f>
        <v>9.2849128752318322E-2</v>
      </c>
      <c r="G16" s="92" t="e">
        <f t="shared" si="7"/>
        <v>#VALUE!</v>
      </c>
      <c r="H16" s="88"/>
      <c r="I16" s="88"/>
      <c r="J16" s="87"/>
      <c r="K16" s="87"/>
      <c r="L16" s="87"/>
      <c r="M16" s="87"/>
      <c r="N16" s="87"/>
      <c r="O16" s="87"/>
      <c r="P16" s="87"/>
      <c r="Q16" s="87"/>
      <c r="R16" s="87"/>
      <c r="S16" s="87"/>
      <c r="T16" s="87"/>
    </row>
    <row r="17" spans="1:23" x14ac:dyDescent="0.35">
      <c r="A17" s="25"/>
      <c r="B17" s="88"/>
      <c r="C17" s="88"/>
      <c r="D17" s="88"/>
      <c r="E17" s="88"/>
      <c r="F17" s="88"/>
      <c r="G17" s="87"/>
      <c r="H17" s="88"/>
      <c r="I17" s="88"/>
      <c r="J17" s="87"/>
      <c r="K17" s="87"/>
      <c r="L17" s="87"/>
      <c r="M17" s="87"/>
      <c r="N17" s="87"/>
      <c r="O17" s="87"/>
      <c r="P17" s="87"/>
      <c r="Q17" s="87"/>
      <c r="R17" s="87"/>
      <c r="S17" s="87"/>
      <c r="T17" s="87"/>
      <c r="W17" s="19" t="s">
        <v>14</v>
      </c>
    </row>
    <row r="18" spans="1:23" x14ac:dyDescent="0.35">
      <c r="A18" s="25"/>
      <c r="C18" s="93">
        <f>C13-SUM(D13:F13)</f>
        <v>0.18257618552600352</v>
      </c>
      <c r="W18" s="19" t="s">
        <v>15</v>
      </c>
    </row>
    <row r="19" spans="1:23" x14ac:dyDescent="0.35">
      <c r="A19" s="25"/>
      <c r="C19" s="19">
        <f>C11-SUM(D11:F11)</f>
        <v>110780</v>
      </c>
      <c r="W19" s="19" t="s">
        <v>16</v>
      </c>
    </row>
    <row r="20" spans="1:23" x14ac:dyDescent="0.35">
      <c r="A20" s="25"/>
      <c r="W20" s="19" t="s">
        <v>17</v>
      </c>
    </row>
    <row r="21" spans="1:23" x14ac:dyDescent="0.35">
      <c r="A21" s="25"/>
      <c r="C21" s="93">
        <f>C10/$B10</f>
        <v>0.76615476144520311</v>
      </c>
      <c r="D21" s="93">
        <f>D10/$B10</f>
        <v>0.24345282834636373</v>
      </c>
      <c r="E21" s="93">
        <f t="shared" ref="E21:F21" si="8">E10/$B10</f>
        <v>0.29070736475915171</v>
      </c>
      <c r="F21" s="93">
        <f t="shared" si="8"/>
        <v>7.745338695356975E-2</v>
      </c>
      <c r="W21" s="19" t="s">
        <v>18</v>
      </c>
    </row>
    <row r="22" spans="1:23" x14ac:dyDescent="0.35">
      <c r="A22" s="17"/>
      <c r="B22" s="18"/>
      <c r="C22" s="93"/>
      <c r="D22" s="93">
        <f t="shared" ref="D22:F22" si="9">D8/$B8</f>
        <v>0.22050534598566929</v>
      </c>
      <c r="E22" s="93">
        <f t="shared" si="9"/>
        <v>0.3355213312812359</v>
      </c>
      <c r="F22" s="93">
        <f t="shared" si="9"/>
        <v>7.4189778244369467E-2</v>
      </c>
      <c r="W22" s="19" t="s">
        <v>19</v>
      </c>
    </row>
    <row r="23" spans="1:23" x14ac:dyDescent="0.35">
      <c r="A23" s="17"/>
      <c r="B23" s="18"/>
      <c r="C23" s="18"/>
      <c r="D23" s="18"/>
      <c r="E23" s="17"/>
      <c r="F23" s="17"/>
      <c r="G23" s="18"/>
      <c r="I23" s="18"/>
      <c r="J23" s="18"/>
      <c r="W23" s="19" t="s">
        <v>20</v>
      </c>
    </row>
    <row r="24" spans="1:23" x14ac:dyDescent="0.35">
      <c r="A24" s="17"/>
      <c r="B24" s="18"/>
      <c r="C24" s="102">
        <f>C$13-C21</f>
        <v>3.8968395545280643E-2</v>
      </c>
      <c r="D24" s="102">
        <f>D$13-D21</f>
        <v>1.6455384682305507E-2</v>
      </c>
      <c r="E24" s="102">
        <f t="shared" ref="E24:F24" si="10">E$13-E21</f>
        <v>-7.8356960479464277E-3</v>
      </c>
      <c r="F24" s="102">
        <f t="shared" si="10"/>
        <v>2.3137027710359165E-3</v>
      </c>
      <c r="G24" s="18"/>
      <c r="I24" s="18"/>
      <c r="J24" s="18"/>
      <c r="W24" s="19" t="s">
        <v>21</v>
      </c>
    </row>
    <row r="25" spans="1:23" x14ac:dyDescent="0.35">
      <c r="A25" s="17"/>
      <c r="B25" s="18"/>
      <c r="C25" s="18"/>
      <c r="D25" s="102">
        <f>D$13-D22</f>
        <v>3.9402867042999945E-2</v>
      </c>
      <c r="E25" s="102">
        <f t="shared" ref="E25:F25" si="11">E$13-E22</f>
        <v>-5.264966257003062E-2</v>
      </c>
      <c r="F25" s="102">
        <f t="shared" si="11"/>
        <v>5.5773114802361995E-3</v>
      </c>
      <c r="G25" s="18"/>
      <c r="I25" s="18"/>
      <c r="J25" s="18"/>
      <c r="W25" s="19" t="s">
        <v>22</v>
      </c>
    </row>
    <row r="26" spans="1:23" x14ac:dyDescent="0.35">
      <c r="A26" s="17"/>
      <c r="B26" s="18"/>
      <c r="C26" s="18"/>
      <c r="D26" s="18"/>
      <c r="E26" s="17"/>
      <c r="F26" s="17"/>
      <c r="G26" s="18"/>
      <c r="I26" s="18"/>
      <c r="J26" s="18"/>
      <c r="W26" s="19" t="s">
        <v>23</v>
      </c>
    </row>
    <row r="27" spans="1:23" x14ac:dyDescent="0.35">
      <c r="A27" s="17"/>
      <c r="B27" s="18"/>
      <c r="C27" s="18"/>
      <c r="D27" s="18"/>
      <c r="E27" s="17"/>
      <c r="F27" s="17"/>
      <c r="G27" s="18"/>
      <c r="I27" s="18"/>
      <c r="J27" s="18"/>
      <c r="W27" s="19" t="s">
        <v>24</v>
      </c>
    </row>
    <row r="28" spans="1:23" x14ac:dyDescent="0.35">
      <c r="A28" s="17"/>
      <c r="B28" s="18"/>
      <c r="C28" s="18"/>
      <c r="D28" s="18"/>
      <c r="E28" s="17"/>
      <c r="F28" s="17"/>
      <c r="G28" s="18"/>
      <c r="I28" s="18"/>
      <c r="J28" s="18"/>
      <c r="W28" s="19" t="s">
        <v>25</v>
      </c>
    </row>
    <row r="29" spans="1:23" x14ac:dyDescent="0.35">
      <c r="A29" s="17"/>
      <c r="B29" s="18"/>
      <c r="C29" s="18"/>
      <c r="D29" s="18"/>
      <c r="E29" s="17"/>
      <c r="F29" s="17"/>
      <c r="G29" s="18"/>
      <c r="I29" s="18"/>
      <c r="J29" s="18"/>
      <c r="W29" s="19" t="s">
        <v>26</v>
      </c>
    </row>
    <row r="30" spans="1:23" x14ac:dyDescent="0.35">
      <c r="A30" s="17"/>
      <c r="B30" s="18"/>
      <c r="C30" s="18"/>
      <c r="D30" s="18"/>
      <c r="E30" s="17"/>
      <c r="F30" s="17"/>
      <c r="G30" s="18"/>
      <c r="I30" s="18"/>
      <c r="J30" s="18"/>
      <c r="W30" s="19" t="s">
        <v>27</v>
      </c>
    </row>
    <row r="31" spans="1:23" x14ac:dyDescent="0.35">
      <c r="A31" s="17"/>
      <c r="B31" s="18"/>
      <c r="C31" s="18"/>
      <c r="D31" s="18"/>
      <c r="E31" s="17"/>
      <c r="F31" s="17"/>
      <c r="G31" s="18"/>
      <c r="I31" s="18"/>
      <c r="J31" s="18"/>
      <c r="W31" s="19" t="s">
        <v>93</v>
      </c>
    </row>
    <row r="32" spans="1:23" x14ac:dyDescent="0.35">
      <c r="A32" s="17"/>
      <c r="B32" s="18"/>
      <c r="C32" s="18"/>
      <c r="D32" s="18"/>
      <c r="E32" s="17"/>
      <c r="F32" s="17"/>
      <c r="G32" s="18"/>
      <c r="I32" s="18"/>
      <c r="J32" s="18"/>
      <c r="W32" s="19" t="s">
        <v>28</v>
      </c>
    </row>
    <row r="33" spans="1:23" x14ac:dyDescent="0.35">
      <c r="A33" s="17"/>
      <c r="B33" s="18"/>
      <c r="C33" s="18"/>
      <c r="D33" s="18"/>
      <c r="E33" s="17"/>
      <c r="F33" s="17"/>
      <c r="G33" s="18"/>
      <c r="I33" s="18"/>
      <c r="J33" s="18"/>
      <c r="W33" s="19" t="s">
        <v>29</v>
      </c>
    </row>
    <row r="34" spans="1:23" x14ac:dyDescent="0.35">
      <c r="A34" s="17"/>
      <c r="B34" s="18"/>
      <c r="C34" s="18"/>
      <c r="D34" s="18"/>
      <c r="E34" s="17"/>
      <c r="F34" s="17"/>
      <c r="G34" s="18"/>
      <c r="I34" s="18"/>
      <c r="J34" s="18"/>
      <c r="W34" s="19" t="s">
        <v>30</v>
      </c>
    </row>
    <row r="35" spans="1:23" x14ac:dyDescent="0.35">
      <c r="A35" s="17"/>
      <c r="B35" s="18"/>
      <c r="C35" s="18"/>
      <c r="D35" s="18"/>
      <c r="E35" s="17"/>
      <c r="F35" s="17"/>
      <c r="G35" s="18"/>
      <c r="I35" s="18"/>
      <c r="J35" s="18"/>
      <c r="W35" s="19" t="s">
        <v>94</v>
      </c>
    </row>
    <row r="36" spans="1:23" x14ac:dyDescent="0.35">
      <c r="A36" s="17"/>
      <c r="B36" s="18"/>
      <c r="C36" s="18"/>
      <c r="D36" s="18"/>
      <c r="E36" s="17"/>
      <c r="F36" s="17"/>
      <c r="G36" s="18"/>
      <c r="I36" s="18"/>
      <c r="J36" s="18"/>
      <c r="W36" s="19" t="s">
        <v>32</v>
      </c>
    </row>
    <row r="37" spans="1:23" x14ac:dyDescent="0.35">
      <c r="A37" s="17"/>
      <c r="B37" s="18"/>
      <c r="C37" s="18"/>
      <c r="D37" s="18"/>
      <c r="E37" s="17"/>
      <c r="F37" s="17"/>
      <c r="G37" s="18"/>
      <c r="I37" s="18"/>
      <c r="J37" s="18"/>
      <c r="W37" s="19" t="s">
        <v>33</v>
      </c>
    </row>
    <row r="38" spans="1:23" x14ac:dyDescent="0.35">
      <c r="A38" s="17"/>
      <c r="B38" s="18"/>
      <c r="C38" s="18"/>
      <c r="D38" s="18"/>
      <c r="E38" s="17"/>
      <c r="F38" s="17"/>
      <c r="G38" s="18"/>
      <c r="I38" s="18"/>
      <c r="J38" s="18"/>
      <c r="W38" s="19" t="s">
        <v>34</v>
      </c>
    </row>
    <row r="39" spans="1:23" x14ac:dyDescent="0.35">
      <c r="A39" s="17"/>
      <c r="B39" s="18"/>
      <c r="C39" s="18"/>
      <c r="D39" s="18"/>
      <c r="E39" s="17"/>
      <c r="F39" s="17"/>
      <c r="G39" s="18"/>
      <c r="I39" s="18"/>
      <c r="J39" s="18"/>
      <c r="W39" s="19" t="s">
        <v>35</v>
      </c>
    </row>
    <row r="40" spans="1:23" x14ac:dyDescent="0.35">
      <c r="A40" s="17"/>
      <c r="B40" s="18"/>
      <c r="C40" s="18"/>
      <c r="D40" s="18"/>
      <c r="E40" s="17"/>
      <c r="F40" s="17"/>
      <c r="G40" s="18"/>
      <c r="I40" s="18"/>
      <c r="J40" s="18"/>
      <c r="W40" s="19" t="s">
        <v>36</v>
      </c>
    </row>
    <row r="41" spans="1:23" x14ac:dyDescent="0.35">
      <c r="A41" s="17"/>
      <c r="B41" s="18"/>
      <c r="C41" s="18"/>
      <c r="D41" s="18"/>
      <c r="E41" s="17"/>
      <c r="F41" s="17"/>
      <c r="G41" s="18"/>
      <c r="I41" s="18"/>
      <c r="J41" s="18"/>
      <c r="W41" s="19" t="s">
        <v>37</v>
      </c>
    </row>
    <row r="42" spans="1:23" x14ac:dyDescent="0.35">
      <c r="A42" s="17"/>
      <c r="B42" s="18"/>
      <c r="C42" s="18"/>
      <c r="D42" s="18"/>
      <c r="E42" s="17"/>
      <c r="F42" s="17"/>
      <c r="G42" s="18"/>
      <c r="I42" s="18"/>
      <c r="J42" s="18"/>
      <c r="W42" s="19" t="s">
        <v>38</v>
      </c>
    </row>
    <row r="43" spans="1:23" x14ac:dyDescent="0.35">
      <c r="A43" s="17"/>
      <c r="B43" s="18"/>
      <c r="C43" s="18"/>
      <c r="D43" s="18"/>
      <c r="E43" s="17"/>
      <c r="F43" s="17"/>
      <c r="G43" s="18"/>
      <c r="I43" s="18"/>
      <c r="J43" s="18"/>
      <c r="W43" s="19" t="s">
        <v>39</v>
      </c>
    </row>
    <row r="44" spans="1:23" x14ac:dyDescent="0.35">
      <c r="A44" s="17"/>
      <c r="B44" s="18"/>
      <c r="C44" s="18"/>
      <c r="D44" s="18"/>
      <c r="E44" s="17"/>
      <c r="F44" s="17"/>
      <c r="G44" s="18"/>
      <c r="I44" s="18"/>
      <c r="J44" s="18"/>
      <c r="W44" s="19" t="s">
        <v>40</v>
      </c>
    </row>
    <row r="45" spans="1:23" x14ac:dyDescent="0.35">
      <c r="A45" s="17"/>
      <c r="B45" s="18"/>
      <c r="C45" s="18"/>
      <c r="D45" s="18"/>
      <c r="E45" s="17"/>
      <c r="F45" s="17"/>
      <c r="G45" s="18"/>
      <c r="I45" s="18"/>
      <c r="J45" s="18"/>
      <c r="W45" s="19" t="s">
        <v>41</v>
      </c>
    </row>
    <row r="46" spans="1:23" x14ac:dyDescent="0.35">
      <c r="A46" s="17"/>
      <c r="B46" s="18"/>
      <c r="C46" s="18"/>
      <c r="D46" s="18"/>
      <c r="E46" s="17"/>
      <c r="F46" s="17"/>
      <c r="G46" s="18"/>
      <c r="I46" s="18"/>
      <c r="J46" s="18"/>
      <c r="W46" s="19" t="s">
        <v>42</v>
      </c>
    </row>
    <row r="47" spans="1:23" x14ac:dyDescent="0.35">
      <c r="A47" s="17"/>
      <c r="B47" s="18"/>
      <c r="C47" s="18"/>
      <c r="D47" s="18"/>
      <c r="E47" s="17"/>
      <c r="F47" s="17"/>
      <c r="G47" s="18"/>
      <c r="I47" s="18"/>
      <c r="J47" s="18"/>
      <c r="W47" s="19" t="s">
        <v>43</v>
      </c>
    </row>
    <row r="48" spans="1:23" x14ac:dyDescent="0.35">
      <c r="A48" s="17"/>
      <c r="B48" s="18"/>
      <c r="C48" s="18"/>
      <c r="D48" s="18"/>
      <c r="E48" s="17"/>
      <c r="F48" s="17"/>
      <c r="G48" s="18"/>
      <c r="I48" s="18"/>
      <c r="J48" s="18"/>
      <c r="W48" s="19" t="s">
        <v>44</v>
      </c>
    </row>
    <row r="49" spans="1:23" x14ac:dyDescent="0.35">
      <c r="A49" s="17"/>
      <c r="B49" s="18"/>
      <c r="C49" s="18"/>
      <c r="D49" s="18"/>
      <c r="E49" s="17"/>
      <c r="F49" s="17"/>
      <c r="G49" s="18"/>
      <c r="I49" s="18"/>
      <c r="J49" s="18"/>
      <c r="W49" s="19" t="s">
        <v>45</v>
      </c>
    </row>
    <row r="50" spans="1:23" x14ac:dyDescent="0.35">
      <c r="A50" s="17"/>
      <c r="B50" s="18"/>
      <c r="C50" s="18"/>
      <c r="D50" s="18"/>
      <c r="E50" s="17"/>
      <c r="F50" s="17"/>
      <c r="G50" s="18"/>
      <c r="I50" s="18"/>
      <c r="J50" s="18"/>
      <c r="W50" s="19" t="s">
        <v>46</v>
      </c>
    </row>
    <row r="51" spans="1:23" x14ac:dyDescent="0.35">
      <c r="A51" s="17"/>
      <c r="B51" s="18"/>
      <c r="C51" s="18"/>
      <c r="D51" s="18"/>
      <c r="E51" s="17"/>
      <c r="F51" s="17"/>
      <c r="G51" s="18"/>
      <c r="I51" s="18"/>
      <c r="J51" s="18"/>
      <c r="W51" s="19" t="s">
        <v>47</v>
      </c>
    </row>
    <row r="52" spans="1:23" x14ac:dyDescent="0.35">
      <c r="A52" s="17"/>
      <c r="B52" s="18"/>
      <c r="C52" s="18"/>
      <c r="D52" s="18"/>
      <c r="E52" s="17"/>
      <c r="F52" s="17"/>
      <c r="G52" s="18"/>
      <c r="I52" s="18"/>
      <c r="J52" s="18"/>
      <c r="W52" s="19" t="s">
        <v>48</v>
      </c>
    </row>
    <row r="53" spans="1:23" x14ac:dyDescent="0.35">
      <c r="A53" s="17"/>
      <c r="B53" s="18"/>
      <c r="C53" s="18"/>
      <c r="D53" s="18"/>
      <c r="E53" s="17"/>
      <c r="F53" s="17"/>
      <c r="G53" s="18"/>
      <c r="I53" s="18"/>
      <c r="J53" s="18"/>
      <c r="W53" s="19" t="s">
        <v>49</v>
      </c>
    </row>
    <row r="54" spans="1:23" x14ac:dyDescent="0.35">
      <c r="A54" s="17"/>
      <c r="B54" s="18"/>
      <c r="C54" s="18"/>
      <c r="D54" s="18"/>
      <c r="E54" s="17"/>
      <c r="F54" s="17"/>
      <c r="G54" s="18"/>
      <c r="I54" s="18"/>
      <c r="J54" s="18"/>
      <c r="W54" s="19" t="s">
        <v>50</v>
      </c>
    </row>
    <row r="55" spans="1:23" x14ac:dyDescent="0.35">
      <c r="A55" s="17"/>
      <c r="B55" s="18"/>
      <c r="C55" s="18"/>
      <c r="D55" s="18"/>
      <c r="E55" s="17"/>
      <c r="F55" s="17"/>
      <c r="G55" s="18"/>
      <c r="I55" s="18"/>
      <c r="J55" s="18"/>
      <c r="W55" s="19" t="s">
        <v>51</v>
      </c>
    </row>
    <row r="56" spans="1:23" x14ac:dyDescent="0.35">
      <c r="W56" s="19" t="s">
        <v>52</v>
      </c>
    </row>
  </sheetData>
  <pageMargins left="0.7" right="0.7" top="0.75" bottom="0.75" header="0.3" footer="0.3"/>
  <pageSetup paperSize="9" orientation="portrait" r:id="rId1"/>
  <headerFooter>
    <oddHeader>&amp;C&amp;"Aptos"&amp;10&amp;K000000 OFFICIAL&amp;1#_x000D_</oddHeader>
    <oddFooter>&amp;C_x000D_&amp;1#&amp;"Aptos"&amp;10&amp;K000000 OFFICIAL</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F750A9-DA8E-43FC-9EB8-1E1355B4D1CF}">
  <sheetPr>
    <tabColor rgb="FFFF0000"/>
  </sheetPr>
  <dimension ref="A1:AE56"/>
  <sheetViews>
    <sheetView zoomScaleNormal="100" workbookViewId="0">
      <selection activeCell="C7" sqref="C7:C12"/>
    </sheetView>
  </sheetViews>
  <sheetFormatPr defaultColWidth="9.1796875" defaultRowHeight="14.5" x14ac:dyDescent="0.35"/>
  <cols>
    <col min="1" max="1" width="39.1796875" style="34" customWidth="1"/>
    <col min="2" max="3" width="11.81640625" style="34" customWidth="1"/>
    <col min="4" max="4" width="19.1796875" style="34" bestFit="1" customWidth="1"/>
    <col min="5" max="5" width="26.81640625" style="34" bestFit="1" customWidth="1"/>
    <col min="6" max="6" width="13.81640625" style="34" bestFit="1" customWidth="1"/>
    <col min="7" max="7" width="14.453125" style="34" bestFit="1" customWidth="1"/>
    <col min="8" max="8" width="32.453125" style="34" bestFit="1" customWidth="1"/>
    <col min="9" max="10" width="9.1796875" style="34"/>
    <col min="11" max="11" width="8.81640625" style="19" hidden="1" customWidth="1"/>
    <col min="12" max="19" width="9.1796875" style="34"/>
    <col min="20" max="20" width="0" style="34" hidden="1" customWidth="1"/>
    <col min="21" max="21" width="9.1796875" style="34" hidden="1" customWidth="1"/>
    <col min="22" max="22" width="0" style="34" hidden="1" customWidth="1"/>
    <col min="23" max="16384" width="9.1796875" style="34"/>
  </cols>
  <sheetData>
    <row r="1" spans="1:31" s="31" customFormat="1" ht="22" x14ac:dyDescent="0.65">
      <c r="A1" s="252"/>
      <c r="B1" s="252"/>
      <c r="C1" s="252"/>
      <c r="D1" s="252"/>
      <c r="E1" s="252"/>
      <c r="F1" s="252"/>
      <c r="G1" s="252"/>
      <c r="H1" s="252"/>
      <c r="I1" s="252"/>
      <c r="J1" s="252"/>
      <c r="K1" s="252"/>
      <c r="L1" s="252"/>
      <c r="M1" s="252"/>
      <c r="N1" s="252"/>
      <c r="O1" s="252"/>
      <c r="P1" s="252"/>
      <c r="Q1" s="252"/>
      <c r="R1" s="252"/>
      <c r="S1" s="252"/>
    </row>
    <row r="2" spans="1:31" ht="18" x14ac:dyDescent="0.4">
      <c r="A2" s="35" t="str">
        <f>FIRE1201b!A3</f>
        <v>England</v>
      </c>
      <c r="B2" s="33"/>
      <c r="C2" s="33"/>
      <c r="D2" s="33"/>
      <c r="E2" s="33"/>
      <c r="F2" s="33"/>
      <c r="G2" s="33"/>
      <c r="H2" s="33"/>
      <c r="I2" s="33"/>
      <c r="J2" s="33"/>
      <c r="L2" s="33"/>
      <c r="M2" s="33"/>
      <c r="N2" s="33"/>
      <c r="O2" s="33"/>
      <c r="P2" s="33"/>
      <c r="Q2" s="33"/>
      <c r="R2" s="33"/>
      <c r="S2" s="33"/>
    </row>
    <row r="3" spans="1:31" ht="14.5" customHeight="1" x14ac:dyDescent="0.35">
      <c r="A3" s="34" t="s">
        <v>10</v>
      </c>
    </row>
    <row r="4" spans="1:31" ht="14.5" customHeight="1" x14ac:dyDescent="0.35">
      <c r="A4" s="32"/>
      <c r="B4" s="28"/>
      <c r="C4" s="28"/>
      <c r="D4" s="28"/>
      <c r="E4" s="28"/>
      <c r="F4" s="28"/>
      <c r="G4" s="28"/>
      <c r="H4" s="28"/>
      <c r="I4" s="28"/>
      <c r="J4" s="28"/>
      <c r="L4" s="28"/>
      <c r="M4" s="28"/>
      <c r="N4" s="28"/>
      <c r="O4" s="28"/>
      <c r="P4" s="28"/>
      <c r="Q4" s="28"/>
      <c r="R4" s="28"/>
      <c r="S4" s="30"/>
      <c r="T4" s="30"/>
      <c r="U4" s="30"/>
      <c r="V4" s="30"/>
      <c r="W4" s="30"/>
      <c r="X4" s="30"/>
      <c r="Y4" s="30"/>
      <c r="Z4" s="30"/>
      <c r="AA4" s="30"/>
      <c r="AB4" s="30"/>
      <c r="AC4" s="30"/>
      <c r="AD4" s="30"/>
    </row>
    <row r="5" spans="1:31" ht="14.5" customHeight="1" x14ac:dyDescent="0.35">
      <c r="A5" s="28"/>
      <c r="B5" s="36"/>
      <c r="C5" s="36"/>
      <c r="D5" s="36"/>
      <c r="E5" s="36"/>
      <c r="F5" s="37" t="s">
        <v>110</v>
      </c>
      <c r="G5" s="36"/>
      <c r="H5" s="36"/>
      <c r="I5" s="36"/>
      <c r="J5" s="28"/>
      <c r="L5" s="28"/>
      <c r="M5" s="28"/>
      <c r="N5" s="28"/>
      <c r="O5" s="28"/>
      <c r="P5" s="28"/>
      <c r="Q5" s="28"/>
      <c r="R5" s="30"/>
      <c r="S5" s="30"/>
      <c r="T5" s="30"/>
      <c r="U5" s="30"/>
      <c r="V5" s="30"/>
      <c r="W5" s="30"/>
      <c r="X5" s="30"/>
      <c r="Y5" s="30"/>
      <c r="Z5" s="30"/>
      <c r="AA5" s="30"/>
      <c r="AB5" s="30"/>
      <c r="AC5" s="30"/>
    </row>
    <row r="6" spans="1:31" ht="41.5" customHeight="1" x14ac:dyDescent="0.35">
      <c r="A6" t="s">
        <v>77</v>
      </c>
      <c r="B6" s="38" t="s">
        <v>10</v>
      </c>
      <c r="C6" s="38" t="s">
        <v>286</v>
      </c>
      <c r="D6" s="38" t="s">
        <v>273</v>
      </c>
      <c r="E6" s="39" t="s">
        <v>105</v>
      </c>
      <c r="F6" s="39" t="s">
        <v>102</v>
      </c>
      <c r="G6" s="39" t="s">
        <v>106</v>
      </c>
      <c r="H6" s="39" t="s">
        <v>107</v>
      </c>
      <c r="I6" s="39" t="s">
        <v>108</v>
      </c>
      <c r="J6" s="39" t="s">
        <v>109</v>
      </c>
      <c r="K6" s="40"/>
      <c r="L6" s="24"/>
      <c r="M6" s="28"/>
      <c r="N6" s="28"/>
      <c r="O6" s="28"/>
      <c r="P6" s="28"/>
      <c r="Q6" s="28"/>
      <c r="R6" s="28"/>
      <c r="S6" s="28"/>
      <c r="T6" s="30"/>
      <c r="U6" s="30"/>
      <c r="V6" s="30"/>
      <c r="W6" s="30"/>
      <c r="X6" s="30"/>
      <c r="Y6" s="30"/>
      <c r="Z6" s="30"/>
      <c r="AA6" s="30"/>
      <c r="AB6" s="30"/>
      <c r="AC6" s="30"/>
      <c r="AD6" s="30"/>
      <c r="AE6" s="30"/>
    </row>
    <row r="7" spans="1:31" ht="15" customHeight="1" x14ac:dyDescent="0.35">
      <c r="A7" s="41" t="s">
        <v>7</v>
      </c>
      <c r="B7" s="16">
        <f>SUM(E7:J7)</f>
        <v>1307890.5</v>
      </c>
      <c r="C7" s="29" cm="1">
        <f t="array" ref="C7">IF(AND($A$2="England",OR($A$3="Total")),SUMPRODUCT(('Data - Visits'!$A$2:$A$3873=$A7)*('Data - Visits'!$F$2:$F$3873=B$6)*('Data - Visits'!$I$2:$I$3873)),IF(AND($A$3="Total",OR($A$2="Non-metropolitan",$A$2="Metropolitan")),SUMPRODUCT(('Data - Visits'!$A$2:$A$3873=$A7)*('Data - Visits'!$H$2:$H$3873=$A$2)*('Data - Visits'!$F$2:$F$3873=B$6)*('Data - Visits'!$I$2:$I$3873)),IF(AND($A$3="Total",OR($A$2="Predominantly Urban",$A$2="Significantly Rural",$A$2="Predominantly Rural")),SUMPRODUCT(('Data - Visits'!$A$2:$A$3873=$A7)*('Data - Visits'!$G$2:$G$3873=$A$2)*('Data - Visits'!$F$2:$F$3873=B$6)*('Data - Visits'!$I$2:$I$3873)),IF($A$3="Total",SUMPRODUCT(('Data - Visits'!$A$2:$A$3873=$A7)*('Data - Visits'!$B$2:$B$3873=$A$2)*('Data - Visits'!$F$2:$F$3873=B$6)*('Data - Visits'!$I$2:$I$3873)),IF(AND($A$2="England",OR($A$3="Face to face")),SUMPRODUCT(('Data - Visits'!$A$2:$A$3873=$A7)*('Data - Visits'!$D$2:$D$3873=$A$3)*('Data - Visits'!$F$2:$F$3873=B$6)*('Data - Visits'!$I$2:$I$3873)),IF(AND($A$3="Face to face",OR($A$2="Non-metropolitan",$A$2="Metropolitan")),SUMPRODUCT(('Data - Visits'!$A$2:$A$3873=$A7)*('Data - Visits'!$D$2:$D$3873=$A$3)*('Data - Visits'!$H$2:$H$3873=$A$2)*('Data - Visits'!$F$2:$F$3873=B$6)*('Data - Visits'!$I$2:$I$3873)),IF(AND($A$3="Face to face",OR($A$2="Predominantly Urban",$A$2="Significantly Rural",$A$2="Predominantly Rural")),SUMPRODUCT(('Data - Visits'!$A$2:$A$3873=$A7)*('Data - Visits'!$D$2:$D$3873=$A$3)*('Data - Visits'!$G$2:$G$3873=$A$2)*('Data - Visits'!$F$2:$F$3873=B$6)*('Data - Visits'!$I$2:$I$3873)),IF($A$3="Face to face",SUMPRODUCT(('Data - Visits'!$A$2:$A$3873=$A7)*('Data - Visits'!$B$2:$B$3873=$A$2)*('Data - Visits'!$D$2:$D$3873=$A$3)*('Data - Visits'!$F$2:$F$3873=B$6)*('Data - Visits'!$I$2:$I$3873)),IF($A$3="Virtual","..")))))))))</f>
        <v>597704</v>
      </c>
      <c r="D7" s="166">
        <f>B7/C7</f>
        <v>2.1881909774737998</v>
      </c>
      <c r="E7" s="17" cm="1">
        <f t="array" ref="E7">IF($A$2="England",SUMPRODUCT(('Data - Staff'!$A$2:$A$1585=$A7)*('Data - Staff'!$C$2:$C$1585=E$6)*('Data - Staff'!$G$2:$G$1585)),IF(OR($A$2="Non-metropolitan",$A$2="Metropolitan"),SUMPRODUCT(('Data - Staff'!$A$2:$A$1585=$A7)*('Data - Staff'!$C$2:$C$1585=E$6)*('Data - Staff'!$F$2:$F$1585=$A$2)*('Data - Staff'!$G$2:$G$1585)),IF(OR($A$2="Predominantly Urban",$A$2="Significantly Rural",$A$2="Predominantly Rural"),SUMPRODUCT(('Data - Staff'!$A$2:$A$1585=$A7)*('Data - Staff'!$C$2:$C$1585=E$6)*('Data - Staff'!$E$2:$E$1585=$A$2)*('Data - Staff'!$G$2:$G$1585)),SUMPRODUCT(('Data - Staff'!$A$2:$A$1585=$A7)*('Data - Staff'!$B$2:$B$1585=$A$2)*('Data - Staff'!$C$2:$C$1585=E$6)*('Data - Staff'!$G$2:$G$1585)))))</f>
        <v>7176</v>
      </c>
      <c r="F7" s="17" cm="1">
        <f t="array" ref="F7">IF($A$2="England",SUMPRODUCT(('Data - Staff'!$A$2:$A$1585=$A7)*('Data - Staff'!$C$2:$C$1585=F$6)*('Data - Staff'!$G$2:$G$1585)),IF(OR($A$2="Non-metropolitan",$A$2="Metropolitan"),SUMPRODUCT(('Data - Staff'!$A$2:$A$1585=$A7)*('Data - Staff'!$C$2:$C$1585=F$6)*('Data - Staff'!$F$2:$F$1585=$A$2)*('Data - Staff'!$G$2:$G$1585)),IF(OR($A$2="Predominantly Urban",$A$2="Significantly Rural",$A$2="Predominantly Rural"),SUMPRODUCT(('Data - Staff'!$A$2:$A$1585=$A7)*('Data - Staff'!$C$2:$C$1585=F$6)*('Data - Staff'!$E$2:$E$1585=$A$2)*('Data - Staff'!$G$2:$G$1585)),SUMPRODUCT(('Data - Staff'!$A$2:$A$1585=$A7)*('Data - Staff'!$B$2:$B$1585=$A$2)*('Data - Staff'!$C$2:$C$1585=F$6)*('Data - Staff'!$G$2:$G$1585)))))</f>
        <v>86989</v>
      </c>
      <c r="G7" s="17" cm="1">
        <f t="array" ref="G7">IF($A$2="England",SUMPRODUCT(('Data - Staff'!$A$2:$A$1585=$A7)*('Data - Staff'!$C$2:$C$1585=G$6)*('Data - Staff'!$G$2:$G$1585)),IF(OR($A$2="Non-metropolitan",$A$2="Metropolitan"),SUMPRODUCT(('Data - Staff'!$A$2:$A$1585=$A7)*('Data - Staff'!$C$2:$C$1585=G$6)*('Data - Staff'!$F$2:$F$1585=$A$2)*('Data - Staff'!$G$2:$G$1585)),IF(OR($A$2="Predominantly Urban",$A$2="Significantly Rural",$A$2="Predominantly Rural"),SUMPRODUCT(('Data - Staff'!$A$2:$A$1585=$A7)*('Data - Staff'!$C$2:$C$1585=G$6)*('Data - Staff'!$E$2:$E$1585=$A$2)*('Data - Staff'!$G$2:$G$1585)),SUMPRODUCT(('Data - Staff'!$A$2:$A$1585=$A7)*('Data - Staff'!$B$2:$B$1585=$A$2)*('Data - Staff'!$C$2:$C$1585=G$6)*('Data - Staff'!$G$2:$G$1585)))))</f>
        <v>1130338</v>
      </c>
      <c r="H7" s="17" cm="1">
        <f t="array" ref="H7">IF($A$2="England",SUMPRODUCT(('Data - Staff'!$A$2:$A$1585=$A7)*('Data - Staff'!$C$2:$C$1585=H$6)*('Data - Staff'!$G$2:$G$1585)),IF(OR($A$2="Non-metropolitan",$A$2="Metropolitan"),SUMPRODUCT(('Data - Staff'!$A$2:$A$1585=$A7)*('Data - Staff'!$C$2:$C$1585=H$6)*('Data - Staff'!$F$2:$F$1585=$A$2)*('Data - Staff'!$G$2:$G$1585)),IF(OR($A$2="Predominantly Urban",$A$2="Significantly Rural",$A$2="Predominantly Rural"),SUMPRODUCT(('Data - Staff'!$A$2:$A$1585=$A7)*('Data - Staff'!$C$2:$C$1585=H$6)*('Data - Staff'!$E$2:$E$1585=$A$2)*('Data - Staff'!$G$2:$G$1585)),SUMPRODUCT(('Data - Staff'!$A$2:$A$1585=$A7)*('Data - Staff'!$B$2:$B$1585=$A$2)*('Data - Staff'!$C$2:$C$1585=H$6)*('Data - Staff'!$G$2:$G$1585)))))</f>
        <v>7847</v>
      </c>
      <c r="I7" s="17" cm="1">
        <f t="array" ref="I7">IF($A$2="England",SUMPRODUCT(('Data - Staff'!$A$2:$A$1585=$A7)*('Data - Staff'!$C$2:$C$1585=I$6)*('Data - Staff'!$G$2:$G$1585)),IF(OR($A$2="Non-metropolitan",$A$2="Metropolitan"),SUMPRODUCT(('Data - Staff'!$A$2:$A$1585=$A7)*('Data - Staff'!$C$2:$C$1585=I$6)*('Data - Staff'!$F$2:$F$1585=$A$2)*('Data - Staff'!$G$2:$G$1585)),IF(OR($A$2="Predominantly Urban",$A$2="Significantly Rural",$A$2="Predominantly Rural"),SUMPRODUCT(('Data - Staff'!$A$2:$A$1585=$A7)*('Data - Staff'!$C$2:$C$1585=I$6)*('Data - Staff'!$E$2:$E$1585=$A$2)*('Data - Staff'!$G$2:$G$1585)),SUMPRODUCT(('Data - Staff'!$A$2:$A$1585=$A7)*('Data - Staff'!$B$2:$B$1585=$A$2)*('Data - Staff'!$C$2:$C$1585=I$6)*('Data - Staff'!$G$2:$G$1585)))))</f>
        <v>60482.5</v>
      </c>
      <c r="J7" s="17" cm="1">
        <f t="array" ref="J7">IF($A$2="England",SUMPRODUCT(('Data - Staff'!$A$2:$A$1585=$A7)*('Data - Staff'!$C$2:$C$1585=J$6)*('Data - Staff'!$G$2:$G$1585)),IF(OR($A$2="Non-metropolitan",$A$2="Metropolitan"),SUMPRODUCT(('Data - Staff'!$A$2:$A$1585=$A7)*('Data - Staff'!$C$2:$C$1585=J$6)*('Data - Staff'!$F$2:$F$1585=$A$2)*('Data - Staff'!$G$2:$G$1585)),IF(OR($A$2="Predominantly Urban",$A$2="Significantly Rural",$A$2="Predominantly Rural"),SUMPRODUCT(('Data - Staff'!$A$2:$A$1585=$A7)*('Data - Staff'!$C$2:$C$1585=J$6)*('Data - Staff'!$E$2:$E$1585=$A$2)*('Data - Staff'!$G$2:$G$1585)),SUMPRODUCT(('Data - Staff'!$A$2:$A$1585=$A7)*('Data - Staff'!$B$2:$B$1585=$A$2)*('Data - Staff'!$C$2:$C$1585=J$6)*('Data - Staff'!$G$2:$G$1585)))))</f>
        <v>15058</v>
      </c>
      <c r="K7" s="42"/>
      <c r="L7" s="19" t="s">
        <v>76</v>
      </c>
      <c r="M7" s="94"/>
      <c r="N7" s="42"/>
      <c r="O7" s="42"/>
      <c r="P7" s="42"/>
      <c r="Q7" s="42"/>
      <c r="R7" s="42"/>
      <c r="S7" s="16"/>
      <c r="T7" s="30"/>
      <c r="U7" s="30"/>
      <c r="V7" s="30" t="s">
        <v>103</v>
      </c>
      <c r="W7" s="30"/>
      <c r="X7" s="30"/>
      <c r="Y7" s="30"/>
      <c r="Z7" s="30"/>
      <c r="AA7" s="30"/>
      <c r="AB7" s="30"/>
      <c r="AC7" s="30"/>
      <c r="AD7" s="30"/>
      <c r="AE7" s="30"/>
    </row>
    <row r="8" spans="1:31" ht="15" customHeight="1" x14ac:dyDescent="0.35">
      <c r="A8" s="41" t="s">
        <v>53</v>
      </c>
      <c r="B8" s="16">
        <f t="shared" ref="B8:B12" si="0">SUM(E8:J8)</f>
        <v>1328455</v>
      </c>
      <c r="C8" s="29" cm="1">
        <f t="array" ref="C8">IF(AND($A$2="England",OR($A$3="Total")),SUMPRODUCT(('Data - Visits'!$A$2:$A$3873=$A8)*('Data - Visits'!$F$2:$F$3873=B$6)*('Data - Visits'!$I$2:$I$3873)),IF(AND($A$3="Total",OR($A$2="Non-metropolitan",$A$2="Metropolitan")),SUMPRODUCT(('Data - Visits'!$A$2:$A$3873=$A8)*('Data - Visits'!$H$2:$H$3873=$A$2)*('Data - Visits'!$F$2:$F$3873=B$6)*('Data - Visits'!$I$2:$I$3873)),IF(AND($A$3="Total",OR($A$2="Predominantly Urban",$A$2="Significantly Rural",$A$2="Predominantly Rural")),SUMPRODUCT(('Data - Visits'!$A$2:$A$3873=$A8)*('Data - Visits'!$G$2:$G$3873=$A$2)*('Data - Visits'!$F$2:$F$3873=B$6)*('Data - Visits'!$I$2:$I$3873)),IF($A$3="Total",SUMPRODUCT(('Data - Visits'!$A$2:$A$3873=$A8)*('Data - Visits'!$B$2:$B$3873=$A$2)*('Data - Visits'!$F$2:$F$3873=B$6)*('Data - Visits'!$I$2:$I$3873)),IF(AND($A$2="England",OR($A$3="Face to face")),SUMPRODUCT(('Data - Visits'!$A$2:$A$3873=$A8)*('Data - Visits'!$D$2:$D$3873=$A$3)*('Data - Visits'!$F$2:$F$3873=B$6)*('Data - Visits'!$I$2:$I$3873)),IF(AND($A$3="Face to face",OR($A$2="Non-metropolitan",$A$2="Metropolitan")),SUMPRODUCT(('Data - Visits'!$A$2:$A$3873=$A8)*('Data - Visits'!$D$2:$D$3873=$A$3)*('Data - Visits'!$H$2:$H$3873=$A$2)*('Data - Visits'!$F$2:$F$3873=B$6)*('Data - Visits'!$I$2:$I$3873)),IF(AND($A$3="Face to face",OR($A$2="Predominantly Urban",$A$2="Significantly Rural",$A$2="Predominantly Rural")),SUMPRODUCT(('Data - Visits'!$A$2:$A$3873=$A8)*('Data - Visits'!$D$2:$D$3873=$A$3)*('Data - Visits'!$G$2:$G$3873=$A$2)*('Data - Visits'!$F$2:$F$3873=B$6)*('Data - Visits'!$I$2:$I$3873)),IF($A$3="Face to face",SUMPRODUCT(('Data - Visits'!$A$2:$A$3873=$A8)*('Data - Visits'!$B$2:$B$3873=$A$2)*('Data - Visits'!$D$2:$D$3873=$A$3)*('Data - Visits'!$F$2:$F$3873=B$6)*('Data - Visits'!$I$2:$I$3873)),IF($A$3="Virtual","..")))))))))</f>
        <v>588666</v>
      </c>
      <c r="D8" s="166">
        <f t="shared" ref="D8:D12" si="1">B8/C8</f>
        <v>2.2567211287895002</v>
      </c>
      <c r="E8" s="17" cm="1">
        <f t="array" ref="E8">IF($A$2="England",SUMPRODUCT(('Data - Staff'!$A$2:$A$1585=$A8)*('Data - Staff'!$C$2:$C$1585=E$6)*('Data - Staff'!$G$2:$G$1585)),IF(OR($A$2="Non-metropolitan",$A$2="Metropolitan"),SUMPRODUCT(('Data - Staff'!$A$2:$A$1585=$A8)*('Data - Staff'!$C$2:$C$1585=E$6)*('Data - Staff'!$F$2:$F$1585=$A$2)*('Data - Staff'!$G$2:$G$1585)),IF(OR($A$2="Predominantly Urban",$A$2="Significantly Rural",$A$2="Predominantly Rural"),SUMPRODUCT(('Data - Staff'!$A$2:$A$1585=$A8)*('Data - Staff'!$C$2:$C$1585=E$6)*('Data - Staff'!$E$2:$E$1585=$A$2)*('Data - Staff'!$G$2:$G$1585)),SUMPRODUCT(('Data - Staff'!$A$2:$A$1585=$A8)*('Data - Staff'!$B$2:$B$1585=$A$2)*('Data - Staff'!$C$2:$C$1585=E$6)*('Data - Staff'!$G$2:$G$1585)))))</f>
        <v>10481</v>
      </c>
      <c r="F8" s="17" cm="1">
        <f t="array" ref="F8">IF($A$2="England",SUMPRODUCT(('Data - Staff'!$A$2:$A$1585=$A8)*('Data - Staff'!$C$2:$C$1585=F$6)*('Data - Staff'!$G$2:$G$1585)),IF(OR($A$2="Non-metropolitan",$A$2="Metropolitan"),SUMPRODUCT(('Data - Staff'!$A$2:$A$1585=$A8)*('Data - Staff'!$C$2:$C$1585=F$6)*('Data - Staff'!$F$2:$F$1585=$A$2)*('Data - Staff'!$G$2:$G$1585)),IF(OR($A$2="Predominantly Urban",$A$2="Significantly Rural",$A$2="Predominantly Rural"),SUMPRODUCT(('Data - Staff'!$A$2:$A$1585=$A8)*('Data - Staff'!$C$2:$C$1585=F$6)*('Data - Staff'!$E$2:$E$1585=$A$2)*('Data - Staff'!$G$2:$G$1585)),SUMPRODUCT(('Data - Staff'!$A$2:$A$1585=$A8)*('Data - Staff'!$B$2:$B$1585=$A$2)*('Data - Staff'!$C$2:$C$1585=F$6)*('Data - Staff'!$G$2:$G$1585)))))</f>
        <v>90169</v>
      </c>
      <c r="G8" s="17" cm="1">
        <f t="array" ref="G8">IF($A$2="England",SUMPRODUCT(('Data - Staff'!$A$2:$A$1585=$A8)*('Data - Staff'!$C$2:$C$1585=G$6)*('Data - Staff'!$G$2:$G$1585)),IF(OR($A$2="Non-metropolitan",$A$2="Metropolitan"),SUMPRODUCT(('Data - Staff'!$A$2:$A$1585=$A8)*('Data - Staff'!$C$2:$C$1585=G$6)*('Data - Staff'!$F$2:$F$1585=$A$2)*('Data - Staff'!$G$2:$G$1585)),IF(OR($A$2="Predominantly Urban",$A$2="Significantly Rural",$A$2="Predominantly Rural"),SUMPRODUCT(('Data - Staff'!$A$2:$A$1585=$A8)*('Data - Staff'!$C$2:$C$1585=G$6)*('Data - Staff'!$E$2:$E$1585=$A$2)*('Data - Staff'!$G$2:$G$1585)),SUMPRODUCT(('Data - Staff'!$A$2:$A$1585=$A8)*('Data - Staff'!$B$2:$B$1585=$A$2)*('Data - Staff'!$C$2:$C$1585=G$6)*('Data - Staff'!$G$2:$G$1585)))))</f>
        <v>1139612</v>
      </c>
      <c r="H8" s="17" cm="1">
        <f t="array" ref="H8">IF($A$2="England",SUMPRODUCT(('Data - Staff'!$A$2:$A$1585=$A8)*('Data - Staff'!$C$2:$C$1585=H$6)*('Data - Staff'!$G$2:$G$1585)),IF(OR($A$2="Non-metropolitan",$A$2="Metropolitan"),SUMPRODUCT(('Data - Staff'!$A$2:$A$1585=$A8)*('Data - Staff'!$C$2:$C$1585=H$6)*('Data - Staff'!$F$2:$F$1585=$A$2)*('Data - Staff'!$G$2:$G$1585)),IF(OR($A$2="Predominantly Urban",$A$2="Significantly Rural",$A$2="Predominantly Rural"),SUMPRODUCT(('Data - Staff'!$A$2:$A$1585=$A8)*('Data - Staff'!$C$2:$C$1585=H$6)*('Data - Staff'!$E$2:$E$1585=$A$2)*('Data - Staff'!$G$2:$G$1585)),SUMPRODUCT(('Data - Staff'!$A$2:$A$1585=$A8)*('Data - Staff'!$B$2:$B$1585=$A$2)*('Data - Staff'!$C$2:$C$1585=H$6)*('Data - Staff'!$G$2:$G$1585)))))</f>
        <v>6308</v>
      </c>
      <c r="I8" s="17" cm="1">
        <f t="array" ref="I8">IF($A$2="England",SUMPRODUCT(('Data - Staff'!$A$2:$A$1585=$A8)*('Data - Staff'!$C$2:$C$1585=I$6)*('Data - Staff'!$G$2:$G$1585)),IF(OR($A$2="Non-metropolitan",$A$2="Metropolitan"),SUMPRODUCT(('Data - Staff'!$A$2:$A$1585=$A8)*('Data - Staff'!$C$2:$C$1585=I$6)*('Data - Staff'!$F$2:$F$1585=$A$2)*('Data - Staff'!$G$2:$G$1585)),IF(OR($A$2="Predominantly Urban",$A$2="Significantly Rural",$A$2="Predominantly Rural"),SUMPRODUCT(('Data - Staff'!$A$2:$A$1585=$A8)*('Data - Staff'!$C$2:$C$1585=I$6)*('Data - Staff'!$E$2:$E$1585=$A$2)*('Data - Staff'!$G$2:$G$1585)),SUMPRODUCT(('Data - Staff'!$A$2:$A$1585=$A8)*('Data - Staff'!$B$2:$B$1585=$A$2)*('Data - Staff'!$C$2:$C$1585=I$6)*('Data - Staff'!$G$2:$G$1585)))))</f>
        <v>77786</v>
      </c>
      <c r="J8" s="17" cm="1">
        <f t="array" ref="J8">IF($A$2="England",SUMPRODUCT(('Data - Staff'!$A$2:$A$1585=$A8)*('Data - Staff'!$C$2:$C$1585=J$6)*('Data - Staff'!$G$2:$G$1585)),IF(OR($A$2="Non-metropolitan",$A$2="Metropolitan"),SUMPRODUCT(('Data - Staff'!$A$2:$A$1585=$A8)*('Data - Staff'!$C$2:$C$1585=J$6)*('Data - Staff'!$F$2:$F$1585=$A$2)*('Data - Staff'!$G$2:$G$1585)),IF(OR($A$2="Predominantly Urban",$A$2="Significantly Rural",$A$2="Predominantly Rural"),SUMPRODUCT(('Data - Staff'!$A$2:$A$1585=$A8)*('Data - Staff'!$C$2:$C$1585=J$6)*('Data - Staff'!$E$2:$E$1585=$A$2)*('Data - Staff'!$G$2:$G$1585)),SUMPRODUCT(('Data - Staff'!$A$2:$A$1585=$A8)*('Data - Staff'!$B$2:$B$1585=$A$2)*('Data - Staff'!$C$2:$C$1585=J$6)*('Data - Staff'!$G$2:$G$1585)))))</f>
        <v>4099</v>
      </c>
      <c r="K8" s="42"/>
      <c r="L8" s="19" t="s">
        <v>88</v>
      </c>
      <c r="M8" s="94"/>
      <c r="N8" s="42"/>
      <c r="O8" s="42"/>
      <c r="P8" s="42"/>
      <c r="Q8" s="42"/>
      <c r="R8" s="42"/>
      <c r="S8" s="16"/>
      <c r="T8" s="30"/>
      <c r="U8" s="30"/>
      <c r="V8" s="30" t="s">
        <v>104</v>
      </c>
      <c r="W8" s="30"/>
      <c r="X8" s="30"/>
      <c r="Y8" s="30"/>
      <c r="Z8" s="30"/>
      <c r="AA8" s="30"/>
      <c r="AB8" s="30"/>
      <c r="AC8" s="30"/>
      <c r="AD8" s="30"/>
      <c r="AE8" s="30"/>
    </row>
    <row r="9" spans="1:31" ht="15" customHeight="1" x14ac:dyDescent="0.35">
      <c r="A9" s="41" t="s">
        <v>54</v>
      </c>
      <c r="B9" s="16">
        <f t="shared" si="0"/>
        <v>429753</v>
      </c>
      <c r="C9" s="29" cm="1">
        <f t="array" ref="C9">IF(AND($A$2="England",OR($A$3="Total")),SUMPRODUCT(('Data - Visits'!$A$2:$A$3873=$A9)*('Data - Visits'!$F$2:$F$3873=B$6)*('Data - Visits'!$I$2:$I$3873)),IF(AND($A$3="Total",OR($A$2="Non-metropolitan",$A$2="Metropolitan")),SUMPRODUCT(('Data - Visits'!$A$2:$A$3873=$A9)*('Data - Visits'!$H$2:$H$3873=$A$2)*('Data - Visits'!$F$2:$F$3873=B$6)*('Data - Visits'!$I$2:$I$3873)),IF(AND($A$3="Total",OR($A$2="Predominantly Urban",$A$2="Significantly Rural",$A$2="Predominantly Rural")),SUMPRODUCT(('Data - Visits'!$A$2:$A$3873=$A9)*('Data - Visits'!$G$2:$G$3873=$A$2)*('Data - Visits'!$F$2:$F$3873=B$6)*('Data - Visits'!$I$2:$I$3873)),IF($A$3="Total",SUMPRODUCT(('Data - Visits'!$A$2:$A$3873=$A9)*('Data - Visits'!$B$2:$B$3873=$A$2)*('Data - Visits'!$F$2:$F$3873=B$6)*('Data - Visits'!$I$2:$I$3873)),IF(AND($A$2="England",OR($A$3="Face to face")),SUMPRODUCT(('Data - Visits'!$A$2:$A$3873=$A9)*('Data - Visits'!$D$2:$D$3873=$A$3)*('Data - Visits'!$F$2:$F$3873=B$6)*('Data - Visits'!$I$2:$I$3873)),IF(AND($A$3="Face to face",OR($A$2="Non-metropolitan",$A$2="Metropolitan")),SUMPRODUCT(('Data - Visits'!$A$2:$A$3873=$A9)*('Data - Visits'!$D$2:$D$3873=$A$3)*('Data - Visits'!$H$2:$H$3873=$A$2)*('Data - Visits'!$F$2:$F$3873=B$6)*('Data - Visits'!$I$2:$I$3873)),IF(AND($A$3="Face to face",OR($A$2="Predominantly Urban",$A$2="Significantly Rural",$A$2="Predominantly Rural")),SUMPRODUCT(('Data - Visits'!$A$2:$A$3873=$A9)*('Data - Visits'!$D$2:$D$3873=$A$3)*('Data - Visits'!$G$2:$G$3873=$A$2)*('Data - Visits'!$F$2:$F$3873=B$6)*('Data - Visits'!$I$2:$I$3873)),IF($A$3="Face to face",SUMPRODUCT(('Data - Visits'!$A$2:$A$3873=$A9)*('Data - Visits'!$B$2:$B$3873=$A$2)*('Data - Visits'!$D$2:$D$3873=$A$3)*('Data - Visits'!$F$2:$F$3873=B$6)*('Data - Visits'!$I$2:$I$3873)),IF($A$3="Virtual","..")))))))))</f>
        <v>260998</v>
      </c>
      <c r="D9" s="166">
        <f t="shared" si="1"/>
        <v>1.6465758358301597</v>
      </c>
      <c r="E9" s="17" cm="1">
        <f t="array" ref="E9">IF($A$2="England",SUMPRODUCT(('Data - Staff'!$A$2:$A$1585=$A9)*('Data - Staff'!$C$2:$C$1585=E$6)*('Data - Staff'!$G$2:$G$1585)),IF(OR($A$2="Non-metropolitan",$A$2="Metropolitan"),SUMPRODUCT(('Data - Staff'!$A$2:$A$1585=$A9)*('Data - Staff'!$C$2:$C$1585=E$6)*('Data - Staff'!$F$2:$F$1585=$A$2)*('Data - Staff'!$G$2:$G$1585)),IF(OR($A$2="Predominantly Urban",$A$2="Significantly Rural",$A$2="Predominantly Rural"),SUMPRODUCT(('Data - Staff'!$A$2:$A$1585=$A9)*('Data - Staff'!$C$2:$C$1585=E$6)*('Data - Staff'!$E$2:$E$1585=$A$2)*('Data - Staff'!$G$2:$G$1585)),SUMPRODUCT(('Data - Staff'!$A$2:$A$1585=$A9)*('Data - Staff'!$B$2:$B$1585=$A$2)*('Data - Staff'!$C$2:$C$1585=E$6)*('Data - Staff'!$G$2:$G$1585)))))</f>
        <v>7171</v>
      </c>
      <c r="F9" s="17" cm="1">
        <f t="array" ref="F9">IF($A$2="England",SUMPRODUCT(('Data - Staff'!$A$2:$A$1585=$A9)*('Data - Staff'!$C$2:$C$1585=F$6)*('Data - Staff'!$G$2:$G$1585)),IF(OR($A$2="Non-metropolitan",$A$2="Metropolitan"),SUMPRODUCT(('Data - Staff'!$A$2:$A$1585=$A9)*('Data - Staff'!$C$2:$C$1585=F$6)*('Data - Staff'!$F$2:$F$1585=$A$2)*('Data - Staff'!$G$2:$G$1585)),IF(OR($A$2="Predominantly Urban",$A$2="Significantly Rural",$A$2="Predominantly Rural"),SUMPRODUCT(('Data - Staff'!$A$2:$A$1585=$A9)*('Data - Staff'!$C$2:$C$1585=F$6)*('Data - Staff'!$E$2:$E$1585=$A$2)*('Data - Staff'!$G$2:$G$1585)),SUMPRODUCT(('Data - Staff'!$A$2:$A$1585=$A9)*('Data - Staff'!$B$2:$B$1585=$A$2)*('Data - Staff'!$C$2:$C$1585=F$6)*('Data - Staff'!$G$2:$G$1585)))))</f>
        <v>57635</v>
      </c>
      <c r="G9" s="17" cm="1">
        <f t="array" ref="G9">IF($A$2="England",SUMPRODUCT(('Data - Staff'!$A$2:$A$1585=$A9)*('Data - Staff'!$C$2:$C$1585=G$6)*('Data - Staff'!$G$2:$G$1585)),IF(OR($A$2="Non-metropolitan",$A$2="Metropolitan"),SUMPRODUCT(('Data - Staff'!$A$2:$A$1585=$A9)*('Data - Staff'!$C$2:$C$1585=G$6)*('Data - Staff'!$F$2:$F$1585=$A$2)*('Data - Staff'!$G$2:$G$1585)),IF(OR($A$2="Predominantly Urban",$A$2="Significantly Rural",$A$2="Predominantly Rural"),SUMPRODUCT(('Data - Staff'!$A$2:$A$1585=$A9)*('Data - Staff'!$C$2:$C$1585=G$6)*('Data - Staff'!$E$2:$E$1585=$A$2)*('Data - Staff'!$G$2:$G$1585)),SUMPRODUCT(('Data - Staff'!$A$2:$A$1585=$A9)*('Data - Staff'!$B$2:$B$1585=$A$2)*('Data - Staff'!$C$2:$C$1585=G$6)*('Data - Staff'!$G$2:$G$1585)))))</f>
        <v>283288</v>
      </c>
      <c r="H9" s="17" cm="1">
        <f t="array" ref="H9">IF($A$2="England",SUMPRODUCT(('Data - Staff'!$A$2:$A$1585=$A9)*('Data - Staff'!$C$2:$C$1585=H$6)*('Data - Staff'!$G$2:$G$1585)),IF(OR($A$2="Non-metropolitan",$A$2="Metropolitan"),SUMPRODUCT(('Data - Staff'!$A$2:$A$1585=$A9)*('Data - Staff'!$C$2:$C$1585=H$6)*('Data - Staff'!$F$2:$F$1585=$A$2)*('Data - Staff'!$G$2:$G$1585)),IF(OR($A$2="Predominantly Urban",$A$2="Significantly Rural",$A$2="Predominantly Rural"),SUMPRODUCT(('Data - Staff'!$A$2:$A$1585=$A9)*('Data - Staff'!$C$2:$C$1585=H$6)*('Data - Staff'!$E$2:$E$1585=$A$2)*('Data - Staff'!$G$2:$G$1585)),SUMPRODUCT(('Data - Staff'!$A$2:$A$1585=$A9)*('Data - Staff'!$B$2:$B$1585=$A$2)*('Data - Staff'!$C$2:$C$1585=H$6)*('Data - Staff'!$G$2:$G$1585)))))</f>
        <v>289</v>
      </c>
      <c r="I9" s="17" cm="1">
        <f t="array" ref="I9">IF($A$2="England",SUMPRODUCT(('Data - Staff'!$A$2:$A$1585=$A9)*('Data - Staff'!$C$2:$C$1585=I$6)*('Data - Staff'!$G$2:$G$1585)),IF(OR($A$2="Non-metropolitan",$A$2="Metropolitan"),SUMPRODUCT(('Data - Staff'!$A$2:$A$1585=$A9)*('Data - Staff'!$C$2:$C$1585=I$6)*('Data - Staff'!$F$2:$F$1585=$A$2)*('Data - Staff'!$G$2:$G$1585)),IF(OR($A$2="Predominantly Urban",$A$2="Significantly Rural",$A$2="Predominantly Rural"),SUMPRODUCT(('Data - Staff'!$A$2:$A$1585=$A9)*('Data - Staff'!$C$2:$C$1585=I$6)*('Data - Staff'!$E$2:$E$1585=$A$2)*('Data - Staff'!$G$2:$G$1585)),SUMPRODUCT(('Data - Staff'!$A$2:$A$1585=$A9)*('Data - Staff'!$B$2:$B$1585=$A$2)*('Data - Staff'!$C$2:$C$1585=I$6)*('Data - Staff'!$G$2:$G$1585)))))</f>
        <v>79542</v>
      </c>
      <c r="J9" s="17" cm="1">
        <f t="array" ref="J9">IF($A$2="England",SUMPRODUCT(('Data - Staff'!$A$2:$A$1585=$A9)*('Data - Staff'!$C$2:$C$1585=J$6)*('Data - Staff'!$G$2:$G$1585)),IF(OR($A$2="Non-metropolitan",$A$2="Metropolitan"),SUMPRODUCT(('Data - Staff'!$A$2:$A$1585=$A9)*('Data - Staff'!$C$2:$C$1585=J$6)*('Data - Staff'!$F$2:$F$1585=$A$2)*('Data - Staff'!$G$2:$G$1585)),IF(OR($A$2="Predominantly Urban",$A$2="Significantly Rural",$A$2="Predominantly Rural"),SUMPRODUCT(('Data - Staff'!$A$2:$A$1585=$A9)*('Data - Staff'!$C$2:$C$1585=J$6)*('Data - Staff'!$E$2:$E$1585=$A$2)*('Data - Staff'!$G$2:$G$1585)),SUMPRODUCT(('Data - Staff'!$A$2:$A$1585=$A9)*('Data - Staff'!$B$2:$B$1585=$A$2)*('Data - Staff'!$C$2:$C$1585=J$6)*('Data - Staff'!$G$2:$G$1585)))))</f>
        <v>1828</v>
      </c>
      <c r="K9" s="42"/>
      <c r="L9" s="19" t="s">
        <v>92</v>
      </c>
      <c r="M9" s="94"/>
      <c r="N9" s="42"/>
      <c r="O9" s="42"/>
      <c r="P9" s="42"/>
      <c r="Q9" s="42"/>
      <c r="R9" s="42"/>
      <c r="S9" s="16"/>
      <c r="T9" s="30"/>
      <c r="U9" s="30"/>
      <c r="V9" s="30"/>
      <c r="W9" s="30"/>
      <c r="X9" s="30"/>
      <c r="Y9" s="30"/>
      <c r="Z9" s="30"/>
      <c r="AA9" s="30"/>
      <c r="AB9" s="30"/>
      <c r="AC9" s="30"/>
      <c r="AD9" s="30"/>
      <c r="AE9" s="30"/>
    </row>
    <row r="10" spans="1:31" ht="15" customHeight="1" x14ac:dyDescent="0.35">
      <c r="A10" s="41" t="s">
        <v>56</v>
      </c>
      <c r="B10" s="16">
        <f t="shared" si="0"/>
        <v>967592</v>
      </c>
      <c r="C10" s="29" cm="1">
        <f t="array" ref="C10">IF(AND($A$2="England",OR($A$3="Total")),SUMPRODUCT(('Data - Visits'!$A$2:$A$3873=$A10)*('Data - Visits'!$F$2:$F$3873=B$6)*('Data - Visits'!$I$2:$I$3873)),IF(AND($A$3="Total",OR($A$2="Non-metropolitan",$A$2="Metropolitan")),SUMPRODUCT(('Data - Visits'!$A$2:$A$3873=$A10)*('Data - Visits'!$H$2:$H$3873=$A$2)*('Data - Visits'!$F$2:$F$3873=B$6)*('Data - Visits'!$I$2:$I$3873)),IF(AND($A$3="Total",OR($A$2="Predominantly Urban",$A$2="Significantly Rural",$A$2="Predominantly Rural")),SUMPRODUCT(('Data - Visits'!$A$2:$A$3873=$A10)*('Data - Visits'!$G$2:$G$3873=$A$2)*('Data - Visits'!$F$2:$F$3873=B$6)*('Data - Visits'!$I$2:$I$3873)),IF($A$3="Total",SUMPRODUCT(('Data - Visits'!$A$2:$A$3873=$A10)*('Data - Visits'!$B$2:$B$3873=$A$2)*('Data - Visits'!$F$2:$F$3873=B$6)*('Data - Visits'!$I$2:$I$3873)),IF(AND($A$2="England",OR($A$3="Face to face")),SUMPRODUCT(('Data - Visits'!$A$2:$A$3873=$A10)*('Data - Visits'!$D$2:$D$3873=$A$3)*('Data - Visits'!$F$2:$F$3873=B$6)*('Data - Visits'!$I$2:$I$3873)),IF(AND($A$3="Face to face",OR($A$2="Non-metropolitan",$A$2="Metropolitan")),SUMPRODUCT(('Data - Visits'!$A$2:$A$3873=$A10)*('Data - Visits'!$D$2:$D$3873=$A$3)*('Data - Visits'!$H$2:$H$3873=$A$2)*('Data - Visits'!$F$2:$F$3873=B$6)*('Data - Visits'!$I$2:$I$3873)),IF(AND($A$3="Face to face",OR($A$2="Predominantly Urban",$A$2="Significantly Rural",$A$2="Predominantly Rural")),SUMPRODUCT(('Data - Visits'!$A$2:$A$3873=$A10)*('Data - Visits'!$D$2:$D$3873=$A$3)*('Data - Visits'!$G$2:$G$3873=$A$2)*('Data - Visits'!$F$2:$F$3873=B$6)*('Data - Visits'!$I$2:$I$3873)),IF($A$3="Face to face",SUMPRODUCT(('Data - Visits'!$A$2:$A$3873=$A10)*('Data - Visits'!$B$2:$B$3873=$A$2)*('Data - Visits'!$D$2:$D$3873=$A$3)*('Data - Visits'!$F$2:$F$3873=B$6)*('Data - Visits'!$I$2:$I$3873)),IF($A$3="Virtual","..")))))))))</f>
        <v>440381</v>
      </c>
      <c r="D10" s="166">
        <f t="shared" si="1"/>
        <v>2.1971701776416332</v>
      </c>
      <c r="E10" s="17" cm="1">
        <f t="array" ref="E10">IF($A$2="England",SUMPRODUCT(('Data - Staff'!$A$2:$A$1585=$A10)*('Data - Staff'!$C$2:$C$1585=E$6)*('Data - Staff'!$G$2:$G$1585)),IF(OR($A$2="Non-metropolitan",$A$2="Metropolitan"),SUMPRODUCT(('Data - Staff'!$A$2:$A$1585=$A10)*('Data - Staff'!$C$2:$C$1585=E$6)*('Data - Staff'!$F$2:$F$1585=$A$2)*('Data - Staff'!$G$2:$G$1585)),IF(OR($A$2="Predominantly Urban",$A$2="Significantly Rural",$A$2="Predominantly Rural"),SUMPRODUCT(('Data - Staff'!$A$2:$A$1585=$A10)*('Data - Staff'!$C$2:$C$1585=E$6)*('Data - Staff'!$E$2:$E$1585=$A$2)*('Data - Staff'!$G$2:$G$1585)),SUMPRODUCT(('Data - Staff'!$A$2:$A$1585=$A10)*('Data - Staff'!$B$2:$B$1585=$A$2)*('Data - Staff'!$C$2:$C$1585=E$6)*('Data - Staff'!$G$2:$G$1585)))))</f>
        <v>6000</v>
      </c>
      <c r="F10" s="17" cm="1">
        <f t="array" ref="F10">IF($A$2="England",SUMPRODUCT(('Data - Staff'!$A$2:$A$1585=$A10)*('Data - Staff'!$C$2:$C$1585=F$6)*('Data - Staff'!$G$2:$G$1585)),IF(OR($A$2="Non-metropolitan",$A$2="Metropolitan"),SUMPRODUCT(('Data - Staff'!$A$2:$A$1585=$A10)*('Data - Staff'!$C$2:$C$1585=F$6)*('Data - Staff'!$F$2:$F$1585=$A$2)*('Data - Staff'!$G$2:$G$1585)),IF(OR($A$2="Predominantly Urban",$A$2="Significantly Rural",$A$2="Predominantly Rural"),SUMPRODUCT(('Data - Staff'!$A$2:$A$1585=$A10)*('Data - Staff'!$C$2:$C$1585=F$6)*('Data - Staff'!$E$2:$E$1585=$A$2)*('Data - Staff'!$G$2:$G$1585)),SUMPRODUCT(('Data - Staff'!$A$2:$A$1585=$A10)*('Data - Staff'!$B$2:$B$1585=$A$2)*('Data - Staff'!$C$2:$C$1585=F$6)*('Data - Staff'!$G$2:$G$1585)))))</f>
        <v>61012</v>
      </c>
      <c r="G10" s="17" cm="1">
        <f t="array" ref="G10">IF($A$2="England",SUMPRODUCT(('Data - Staff'!$A$2:$A$1585=$A10)*('Data - Staff'!$C$2:$C$1585=G$6)*('Data - Staff'!$G$2:$G$1585)),IF(OR($A$2="Non-metropolitan",$A$2="Metropolitan"),SUMPRODUCT(('Data - Staff'!$A$2:$A$1585=$A10)*('Data - Staff'!$C$2:$C$1585=G$6)*('Data - Staff'!$F$2:$F$1585=$A$2)*('Data - Staff'!$G$2:$G$1585)),IF(OR($A$2="Predominantly Urban",$A$2="Significantly Rural",$A$2="Predominantly Rural"),SUMPRODUCT(('Data - Staff'!$A$2:$A$1585=$A10)*('Data - Staff'!$C$2:$C$1585=G$6)*('Data - Staff'!$E$2:$E$1585=$A$2)*('Data - Staff'!$G$2:$G$1585)),SUMPRODUCT(('Data - Staff'!$A$2:$A$1585=$A10)*('Data - Staff'!$B$2:$B$1585=$A$2)*('Data - Staff'!$C$2:$C$1585=G$6)*('Data - Staff'!$G$2:$G$1585)))))</f>
        <v>812220</v>
      </c>
      <c r="H10" s="17" cm="1">
        <f t="array" ref="H10">IF($A$2="England",SUMPRODUCT(('Data - Staff'!$A$2:$A$1585=$A10)*('Data - Staff'!$C$2:$C$1585=H$6)*('Data - Staff'!$G$2:$G$1585)),IF(OR($A$2="Non-metropolitan",$A$2="Metropolitan"),SUMPRODUCT(('Data - Staff'!$A$2:$A$1585=$A10)*('Data - Staff'!$C$2:$C$1585=H$6)*('Data - Staff'!$F$2:$F$1585=$A$2)*('Data - Staff'!$G$2:$G$1585)),IF(OR($A$2="Predominantly Urban",$A$2="Significantly Rural",$A$2="Predominantly Rural"),SUMPRODUCT(('Data - Staff'!$A$2:$A$1585=$A10)*('Data - Staff'!$C$2:$C$1585=H$6)*('Data - Staff'!$E$2:$E$1585=$A$2)*('Data - Staff'!$G$2:$G$1585)),SUMPRODUCT(('Data - Staff'!$A$2:$A$1585=$A10)*('Data - Staff'!$B$2:$B$1585=$A$2)*('Data - Staff'!$C$2:$C$1585=H$6)*('Data - Staff'!$G$2:$G$1585)))))</f>
        <v>343</v>
      </c>
      <c r="I10" s="17" cm="1">
        <f t="array" ref="I10">IF($A$2="England",SUMPRODUCT(('Data - Staff'!$A$2:$A$1585=$A10)*('Data - Staff'!$C$2:$C$1585=I$6)*('Data - Staff'!$G$2:$G$1585)),IF(OR($A$2="Non-metropolitan",$A$2="Metropolitan"),SUMPRODUCT(('Data - Staff'!$A$2:$A$1585=$A10)*('Data - Staff'!$C$2:$C$1585=I$6)*('Data - Staff'!$F$2:$F$1585=$A$2)*('Data - Staff'!$G$2:$G$1585)),IF(OR($A$2="Predominantly Urban",$A$2="Significantly Rural",$A$2="Predominantly Rural"),SUMPRODUCT(('Data - Staff'!$A$2:$A$1585=$A10)*('Data - Staff'!$C$2:$C$1585=I$6)*('Data - Staff'!$E$2:$E$1585=$A$2)*('Data - Staff'!$G$2:$G$1585)),SUMPRODUCT(('Data - Staff'!$A$2:$A$1585=$A10)*('Data - Staff'!$B$2:$B$1585=$A$2)*('Data - Staff'!$C$2:$C$1585=I$6)*('Data - Staff'!$G$2:$G$1585)))))</f>
        <v>84812</v>
      </c>
      <c r="J10" s="17" cm="1">
        <f t="array" ref="J10">IF($A$2="England",SUMPRODUCT(('Data - Staff'!$A$2:$A$1585=$A10)*('Data - Staff'!$C$2:$C$1585=J$6)*('Data - Staff'!$G$2:$G$1585)),IF(OR($A$2="Non-metropolitan",$A$2="Metropolitan"),SUMPRODUCT(('Data - Staff'!$A$2:$A$1585=$A10)*('Data - Staff'!$C$2:$C$1585=J$6)*('Data - Staff'!$F$2:$F$1585=$A$2)*('Data - Staff'!$G$2:$G$1585)),IF(OR($A$2="Predominantly Urban",$A$2="Significantly Rural",$A$2="Predominantly Rural"),SUMPRODUCT(('Data - Staff'!$A$2:$A$1585=$A10)*('Data - Staff'!$C$2:$C$1585=J$6)*('Data - Staff'!$E$2:$E$1585=$A$2)*('Data - Staff'!$G$2:$G$1585)),SUMPRODUCT(('Data - Staff'!$A$2:$A$1585=$A10)*('Data - Staff'!$B$2:$B$1585=$A$2)*('Data - Staff'!$C$2:$C$1585=J$6)*('Data - Staff'!$G$2:$G$1585)))))</f>
        <v>3205</v>
      </c>
      <c r="K10" s="42"/>
      <c r="L10" s="19" t="s">
        <v>87</v>
      </c>
      <c r="M10" s="94"/>
      <c r="N10" s="42"/>
      <c r="O10" s="42"/>
      <c r="P10" s="42"/>
      <c r="Q10" s="42"/>
      <c r="R10" s="42"/>
      <c r="S10" s="16"/>
      <c r="T10" s="30"/>
      <c r="U10" s="30"/>
      <c r="V10" s="30"/>
      <c r="W10" s="30"/>
      <c r="X10" s="30"/>
      <c r="Y10" s="30"/>
      <c r="Z10" s="30"/>
      <c r="AA10" s="30"/>
      <c r="AB10" s="30"/>
      <c r="AC10" s="30"/>
      <c r="AD10" s="30"/>
      <c r="AE10" s="30"/>
    </row>
    <row r="11" spans="1:31" ht="15" customHeight="1" x14ac:dyDescent="0.35">
      <c r="A11" s="41" t="s">
        <v>81</v>
      </c>
      <c r="B11" s="16">
        <f t="shared" si="0"/>
        <v>1208341</v>
      </c>
      <c r="C11" s="29" cm="1">
        <f t="array" ref="C11">IF(AND($A$2="England",OR($A$3="Total")),SUMPRODUCT(('Data - Visits'!$A$2:$A$3873=$A11)*('Data - Visits'!$F$2:$F$3873=B$6)*('Data - Visits'!$I$2:$I$3873)),IF(AND($A$3="Total",OR($A$2="Non-metropolitan",$A$2="Metropolitan")),SUMPRODUCT(('Data - Visits'!$A$2:$A$3873=$A11)*('Data - Visits'!$H$2:$H$3873=$A$2)*('Data - Visits'!$F$2:$F$3873=B$6)*('Data - Visits'!$I$2:$I$3873)),IF(AND($A$3="Total",OR($A$2="Predominantly Urban",$A$2="Significantly Rural",$A$2="Predominantly Rural")),SUMPRODUCT(('Data - Visits'!$A$2:$A$3873=$A11)*('Data - Visits'!$G$2:$G$3873=$A$2)*('Data - Visits'!$F$2:$F$3873=B$6)*('Data - Visits'!$I$2:$I$3873)),IF($A$3="Total",SUMPRODUCT(('Data - Visits'!$A$2:$A$3873=$A11)*('Data - Visits'!$B$2:$B$3873=$A$2)*('Data - Visits'!$F$2:$F$3873=B$6)*('Data - Visits'!$I$2:$I$3873)),IF(AND($A$2="England",OR($A$3="Face to face")),SUMPRODUCT(('Data - Visits'!$A$2:$A$3873=$A11)*('Data - Visits'!$D$2:$D$3873=$A$3)*('Data - Visits'!$F$2:$F$3873=B$6)*('Data - Visits'!$I$2:$I$3873)),IF(AND($A$3="Face to face",OR($A$2="Non-metropolitan",$A$2="Metropolitan")),SUMPRODUCT(('Data - Visits'!$A$2:$A$3873=$A11)*('Data - Visits'!$D$2:$D$3873=$A$3)*('Data - Visits'!$H$2:$H$3873=$A$2)*('Data - Visits'!$F$2:$F$3873=B$6)*('Data - Visits'!$I$2:$I$3873)),IF(AND($A$3="Face to face",OR($A$2="Predominantly Urban",$A$2="Significantly Rural",$A$2="Predominantly Rural")),SUMPRODUCT(('Data - Visits'!$A$2:$A$3873=$A11)*('Data - Visits'!$D$2:$D$3873=$A$3)*('Data - Visits'!$G$2:$G$3873=$A$2)*('Data - Visits'!$F$2:$F$3873=B$6)*('Data - Visits'!$I$2:$I$3873)),IF($A$3="Face to face",SUMPRODUCT(('Data - Visits'!$A$2:$A$3873=$A11)*('Data - Visits'!$B$2:$B$3873=$A$2)*('Data - Visits'!$D$2:$D$3873=$A$3)*('Data - Visits'!$F$2:$F$3873=B$6)*('Data - Visits'!$I$2:$I$3873)),IF($A$3="Virtual","..")))))))))</f>
        <v>537003</v>
      </c>
      <c r="D11" s="166">
        <f t="shared" si="1"/>
        <v>2.2501568892538777</v>
      </c>
      <c r="E11" s="17" cm="1">
        <f t="array" ref="E11">IF($A$2="England",SUMPRODUCT(('Data - Staff'!$A$2:$A$1585=$A11)*('Data - Staff'!$C$2:$C$1585=E$6)*('Data - Staff'!$G$2:$G$1585)),IF(OR($A$2="Non-metropolitan",$A$2="Metropolitan"),SUMPRODUCT(('Data - Staff'!$A$2:$A$1585=$A11)*('Data - Staff'!$C$2:$C$1585=E$6)*('Data - Staff'!$F$2:$F$1585=$A$2)*('Data - Staff'!$G$2:$G$1585)),IF(OR($A$2="Predominantly Urban",$A$2="Significantly Rural",$A$2="Predominantly Rural"),SUMPRODUCT(('Data - Staff'!$A$2:$A$1585=$A11)*('Data - Staff'!$C$2:$C$1585=E$6)*('Data - Staff'!$E$2:$E$1585=$A$2)*('Data - Staff'!$G$2:$G$1585)),SUMPRODUCT(('Data - Staff'!$A$2:$A$1585=$A11)*('Data - Staff'!$B$2:$B$1585=$A$2)*('Data - Staff'!$C$2:$C$1585=E$6)*('Data - Staff'!$G$2:$G$1585)))))</f>
        <v>2768</v>
      </c>
      <c r="F11" s="17" cm="1">
        <f t="array" ref="F11">IF($A$2="England",SUMPRODUCT(('Data - Staff'!$A$2:$A$1585=$A11)*('Data - Staff'!$C$2:$C$1585=F$6)*('Data - Staff'!$G$2:$G$1585)),IF(OR($A$2="Non-metropolitan",$A$2="Metropolitan"),SUMPRODUCT(('Data - Staff'!$A$2:$A$1585=$A11)*('Data - Staff'!$C$2:$C$1585=F$6)*('Data - Staff'!$F$2:$F$1585=$A$2)*('Data - Staff'!$G$2:$G$1585)),IF(OR($A$2="Predominantly Urban",$A$2="Significantly Rural",$A$2="Predominantly Rural"),SUMPRODUCT(('Data - Staff'!$A$2:$A$1585=$A11)*('Data - Staff'!$C$2:$C$1585=F$6)*('Data - Staff'!$E$2:$E$1585=$A$2)*('Data - Staff'!$G$2:$G$1585)),SUMPRODUCT(('Data - Staff'!$A$2:$A$1585=$A11)*('Data - Staff'!$B$2:$B$1585=$A$2)*('Data - Staff'!$C$2:$C$1585=F$6)*('Data - Staff'!$G$2:$G$1585)))))</f>
        <v>110313</v>
      </c>
      <c r="G11" s="17" cm="1">
        <f t="array" ref="G11">IF($A$2="England",SUMPRODUCT(('Data - Staff'!$A$2:$A$1585=$A11)*('Data - Staff'!$C$2:$C$1585=G$6)*('Data - Staff'!$G$2:$G$1585)),IF(OR($A$2="Non-metropolitan",$A$2="Metropolitan"),SUMPRODUCT(('Data - Staff'!$A$2:$A$1585=$A11)*('Data - Staff'!$C$2:$C$1585=G$6)*('Data - Staff'!$F$2:$F$1585=$A$2)*('Data - Staff'!$G$2:$G$1585)),IF(OR($A$2="Predominantly Urban",$A$2="Significantly Rural",$A$2="Predominantly Rural"),SUMPRODUCT(('Data - Staff'!$A$2:$A$1585=$A11)*('Data - Staff'!$C$2:$C$1585=G$6)*('Data - Staff'!$E$2:$E$1585=$A$2)*('Data - Staff'!$G$2:$G$1585)),SUMPRODUCT(('Data - Staff'!$A$2:$A$1585=$A11)*('Data - Staff'!$B$2:$B$1585=$A$2)*('Data - Staff'!$C$2:$C$1585=G$6)*('Data - Staff'!$G$2:$G$1585)))))</f>
        <v>1012405</v>
      </c>
      <c r="H11" s="17" cm="1">
        <f t="array" ref="H11">IF($A$2="England",SUMPRODUCT(('Data - Staff'!$A$2:$A$1585=$A11)*('Data - Staff'!$C$2:$C$1585=H$6)*('Data - Staff'!$G$2:$G$1585)),IF(OR($A$2="Non-metropolitan",$A$2="Metropolitan"),SUMPRODUCT(('Data - Staff'!$A$2:$A$1585=$A11)*('Data - Staff'!$C$2:$C$1585=H$6)*('Data - Staff'!$F$2:$F$1585=$A$2)*('Data - Staff'!$G$2:$G$1585)),IF(OR($A$2="Predominantly Urban",$A$2="Significantly Rural",$A$2="Predominantly Rural"),SUMPRODUCT(('Data - Staff'!$A$2:$A$1585=$A11)*('Data - Staff'!$C$2:$C$1585=H$6)*('Data - Staff'!$E$2:$E$1585=$A$2)*('Data - Staff'!$G$2:$G$1585)),SUMPRODUCT(('Data - Staff'!$A$2:$A$1585=$A11)*('Data - Staff'!$B$2:$B$1585=$A$2)*('Data - Staff'!$C$2:$C$1585=H$6)*('Data - Staff'!$G$2:$G$1585)))))</f>
        <v>792</v>
      </c>
      <c r="I11" s="17" cm="1">
        <f t="array" ref="I11">IF($A$2="England",SUMPRODUCT(('Data - Staff'!$A$2:$A$1585=$A11)*('Data - Staff'!$C$2:$C$1585=I$6)*('Data - Staff'!$G$2:$G$1585)),IF(OR($A$2="Non-metropolitan",$A$2="Metropolitan"),SUMPRODUCT(('Data - Staff'!$A$2:$A$1585=$A11)*('Data - Staff'!$C$2:$C$1585=I$6)*('Data - Staff'!$F$2:$F$1585=$A$2)*('Data - Staff'!$G$2:$G$1585)),IF(OR($A$2="Predominantly Urban",$A$2="Significantly Rural",$A$2="Predominantly Rural"),SUMPRODUCT(('Data - Staff'!$A$2:$A$1585=$A11)*('Data - Staff'!$C$2:$C$1585=I$6)*('Data - Staff'!$E$2:$E$1585=$A$2)*('Data - Staff'!$G$2:$G$1585)),SUMPRODUCT(('Data - Staff'!$A$2:$A$1585=$A11)*('Data - Staff'!$B$2:$B$1585=$A$2)*('Data - Staff'!$C$2:$C$1585=I$6)*('Data - Staff'!$G$2:$G$1585)))))</f>
        <v>78597</v>
      </c>
      <c r="J11" s="17" cm="1">
        <f t="array" ref="J11">IF($A$2="England",SUMPRODUCT(('Data - Staff'!$A$2:$A$1585=$A11)*('Data - Staff'!$C$2:$C$1585=J$6)*('Data - Staff'!$G$2:$G$1585)),IF(OR($A$2="Non-metropolitan",$A$2="Metropolitan"),SUMPRODUCT(('Data - Staff'!$A$2:$A$1585=$A11)*('Data - Staff'!$C$2:$C$1585=J$6)*('Data - Staff'!$F$2:$F$1585=$A$2)*('Data - Staff'!$G$2:$G$1585)),IF(OR($A$2="Predominantly Urban",$A$2="Significantly Rural",$A$2="Predominantly Rural"),SUMPRODUCT(('Data - Staff'!$A$2:$A$1585=$A11)*('Data - Staff'!$C$2:$C$1585=J$6)*('Data - Staff'!$E$2:$E$1585=$A$2)*('Data - Staff'!$G$2:$G$1585)),SUMPRODUCT(('Data - Staff'!$A$2:$A$1585=$A11)*('Data - Staff'!$B$2:$B$1585=$A$2)*('Data - Staff'!$C$2:$C$1585=J$6)*('Data - Staff'!$G$2:$G$1585)))))</f>
        <v>3466</v>
      </c>
      <c r="K11" s="42"/>
      <c r="L11" s="19" t="s">
        <v>90</v>
      </c>
      <c r="M11" s="94"/>
      <c r="N11" s="42"/>
      <c r="O11" s="42"/>
      <c r="P11" s="42"/>
      <c r="Q11" s="42"/>
      <c r="R11" s="42"/>
      <c r="S11" s="16"/>
      <c r="T11" s="30"/>
      <c r="U11" s="30"/>
      <c r="V11" s="30"/>
      <c r="W11" s="30"/>
      <c r="X11" s="30"/>
      <c r="Y11" s="30"/>
      <c r="Z11" s="30"/>
      <c r="AA11" s="30"/>
      <c r="AB11" s="30"/>
      <c r="AC11" s="30"/>
      <c r="AD11" s="30"/>
      <c r="AE11" s="30"/>
    </row>
    <row r="12" spans="1:31" ht="15" customHeight="1" x14ac:dyDescent="0.35">
      <c r="A12" s="34" t="s">
        <v>247</v>
      </c>
      <c r="B12" s="29">
        <f t="shared" si="0"/>
        <v>1003324</v>
      </c>
      <c r="C12" s="29" cm="1">
        <f t="array" ref="C12">IF(AND($A$2="England",OR($A$3="Total")),SUMPRODUCT(('Data - Visits'!$A$2:$A$3873=$A12)*('Data - Visits'!$F$2:$F$3873=B$6)*('Data - Visits'!$I$2:$I$3873)),IF(AND($A$3="Total",OR($A$2="Non-metropolitan",$A$2="Metropolitan")),SUMPRODUCT(('Data - Visits'!$A$2:$A$3873=$A12)*('Data - Visits'!$H$2:$H$3873=$A$2)*('Data - Visits'!$F$2:$F$3873=B$6)*('Data - Visits'!$I$2:$I$3873)),IF(AND($A$3="Total",OR($A$2="Predominantly Urban",$A$2="Significantly Rural",$A$2="Predominantly Rural")),SUMPRODUCT(('Data - Visits'!$A$2:$A$3873=$A12)*('Data - Visits'!$G$2:$G$3873=$A$2)*('Data - Visits'!$F$2:$F$3873=B$6)*('Data - Visits'!$I$2:$I$3873)),IF($A$3="Total",SUMPRODUCT(('Data - Visits'!$A$2:$A$3873=$A12)*('Data - Visits'!$B$2:$B$3873=$A$2)*('Data - Visits'!$F$2:$F$3873=B$6)*('Data - Visits'!$I$2:$I$3873)),IF(AND($A$2="England",OR($A$3="Face to face")),SUMPRODUCT(('Data - Visits'!$A$2:$A$3873=$A12)*('Data - Visits'!$D$2:$D$3873=$A$3)*('Data - Visits'!$F$2:$F$3873=B$6)*('Data - Visits'!$I$2:$I$3873)),IF(AND($A$3="Face to face",OR($A$2="Non-metropolitan",$A$2="Metropolitan")),SUMPRODUCT(('Data - Visits'!$A$2:$A$3873=$A12)*('Data - Visits'!$D$2:$D$3873=$A$3)*('Data - Visits'!$H$2:$H$3873=$A$2)*('Data - Visits'!$F$2:$F$3873=B$6)*('Data - Visits'!$I$2:$I$3873)),IF(AND($A$3="Face to face",OR($A$2="Predominantly Urban",$A$2="Significantly Rural",$A$2="Predominantly Rural")),SUMPRODUCT(('Data - Visits'!$A$2:$A$3873=$A12)*('Data - Visits'!$D$2:$D$3873=$A$3)*('Data - Visits'!$G$2:$G$3873=$A$2)*('Data - Visits'!$F$2:$F$3873=B$6)*('Data - Visits'!$I$2:$I$3873)),IF($A$3="Face to face",SUMPRODUCT(('Data - Visits'!$A$2:$A$3873=$A12)*('Data - Visits'!$B$2:$B$3873=$A$2)*('Data - Visits'!$D$2:$D$3873=$A$3)*('Data - Visits'!$F$2:$F$3873=B$6)*('Data - Visits'!$I$2:$I$3873)),IF($A$3="Virtual","..")))))))))</f>
        <v>598342</v>
      </c>
      <c r="D12" s="166">
        <f t="shared" si="1"/>
        <v>1.6768403354603221</v>
      </c>
      <c r="E12" s="29" cm="1">
        <f t="array" ref="E12">IF($A$2="England",SUMPRODUCT(('Data - Staff'!$A$2:$A$1585=$A12)*('Data - Staff'!$C$2:$C$1585=E$6)*('Data - Staff'!$G$2:$G$1585)),IF(OR($A$2="Non-metropolitan",$A$2="Metropolitan"),SUMPRODUCT(('Data - Staff'!$A$2:$A$1585=$A12)*('Data - Staff'!$C$2:$C$1585=E$6)*('Data - Staff'!$F$2:$F$1585=$A$2)*('Data - Staff'!$G$2:$G$1585)),IF(OR($A$2="Predominantly Urban",$A$2="Significantly Rural",$A$2="Predominantly Rural"),SUMPRODUCT(('Data - Staff'!$A$2:$A$1585=$A12)*('Data - Staff'!$C$2:$C$1585=E$6)*('Data - Staff'!$E$2:$E$1585=$A$2)*('Data - Staff'!$G$2:$G$1585)),SUMPRODUCT(('Data - Staff'!$A$2:$A$1585=$A12)*('Data - Staff'!$B$2:$B$1585=$A$2)*('Data - Staff'!$C$2:$C$1585=E$6)*('Data - Staff'!$G$2:$G$1585)))))</f>
        <v>2596</v>
      </c>
      <c r="F12" s="29" cm="1">
        <f t="array" ref="F12">IF($A$2="England",SUMPRODUCT(('Data - Staff'!$A$2:$A$1585=$A12)*('Data - Staff'!$C$2:$C$1585=F$6)*('Data - Staff'!$G$2:$G$1585)),IF(OR($A$2="Non-metropolitan",$A$2="Metropolitan"),SUMPRODUCT(('Data - Staff'!$A$2:$A$1585=$A12)*('Data - Staff'!$C$2:$C$1585=F$6)*('Data - Staff'!$F$2:$F$1585=$A$2)*('Data - Staff'!$G$2:$G$1585)),IF(OR($A$2="Predominantly Urban",$A$2="Significantly Rural",$A$2="Predominantly Rural"),SUMPRODUCT(('Data - Staff'!$A$2:$A$1585=$A12)*('Data - Staff'!$C$2:$C$1585=F$6)*('Data - Staff'!$E$2:$E$1585=$A$2)*('Data - Staff'!$G$2:$G$1585)),SUMPRODUCT(('Data - Staff'!$A$2:$A$1585=$A12)*('Data - Staff'!$B$2:$B$1585=$A$2)*('Data - Staff'!$C$2:$C$1585=F$6)*('Data - Staff'!$G$2:$G$1585)))))</f>
        <v>116572</v>
      </c>
      <c r="G12" s="29" cm="1">
        <f t="array" ref="G12">IF($A$2="England",SUMPRODUCT(('Data - Staff'!$A$2:$A$1585=$A12)*('Data - Staff'!$C$2:$C$1585=G$6)*('Data - Staff'!$G$2:$G$1585)),IF(OR($A$2="Non-metropolitan",$A$2="Metropolitan"),SUMPRODUCT(('Data - Staff'!$A$2:$A$1585=$A12)*('Data - Staff'!$C$2:$C$1585=G$6)*('Data - Staff'!$F$2:$F$1585=$A$2)*('Data - Staff'!$G$2:$G$1585)),IF(OR($A$2="Predominantly Urban",$A$2="Significantly Rural",$A$2="Predominantly Rural"),SUMPRODUCT(('Data - Staff'!$A$2:$A$1585=$A12)*('Data - Staff'!$C$2:$C$1585=G$6)*('Data - Staff'!$E$2:$E$1585=$A$2)*('Data - Staff'!$G$2:$G$1585)),SUMPRODUCT(('Data - Staff'!$A$2:$A$1585=$A12)*('Data - Staff'!$B$2:$B$1585=$A$2)*('Data - Staff'!$C$2:$C$1585=G$6)*('Data - Staff'!$G$2:$G$1585)))))</f>
        <v>807497</v>
      </c>
      <c r="H12" s="29" cm="1">
        <f t="array" ref="H12">IF($A$2="England",SUMPRODUCT(('Data - Staff'!$A$2:$A$1585=$A12)*('Data - Staff'!$C$2:$C$1585=H$6)*('Data - Staff'!$G$2:$G$1585)),IF(OR($A$2="Non-metropolitan",$A$2="Metropolitan"),SUMPRODUCT(('Data - Staff'!$A$2:$A$1585=$A12)*('Data - Staff'!$C$2:$C$1585=H$6)*('Data - Staff'!$F$2:$F$1585=$A$2)*('Data - Staff'!$G$2:$G$1585)),IF(OR($A$2="Predominantly Urban",$A$2="Significantly Rural",$A$2="Predominantly Rural"),SUMPRODUCT(('Data - Staff'!$A$2:$A$1585=$A12)*('Data - Staff'!$C$2:$C$1585=H$6)*('Data - Staff'!$E$2:$E$1585=$A$2)*('Data - Staff'!$G$2:$G$1585)),SUMPRODUCT(('Data - Staff'!$A$2:$A$1585=$A12)*('Data - Staff'!$B$2:$B$1585=$A$2)*('Data - Staff'!$C$2:$C$1585=H$6)*('Data - Staff'!$G$2:$G$1585)))))</f>
        <v>935</v>
      </c>
      <c r="I12" s="30" cm="1">
        <f t="array" ref="I12">IF($A$2="England",SUMPRODUCT(('Data - Staff'!$A$2:$A$1585=$A12)*('Data - Staff'!$C$2:$C$1585=I$6)*('Data - Staff'!$G$2:$G$1585)),IF(OR($A$2="Non-metropolitan",$A$2="Metropolitan"),SUMPRODUCT(('Data - Staff'!$A$2:$A$1585=$A12)*('Data - Staff'!$C$2:$C$1585=I$6)*('Data - Staff'!$F$2:$F$1585=$A$2)*('Data - Staff'!$G$2:$G$1585)),IF(OR($A$2="Predominantly Urban",$A$2="Significantly Rural",$A$2="Predominantly Rural"),SUMPRODUCT(('Data - Staff'!$A$2:$A$1585=$A12)*('Data - Staff'!$C$2:$C$1585=I$6)*('Data - Staff'!$E$2:$E$1585=$A$2)*('Data - Staff'!$G$2:$G$1585)),SUMPRODUCT(('Data - Staff'!$A$2:$A$1585=$A12)*('Data - Staff'!$B$2:$B$1585=$A$2)*('Data - Staff'!$C$2:$C$1585=I$6)*('Data - Staff'!$G$2:$G$1585)))))</f>
        <v>74106</v>
      </c>
      <c r="J12" s="30" cm="1">
        <f t="array" ref="J12">IF($A$2="England",SUMPRODUCT(('Data - Staff'!$A$2:$A$1585=$A12)*('Data - Staff'!$C$2:$C$1585=J$6)*('Data - Staff'!$G$2:$G$1585)),IF(OR($A$2="Non-metropolitan",$A$2="Metropolitan"),SUMPRODUCT(('Data - Staff'!$A$2:$A$1585=$A12)*('Data - Staff'!$C$2:$C$1585=J$6)*('Data - Staff'!$F$2:$F$1585=$A$2)*('Data - Staff'!$G$2:$G$1585)),IF(OR($A$2="Predominantly Urban",$A$2="Significantly Rural",$A$2="Predominantly Rural"),SUMPRODUCT(('Data - Staff'!$A$2:$A$1585=$A12)*('Data - Staff'!$C$2:$C$1585=J$6)*('Data - Staff'!$E$2:$E$1585=$A$2)*('Data - Staff'!$G$2:$G$1585)),SUMPRODUCT(('Data - Staff'!$A$2:$A$1585=$A12)*('Data - Staff'!$B$2:$B$1585=$A$2)*('Data - Staff'!$C$2:$C$1585=J$6)*('Data - Staff'!$G$2:$G$1585)))))</f>
        <v>1618</v>
      </c>
      <c r="K12" s="30"/>
      <c r="L12" s="19" t="s">
        <v>91</v>
      </c>
      <c r="M12" s="30"/>
      <c r="N12" s="30"/>
      <c r="O12" s="30"/>
      <c r="P12" s="30"/>
      <c r="Q12" s="30"/>
      <c r="R12" s="30"/>
      <c r="S12" s="30"/>
      <c r="T12" s="30"/>
      <c r="U12" s="30"/>
      <c r="V12" s="30"/>
      <c r="W12" s="30"/>
      <c r="X12" s="30"/>
      <c r="Y12" s="30"/>
      <c r="Z12" s="30"/>
      <c r="AA12" s="30"/>
      <c r="AB12" s="30"/>
      <c r="AC12" s="30"/>
      <c r="AD12" s="30"/>
      <c r="AE12" s="30"/>
    </row>
    <row r="13" spans="1:31" ht="15" customHeight="1" x14ac:dyDescent="0.35">
      <c r="B13" s="29"/>
      <c r="C13" s="29"/>
      <c r="D13" s="29"/>
      <c r="E13" s="29"/>
      <c r="F13" s="29"/>
      <c r="G13" s="29"/>
      <c r="H13" s="30"/>
      <c r="I13" s="30"/>
      <c r="J13" s="30"/>
      <c r="K13" s="19" t="s">
        <v>8</v>
      </c>
      <c r="L13" s="30"/>
      <c r="M13" s="30"/>
      <c r="N13" s="30"/>
      <c r="O13" s="30"/>
      <c r="P13" s="30"/>
      <c r="Q13" s="30"/>
      <c r="R13" s="30"/>
      <c r="S13" s="30"/>
      <c r="T13" s="30"/>
      <c r="U13" s="30"/>
      <c r="V13" s="30"/>
      <c r="W13" s="30"/>
      <c r="X13" s="30"/>
      <c r="Y13" s="30"/>
      <c r="Z13" s="30"/>
      <c r="AA13" s="30"/>
      <c r="AB13" s="30"/>
      <c r="AC13" s="30"/>
      <c r="AD13" s="30"/>
    </row>
    <row r="14" spans="1:31" x14ac:dyDescent="0.35">
      <c r="A14" s="43"/>
      <c r="B14" s="30"/>
      <c r="C14" s="30"/>
      <c r="D14" s="30"/>
      <c r="E14" s="30"/>
      <c r="F14" s="30"/>
      <c r="G14" s="30"/>
      <c r="H14" s="30"/>
      <c r="I14" s="30"/>
      <c r="J14" s="30"/>
      <c r="K14" s="19" t="s">
        <v>11</v>
      </c>
      <c r="L14" s="30"/>
      <c r="M14" s="30"/>
      <c r="N14" s="30"/>
      <c r="O14" s="30"/>
      <c r="P14" s="30"/>
      <c r="Q14" s="30"/>
      <c r="R14" s="30"/>
      <c r="S14" s="30"/>
      <c r="T14" s="30"/>
      <c r="U14" s="30"/>
      <c r="V14" s="30"/>
      <c r="W14" s="30"/>
      <c r="X14" s="30"/>
      <c r="Y14" s="30"/>
      <c r="Z14" s="30"/>
      <c r="AA14" s="30"/>
      <c r="AB14" s="30"/>
      <c r="AC14" s="30"/>
      <c r="AD14" s="30"/>
    </row>
    <row r="15" spans="1:31" x14ac:dyDescent="0.35">
      <c r="B15" s="30"/>
      <c r="C15" s="30"/>
      <c r="D15" s="30"/>
      <c r="E15" s="30"/>
      <c r="F15" s="30"/>
      <c r="G15" s="30"/>
      <c r="H15" s="30"/>
      <c r="I15" s="30"/>
      <c r="J15" s="30"/>
      <c r="K15" s="19" t="s">
        <v>12</v>
      </c>
      <c r="L15" s="30"/>
      <c r="M15" s="30"/>
      <c r="N15" s="30"/>
      <c r="O15" s="30"/>
      <c r="P15" s="30"/>
      <c r="Q15" s="30"/>
      <c r="R15" s="30"/>
    </row>
    <row r="16" spans="1:31" x14ac:dyDescent="0.35">
      <c r="B16" s="30"/>
      <c r="C16" s="30"/>
      <c r="D16" s="30"/>
      <c r="E16" s="30"/>
      <c r="F16" s="30"/>
      <c r="G16" s="30"/>
      <c r="H16" s="30"/>
      <c r="I16" s="30"/>
      <c r="J16" s="30"/>
      <c r="K16" s="19" t="s">
        <v>13</v>
      </c>
      <c r="L16" s="30"/>
      <c r="M16" s="30"/>
      <c r="N16" s="30"/>
      <c r="O16" s="30"/>
      <c r="P16" s="30"/>
      <c r="Q16" s="30"/>
      <c r="R16" s="30"/>
    </row>
    <row r="17" spans="2:18" x14ac:dyDescent="0.35">
      <c r="B17" s="30"/>
      <c r="C17" s="30"/>
      <c r="D17" s="30"/>
      <c r="E17" s="30"/>
      <c r="F17" s="30"/>
      <c r="G17" s="30"/>
      <c r="H17" s="30"/>
      <c r="I17" s="30"/>
      <c r="J17" s="30"/>
      <c r="K17" s="19" t="s">
        <v>14</v>
      </c>
      <c r="L17" s="30"/>
      <c r="M17" s="30"/>
      <c r="N17" s="30"/>
      <c r="O17" s="30"/>
      <c r="P17" s="30"/>
      <c r="Q17" s="30"/>
      <c r="R17" s="30"/>
    </row>
    <row r="18" spans="2:18" x14ac:dyDescent="0.35">
      <c r="K18" s="19" t="s">
        <v>15</v>
      </c>
    </row>
    <row r="19" spans="2:18" x14ac:dyDescent="0.35">
      <c r="K19" s="19" t="s">
        <v>16</v>
      </c>
    </row>
    <row r="20" spans="2:18" x14ac:dyDescent="0.35">
      <c r="K20" s="19" t="s">
        <v>17</v>
      </c>
    </row>
    <row r="21" spans="2:18" x14ac:dyDescent="0.35">
      <c r="K21" s="19" t="s">
        <v>18</v>
      </c>
    </row>
    <row r="22" spans="2:18" x14ac:dyDescent="0.35">
      <c r="K22" s="19" t="s">
        <v>19</v>
      </c>
    </row>
    <row r="23" spans="2:18" x14ac:dyDescent="0.35">
      <c r="K23" s="19" t="s">
        <v>20</v>
      </c>
    </row>
    <row r="24" spans="2:18" x14ac:dyDescent="0.35">
      <c r="K24" s="19" t="s">
        <v>21</v>
      </c>
    </row>
    <row r="25" spans="2:18" x14ac:dyDescent="0.35">
      <c r="K25" s="19" t="s">
        <v>22</v>
      </c>
    </row>
    <row r="26" spans="2:18" x14ac:dyDescent="0.35">
      <c r="K26" s="19" t="s">
        <v>23</v>
      </c>
    </row>
    <row r="27" spans="2:18" x14ac:dyDescent="0.35">
      <c r="K27" s="19" t="s">
        <v>24</v>
      </c>
    </row>
    <row r="28" spans="2:18" x14ac:dyDescent="0.35">
      <c r="K28" s="19" t="s">
        <v>25</v>
      </c>
    </row>
    <row r="29" spans="2:18" x14ac:dyDescent="0.35">
      <c r="K29" s="19" t="s">
        <v>26</v>
      </c>
    </row>
    <row r="30" spans="2:18" x14ac:dyDescent="0.35">
      <c r="K30" s="19" t="s">
        <v>27</v>
      </c>
    </row>
    <row r="31" spans="2:18" x14ac:dyDescent="0.35">
      <c r="K31" s="19" t="s">
        <v>93</v>
      </c>
    </row>
    <row r="32" spans="2:18" x14ac:dyDescent="0.35">
      <c r="K32" s="19" t="s">
        <v>28</v>
      </c>
    </row>
    <row r="33" spans="11:11" x14ac:dyDescent="0.35">
      <c r="K33" s="19" t="s">
        <v>29</v>
      </c>
    </row>
    <row r="34" spans="11:11" x14ac:dyDescent="0.35">
      <c r="K34" s="19" t="s">
        <v>30</v>
      </c>
    </row>
    <row r="35" spans="11:11" x14ac:dyDescent="0.35">
      <c r="K35" s="19" t="s">
        <v>94</v>
      </c>
    </row>
    <row r="36" spans="11:11" x14ac:dyDescent="0.35">
      <c r="K36" s="19" t="s">
        <v>32</v>
      </c>
    </row>
    <row r="37" spans="11:11" x14ac:dyDescent="0.35">
      <c r="K37" s="19" t="s">
        <v>33</v>
      </c>
    </row>
    <row r="38" spans="11:11" x14ac:dyDescent="0.35">
      <c r="K38" s="19" t="s">
        <v>34</v>
      </c>
    </row>
    <row r="39" spans="11:11" x14ac:dyDescent="0.35">
      <c r="K39" s="19" t="s">
        <v>35</v>
      </c>
    </row>
    <row r="40" spans="11:11" x14ac:dyDescent="0.35">
      <c r="K40" s="19" t="s">
        <v>36</v>
      </c>
    </row>
    <row r="41" spans="11:11" x14ac:dyDescent="0.35">
      <c r="K41" s="19" t="s">
        <v>37</v>
      </c>
    </row>
    <row r="42" spans="11:11" x14ac:dyDescent="0.35">
      <c r="K42" s="19" t="s">
        <v>38</v>
      </c>
    </row>
    <row r="43" spans="11:11" x14ac:dyDescent="0.35">
      <c r="K43" s="19" t="s">
        <v>39</v>
      </c>
    </row>
    <row r="44" spans="11:11" x14ac:dyDescent="0.35">
      <c r="K44" s="19" t="s">
        <v>40</v>
      </c>
    </row>
    <row r="45" spans="11:11" x14ac:dyDescent="0.35">
      <c r="K45" s="19" t="s">
        <v>41</v>
      </c>
    </row>
    <row r="46" spans="11:11" x14ac:dyDescent="0.35">
      <c r="K46" s="19" t="s">
        <v>42</v>
      </c>
    </row>
    <row r="47" spans="11:11" x14ac:dyDescent="0.35">
      <c r="K47" s="19" t="s">
        <v>43</v>
      </c>
    </row>
    <row r="48" spans="11:11" x14ac:dyDescent="0.35">
      <c r="K48" s="19" t="s">
        <v>44</v>
      </c>
    </row>
    <row r="49" spans="11:11" x14ac:dyDescent="0.35">
      <c r="K49" s="19" t="s">
        <v>45</v>
      </c>
    </row>
    <row r="50" spans="11:11" x14ac:dyDescent="0.35">
      <c r="K50" s="19" t="s">
        <v>46</v>
      </c>
    </row>
    <row r="51" spans="11:11" x14ac:dyDescent="0.35">
      <c r="K51" s="19" t="s">
        <v>47</v>
      </c>
    </row>
    <row r="52" spans="11:11" x14ac:dyDescent="0.35">
      <c r="K52" s="19" t="s">
        <v>48</v>
      </c>
    </row>
    <row r="53" spans="11:11" x14ac:dyDescent="0.35">
      <c r="K53" s="19" t="s">
        <v>49</v>
      </c>
    </row>
    <row r="54" spans="11:11" x14ac:dyDescent="0.35">
      <c r="K54" s="19" t="s">
        <v>50</v>
      </c>
    </row>
    <row r="55" spans="11:11" x14ac:dyDescent="0.35">
      <c r="K55" s="19" t="s">
        <v>51</v>
      </c>
    </row>
    <row r="56" spans="11:11" x14ac:dyDescent="0.35">
      <c r="K56" s="19" t="s">
        <v>52</v>
      </c>
    </row>
  </sheetData>
  <mergeCells count="1">
    <mergeCell ref="A1:S1"/>
  </mergeCells>
  <pageMargins left="0.7" right="0.7" top="0.75" bottom="0.75" header="0.3" footer="0.3"/>
  <pageSetup paperSize="9" orientation="portrait" r:id="rId1"/>
  <headerFooter>
    <oddHeader>&amp;C&amp;"Aptos"&amp;10&amp;K000000 OFFICIAL&amp;1#_x000D_</oddHeader>
    <oddFooter>&amp;C_x000D_&amp;1#&amp;"Aptos"&amp;10&amp;K000000 OFFICIAL</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F34A0A-7E4D-4DC6-82E8-435C8733409D}">
  <dimension ref="A1:AE78"/>
  <sheetViews>
    <sheetView showGridLines="0" zoomScaleNormal="100" workbookViewId="0">
      <selection activeCell="A3" sqref="A3"/>
    </sheetView>
  </sheetViews>
  <sheetFormatPr defaultColWidth="9.1796875" defaultRowHeight="15.5" x14ac:dyDescent="0.35"/>
  <cols>
    <col min="1" max="1" width="46.1796875" style="106" customWidth="1"/>
    <col min="2" max="2" width="12.54296875" style="106" customWidth="1"/>
    <col min="3" max="3" width="18.54296875" style="106" customWidth="1"/>
    <col min="4" max="4" width="2.26953125" style="106" customWidth="1"/>
    <col min="5" max="8" width="15.6328125" style="106" customWidth="1"/>
    <col min="9" max="9" width="17.26953125" style="106" customWidth="1"/>
    <col min="10" max="10" width="15.6328125" style="106" customWidth="1"/>
    <col min="11" max="11" width="8.81640625" style="109" hidden="1" customWidth="1"/>
    <col min="12" max="19" width="9.1796875" style="106"/>
    <col min="20" max="22" width="9.1796875" style="106" customWidth="1"/>
    <col min="23" max="16384" width="9.1796875" style="106"/>
  </cols>
  <sheetData>
    <row r="1" spans="1:31" ht="20" x14ac:dyDescent="0.5">
      <c r="A1" s="231" t="s">
        <v>284</v>
      </c>
      <c r="B1" s="104"/>
      <c r="C1" s="104"/>
      <c r="D1" s="104"/>
      <c r="E1" s="104"/>
      <c r="F1" s="104"/>
      <c r="G1" s="104"/>
      <c r="H1" s="104"/>
      <c r="I1" s="104"/>
      <c r="J1" s="104"/>
      <c r="K1" s="104"/>
      <c r="L1" s="104"/>
      <c r="M1" s="104"/>
      <c r="N1" s="104"/>
      <c r="O1" s="104"/>
      <c r="P1" s="104"/>
      <c r="Q1" s="104"/>
      <c r="R1" s="104"/>
      <c r="S1" s="104"/>
      <c r="T1" s="105"/>
    </row>
    <row r="2" spans="1:31" ht="17.5" x14ac:dyDescent="0.35">
      <c r="A2" s="107" t="s">
        <v>262</v>
      </c>
      <c r="B2" s="108"/>
      <c r="C2" s="108"/>
      <c r="D2" s="108"/>
      <c r="E2" s="108"/>
      <c r="F2" s="108"/>
      <c r="G2" s="108"/>
      <c r="H2" s="108"/>
      <c r="I2" s="108"/>
      <c r="J2" s="108"/>
      <c r="L2" s="108"/>
      <c r="M2" s="108"/>
      <c r="N2" s="108"/>
      <c r="O2" s="108"/>
      <c r="P2" s="108"/>
      <c r="Q2" s="108"/>
      <c r="R2" s="108"/>
      <c r="S2" s="108"/>
    </row>
    <row r="3" spans="1:31" ht="14.5" customHeight="1" thickBot="1" x14ac:dyDescent="0.4">
      <c r="A3" s="110" t="s">
        <v>76</v>
      </c>
      <c r="F3" s="235"/>
      <c r="G3" s="235"/>
      <c r="H3" s="235"/>
      <c r="I3" s="235"/>
      <c r="J3" s="235"/>
    </row>
    <row r="4" spans="1:31" ht="14.5" customHeight="1" thickBot="1" x14ac:dyDescent="0.4">
      <c r="A4" s="236"/>
      <c r="B4" s="237"/>
      <c r="C4" s="237"/>
      <c r="D4" s="237"/>
      <c r="E4" s="253" t="s">
        <v>110</v>
      </c>
      <c r="F4" s="253"/>
      <c r="G4" s="253"/>
      <c r="H4" s="253"/>
      <c r="I4" s="253"/>
      <c r="J4" s="253"/>
      <c r="L4" s="111"/>
      <c r="M4" s="111"/>
      <c r="N4" s="111"/>
      <c r="O4" s="111"/>
      <c r="P4" s="111"/>
      <c r="Q4" s="111"/>
      <c r="R4" s="112"/>
      <c r="S4" s="112"/>
      <c r="T4" s="112"/>
      <c r="U4" s="112"/>
      <c r="V4" s="112"/>
      <c r="W4" s="112"/>
      <c r="X4" s="112"/>
      <c r="Y4" s="112"/>
      <c r="Z4" s="112"/>
      <c r="AA4" s="112"/>
      <c r="AB4" s="112"/>
      <c r="AC4" s="112"/>
    </row>
    <row r="5" spans="1:31" ht="65" customHeight="1" thickBot="1" x14ac:dyDescent="0.4">
      <c r="A5" s="113" t="s">
        <v>77</v>
      </c>
      <c r="B5" s="232" t="s">
        <v>10</v>
      </c>
      <c r="C5" s="233" t="s">
        <v>273</v>
      </c>
      <c r="D5" s="234"/>
      <c r="E5" s="233" t="s">
        <v>105</v>
      </c>
      <c r="F5" s="233" t="s">
        <v>102</v>
      </c>
      <c r="G5" s="233" t="s">
        <v>263</v>
      </c>
      <c r="H5" s="233" t="s">
        <v>107</v>
      </c>
      <c r="I5" s="233" t="s">
        <v>108</v>
      </c>
      <c r="J5" s="233" t="s">
        <v>109</v>
      </c>
      <c r="K5" s="114"/>
      <c r="L5" s="115"/>
      <c r="M5" s="111"/>
      <c r="N5" s="111"/>
      <c r="O5" s="111"/>
      <c r="P5" s="111"/>
      <c r="Q5" s="111"/>
      <c r="R5" s="111"/>
      <c r="S5" s="111"/>
      <c r="T5" s="112"/>
      <c r="U5" s="112"/>
      <c r="V5" s="112"/>
      <c r="W5" s="112"/>
      <c r="X5" s="112"/>
      <c r="Y5" s="112"/>
      <c r="Z5" s="112"/>
      <c r="AA5" s="112"/>
      <c r="AB5" s="112"/>
      <c r="AC5" s="112"/>
      <c r="AD5" s="112"/>
      <c r="AE5" s="112"/>
    </row>
    <row r="6" spans="1:31" ht="15" customHeight="1" x14ac:dyDescent="0.35">
      <c r="A6" s="106" t="s">
        <v>7</v>
      </c>
      <c r="B6" s="158">
        <f t="shared" ref="B6:B11" si="0">SUM(E6:J6)</f>
        <v>1307891</v>
      </c>
      <c r="C6" s="167">
        <f>FIRE1201b_working!D7</f>
        <v>2.1881909774737998</v>
      </c>
      <c r="D6" s="168"/>
      <c r="E6" s="159">
        <f>ROUND(FIRE1201b_working!E7,0)</f>
        <v>7176</v>
      </c>
      <c r="F6" s="159">
        <f>ROUND(FIRE1201b_working!F7,0)</f>
        <v>86989</v>
      </c>
      <c r="G6" s="159">
        <f>ROUND(FIRE1201b_working!G7,0)</f>
        <v>1130338</v>
      </c>
      <c r="H6" s="159">
        <f>ROUND(FIRE1201b_working!H7,0)</f>
        <v>7847</v>
      </c>
      <c r="I6" s="159">
        <f>ROUND(FIRE1201b_working!I7,0)</f>
        <v>60483</v>
      </c>
      <c r="J6" s="159">
        <f>ROUND(FIRE1201b_working!J7,0)</f>
        <v>15058</v>
      </c>
      <c r="K6" s="116"/>
      <c r="L6" s="109"/>
      <c r="M6" s="116"/>
      <c r="N6" s="116"/>
      <c r="O6" s="116"/>
      <c r="P6" s="116"/>
      <c r="Q6" s="116"/>
      <c r="R6" s="116"/>
      <c r="S6" s="117"/>
      <c r="T6" s="112"/>
      <c r="U6" s="112"/>
      <c r="V6" s="112"/>
      <c r="W6" s="112"/>
      <c r="X6" s="112"/>
      <c r="Y6" s="112"/>
      <c r="Z6" s="112"/>
      <c r="AA6" s="112"/>
      <c r="AB6" s="112"/>
      <c r="AC6" s="112"/>
      <c r="AD6" s="112"/>
      <c r="AE6" s="112"/>
    </row>
    <row r="7" spans="1:31" ht="15" customHeight="1" x14ac:dyDescent="0.35">
      <c r="A7" s="106" t="s">
        <v>53</v>
      </c>
      <c r="B7" s="160">
        <f t="shared" si="0"/>
        <v>1328455</v>
      </c>
      <c r="C7" s="168">
        <f>FIRE1201b_working!D8</f>
        <v>2.2567211287895002</v>
      </c>
      <c r="D7" s="168"/>
      <c r="E7" s="161">
        <f>ROUND(FIRE1201b_working!E8,0)</f>
        <v>10481</v>
      </c>
      <c r="F7" s="161">
        <f>ROUND(FIRE1201b_working!F8,0)</f>
        <v>90169</v>
      </c>
      <c r="G7" s="161">
        <f>ROUND(FIRE1201b_working!G8,0)</f>
        <v>1139612</v>
      </c>
      <c r="H7" s="161">
        <f>ROUND(FIRE1201b_working!H8,0)</f>
        <v>6308</v>
      </c>
      <c r="I7" s="161">
        <f>ROUND(FIRE1201b_working!I8,0)</f>
        <v>77786</v>
      </c>
      <c r="J7" s="161">
        <f>ROUND(FIRE1201b_working!J8,0)</f>
        <v>4099</v>
      </c>
      <c r="K7" s="116"/>
      <c r="L7" s="109"/>
      <c r="M7" s="116"/>
      <c r="N7" s="116"/>
      <c r="O7" s="116"/>
      <c r="P7" s="116"/>
      <c r="Q7" s="116"/>
      <c r="R7" s="116"/>
      <c r="S7" s="117"/>
      <c r="T7" s="112"/>
      <c r="U7" s="112"/>
      <c r="V7" s="112"/>
      <c r="W7" s="112"/>
      <c r="X7" s="112"/>
      <c r="Y7" s="112"/>
      <c r="Z7" s="112"/>
      <c r="AA7" s="112"/>
      <c r="AB7" s="112"/>
      <c r="AC7" s="112"/>
      <c r="AD7" s="112"/>
      <c r="AE7" s="112"/>
    </row>
    <row r="8" spans="1:31" ht="15" customHeight="1" x14ac:dyDescent="0.35">
      <c r="A8" s="106" t="s">
        <v>54</v>
      </c>
      <c r="B8" s="160">
        <f t="shared" si="0"/>
        <v>429753</v>
      </c>
      <c r="C8" s="168">
        <f>FIRE1201b_working!D9</f>
        <v>1.6465758358301597</v>
      </c>
      <c r="D8" s="168"/>
      <c r="E8" s="161">
        <f>ROUND(FIRE1201b_working!E9,0)</f>
        <v>7171</v>
      </c>
      <c r="F8" s="161">
        <f>ROUND(FIRE1201b_working!F9,0)</f>
        <v>57635</v>
      </c>
      <c r="G8" s="161">
        <f>ROUND(FIRE1201b_working!G9,0)</f>
        <v>283288</v>
      </c>
      <c r="H8" s="161">
        <f>ROUND(FIRE1201b_working!H9,0)</f>
        <v>289</v>
      </c>
      <c r="I8" s="161">
        <f>ROUND(FIRE1201b_working!I9,0)</f>
        <v>79542</v>
      </c>
      <c r="J8" s="161">
        <f>ROUND(FIRE1201b_working!J9,0)</f>
        <v>1828</v>
      </c>
      <c r="K8" s="116"/>
      <c r="L8" s="109"/>
      <c r="M8" s="116"/>
      <c r="N8" s="116"/>
      <c r="O8" s="116"/>
      <c r="P8" s="116"/>
      <c r="Q8" s="116"/>
      <c r="R8" s="116"/>
      <c r="S8" s="117"/>
      <c r="T8" s="112"/>
      <c r="U8" s="112"/>
      <c r="V8" s="112"/>
      <c r="W8" s="112"/>
      <c r="X8" s="112"/>
      <c r="Y8" s="112"/>
      <c r="Z8" s="112"/>
      <c r="AA8" s="112"/>
      <c r="AB8" s="112"/>
      <c r="AC8" s="112"/>
      <c r="AD8" s="112"/>
      <c r="AE8" s="112"/>
    </row>
    <row r="9" spans="1:31" ht="15" customHeight="1" x14ac:dyDescent="0.35">
      <c r="A9" s="106" t="s">
        <v>56</v>
      </c>
      <c r="B9" s="160">
        <f t="shared" si="0"/>
        <v>967592</v>
      </c>
      <c r="C9" s="168">
        <f>FIRE1201b_working!D10</f>
        <v>2.1971701776416332</v>
      </c>
      <c r="D9" s="168"/>
      <c r="E9" s="161">
        <f>ROUND(FIRE1201b_working!E10,0)</f>
        <v>6000</v>
      </c>
      <c r="F9" s="161">
        <f>ROUND(FIRE1201b_working!F10,0)</f>
        <v>61012</v>
      </c>
      <c r="G9" s="161">
        <f>ROUND(FIRE1201b_working!G10,0)</f>
        <v>812220</v>
      </c>
      <c r="H9" s="161">
        <f>ROUND(FIRE1201b_working!H10,0)</f>
        <v>343</v>
      </c>
      <c r="I9" s="161">
        <f>ROUND(FIRE1201b_working!I10,0)</f>
        <v>84812</v>
      </c>
      <c r="J9" s="161">
        <f>ROUND(FIRE1201b_working!J10,0)</f>
        <v>3205</v>
      </c>
      <c r="K9" s="116"/>
      <c r="L9" s="109"/>
      <c r="M9" s="116"/>
      <c r="N9" s="116"/>
      <c r="O9" s="116"/>
      <c r="P9" s="116"/>
      <c r="Q9" s="116"/>
      <c r="R9" s="116"/>
      <c r="S9" s="117"/>
      <c r="T9" s="112"/>
      <c r="U9" s="112"/>
      <c r="V9" s="112"/>
      <c r="W9" s="112"/>
      <c r="X9" s="112"/>
      <c r="Y9" s="112"/>
      <c r="Z9" s="112"/>
      <c r="AA9" s="112"/>
      <c r="AB9" s="112"/>
      <c r="AC9" s="112"/>
      <c r="AD9" s="112"/>
      <c r="AE9" s="112"/>
    </row>
    <row r="10" spans="1:31" ht="15" customHeight="1" x14ac:dyDescent="0.35">
      <c r="A10" s="106" t="s">
        <v>81</v>
      </c>
      <c r="B10" s="160">
        <f t="shared" si="0"/>
        <v>1208341</v>
      </c>
      <c r="C10" s="168">
        <f>FIRE1201b_working!D11</f>
        <v>2.2501568892538777</v>
      </c>
      <c r="D10" s="168"/>
      <c r="E10" s="161">
        <f>ROUND(FIRE1201b_working!E11,0)</f>
        <v>2768</v>
      </c>
      <c r="F10" s="161">
        <f>ROUND(FIRE1201b_working!F11,0)</f>
        <v>110313</v>
      </c>
      <c r="G10" s="161">
        <f>ROUND(FIRE1201b_working!G11,0)</f>
        <v>1012405</v>
      </c>
      <c r="H10" s="161">
        <f>ROUND(FIRE1201b_working!H11,0)</f>
        <v>792</v>
      </c>
      <c r="I10" s="161">
        <f>ROUND(FIRE1201b_working!I11,0)</f>
        <v>78597</v>
      </c>
      <c r="J10" s="161">
        <f>ROUND(FIRE1201b_working!J11,0)</f>
        <v>3466</v>
      </c>
      <c r="K10" s="116"/>
      <c r="L10" s="109"/>
      <c r="M10" s="116"/>
      <c r="N10" s="116"/>
      <c r="O10" s="116"/>
      <c r="P10" s="116"/>
      <c r="Q10" s="116"/>
      <c r="R10" s="116"/>
      <c r="S10" s="117"/>
      <c r="T10" s="112"/>
      <c r="U10" s="112"/>
      <c r="V10" s="112"/>
      <c r="W10" s="112"/>
      <c r="X10" s="112"/>
      <c r="Y10" s="112"/>
      <c r="Z10" s="112"/>
      <c r="AA10" s="112"/>
      <c r="AB10" s="112"/>
      <c r="AC10" s="112"/>
      <c r="AD10" s="112"/>
      <c r="AE10" s="112"/>
    </row>
    <row r="11" spans="1:31" ht="15.65" customHeight="1" thickBot="1" x14ac:dyDescent="0.4">
      <c r="A11" s="118" t="s">
        <v>247</v>
      </c>
      <c r="B11" s="162">
        <f t="shared" si="0"/>
        <v>1003324</v>
      </c>
      <c r="C11" s="169">
        <f>FIRE1201b_working!D12</f>
        <v>1.6768403354603221</v>
      </c>
      <c r="D11" s="168"/>
      <c r="E11" s="163">
        <f>ROUND(FIRE1201b_working!E12,0)</f>
        <v>2596</v>
      </c>
      <c r="F11" s="163">
        <f>ROUND(FIRE1201b_working!F12,0)</f>
        <v>116572</v>
      </c>
      <c r="G11" s="163">
        <f>ROUND(FIRE1201b_working!G12,0)</f>
        <v>807497</v>
      </c>
      <c r="H11" s="163">
        <f>ROUND(FIRE1201b_working!H12,0)</f>
        <v>935</v>
      </c>
      <c r="I11" s="163">
        <f>ROUND(FIRE1201b_working!I12,0)</f>
        <v>74106</v>
      </c>
      <c r="J11" s="163">
        <f>ROUND(FIRE1201b_working!J12,0)</f>
        <v>1618</v>
      </c>
      <c r="K11" s="116"/>
      <c r="M11" s="116"/>
      <c r="N11" s="116"/>
      <c r="O11" s="116"/>
      <c r="P11" s="116"/>
      <c r="Q11" s="116"/>
      <c r="R11" s="116"/>
      <c r="S11" s="117"/>
      <c r="T11" s="112"/>
      <c r="U11" s="112"/>
      <c r="V11" s="112"/>
      <c r="W11" s="112"/>
      <c r="X11" s="112"/>
      <c r="Y11" s="112"/>
      <c r="Z11" s="112"/>
      <c r="AA11" s="112"/>
      <c r="AB11" s="112"/>
      <c r="AC11" s="112"/>
      <c r="AD11" s="112"/>
      <c r="AE11" s="112"/>
    </row>
    <row r="12" spans="1:31" ht="29.5" customHeight="1" x14ac:dyDescent="0.35">
      <c r="A12" s="108" t="s">
        <v>122</v>
      </c>
      <c r="B12" s="117"/>
      <c r="C12" s="116"/>
      <c r="D12" s="116"/>
      <c r="E12" s="116"/>
      <c r="F12" s="116"/>
      <c r="G12" s="116"/>
      <c r="H12" s="116"/>
      <c r="I12" s="116"/>
      <c r="J12" s="116"/>
      <c r="K12" s="106"/>
      <c r="L12" s="116"/>
      <c r="M12" s="116"/>
      <c r="N12" s="116"/>
      <c r="O12" s="116"/>
      <c r="P12" s="116"/>
      <c r="Q12" s="116"/>
      <c r="R12" s="117"/>
      <c r="S12" s="112"/>
      <c r="T12" s="112"/>
      <c r="U12" s="112"/>
      <c r="V12" s="112"/>
      <c r="W12" s="112"/>
      <c r="X12" s="112"/>
      <c r="Y12" s="112"/>
      <c r="Z12" s="112"/>
      <c r="AA12" s="112"/>
      <c r="AB12" s="112"/>
      <c r="AC12" s="112"/>
      <c r="AD12" s="112"/>
    </row>
    <row r="13" spans="1:31" ht="17.5" customHeight="1" x14ac:dyDescent="0.35">
      <c r="A13" s="119" t="s">
        <v>220</v>
      </c>
      <c r="B13" s="112"/>
      <c r="C13" s="112"/>
      <c r="D13" s="112"/>
      <c r="E13" s="112"/>
      <c r="F13" s="112"/>
      <c r="G13" s="112"/>
      <c r="H13" s="112"/>
      <c r="I13" s="112"/>
      <c r="J13" s="112"/>
      <c r="K13" s="106"/>
      <c r="L13" s="112"/>
      <c r="M13" s="112"/>
      <c r="N13" s="112"/>
      <c r="O13" s="112"/>
      <c r="P13" s="112"/>
      <c r="Q13" s="112"/>
      <c r="R13" s="112"/>
      <c r="S13" s="112"/>
      <c r="T13" s="112"/>
      <c r="U13" s="112"/>
      <c r="V13" s="112"/>
      <c r="W13" s="112"/>
      <c r="X13" s="112"/>
      <c r="Y13" s="112"/>
      <c r="Z13" s="112"/>
      <c r="AA13" s="112"/>
      <c r="AB13" s="112"/>
    </row>
    <row r="14" spans="1:31" ht="17.5" customHeight="1" x14ac:dyDescent="0.35">
      <c r="A14" s="120" t="s">
        <v>221</v>
      </c>
      <c r="B14" s="117"/>
      <c r="C14" s="116"/>
      <c r="D14" s="116"/>
      <c r="E14" s="116"/>
      <c r="F14" s="116"/>
      <c r="G14" s="116"/>
      <c r="H14" s="116"/>
      <c r="I14" s="116"/>
      <c r="J14" s="116"/>
      <c r="K14" s="106"/>
      <c r="L14" s="116"/>
      <c r="M14" s="116"/>
      <c r="N14" s="116"/>
      <c r="O14" s="116"/>
      <c r="P14" s="116"/>
      <c r="Q14" s="116"/>
      <c r="R14" s="117"/>
      <c r="S14" s="112"/>
      <c r="T14" s="112"/>
      <c r="U14" s="112"/>
      <c r="V14" s="112"/>
      <c r="W14" s="112"/>
      <c r="X14" s="112"/>
      <c r="Y14" s="112"/>
      <c r="Z14" s="112"/>
      <c r="AA14" s="112"/>
      <c r="AB14" s="112"/>
      <c r="AC14" s="112"/>
      <c r="AD14" s="112"/>
    </row>
    <row r="15" spans="1:31" ht="27" customHeight="1" x14ac:dyDescent="0.35">
      <c r="A15" s="121" t="s">
        <v>114</v>
      </c>
      <c r="B15" s="112"/>
      <c r="C15" s="112"/>
      <c r="D15" s="112"/>
      <c r="E15" s="112"/>
      <c r="F15" s="112"/>
      <c r="G15" s="112"/>
      <c r="H15" s="112"/>
      <c r="I15" s="112"/>
      <c r="J15" s="112"/>
      <c r="K15" s="106"/>
      <c r="L15" s="112"/>
      <c r="M15" s="112"/>
      <c r="N15" s="112"/>
      <c r="O15" s="112"/>
      <c r="P15" s="112"/>
      <c r="Q15" s="112"/>
      <c r="R15" s="112"/>
      <c r="S15" s="112"/>
      <c r="T15" s="112"/>
      <c r="U15" s="112"/>
      <c r="V15" s="112"/>
      <c r="W15" s="112"/>
      <c r="X15" s="112"/>
      <c r="Y15" s="112"/>
      <c r="Z15" s="112"/>
      <c r="AA15" s="112"/>
      <c r="AB15" s="112"/>
    </row>
    <row r="16" spans="1:31" ht="14.5" customHeight="1" x14ac:dyDescent="0.35">
      <c r="A16" s="122" t="s">
        <v>195</v>
      </c>
      <c r="B16" s="112"/>
      <c r="C16" s="112"/>
      <c r="D16" s="112"/>
      <c r="E16" s="112"/>
      <c r="F16" s="112"/>
      <c r="G16" s="112"/>
      <c r="H16" s="112"/>
      <c r="I16" s="112"/>
      <c r="J16" s="112"/>
      <c r="K16" s="106"/>
      <c r="L16" s="112"/>
      <c r="M16" s="112"/>
      <c r="N16" s="112"/>
      <c r="O16" s="112"/>
      <c r="P16" s="112"/>
      <c r="Q16" s="112"/>
      <c r="R16" s="112"/>
      <c r="S16" s="112"/>
      <c r="T16" s="112"/>
      <c r="U16" s="112"/>
      <c r="V16" s="112"/>
      <c r="W16" s="112"/>
      <c r="X16" s="112"/>
      <c r="Y16" s="112"/>
      <c r="Z16" s="112"/>
      <c r="AA16" s="112"/>
      <c r="AB16" s="112"/>
    </row>
    <row r="17" spans="1:28" ht="14.5" customHeight="1" x14ac:dyDescent="0.35">
      <c r="A17" s="106" t="s">
        <v>232</v>
      </c>
      <c r="B17" s="112"/>
      <c r="C17" s="112"/>
      <c r="D17" s="112"/>
      <c r="E17" s="112"/>
      <c r="F17" s="112"/>
      <c r="G17" s="112"/>
      <c r="H17" s="112"/>
      <c r="I17" s="112"/>
      <c r="J17" s="112"/>
      <c r="K17" s="106"/>
      <c r="L17" s="112"/>
      <c r="M17" s="112"/>
      <c r="N17" s="112"/>
      <c r="O17" s="112"/>
      <c r="P17" s="112"/>
      <c r="Q17" s="112"/>
      <c r="R17" s="112"/>
      <c r="S17" s="112"/>
      <c r="T17" s="112"/>
      <c r="U17" s="112"/>
      <c r="V17" s="112"/>
      <c r="W17" s="112"/>
      <c r="X17" s="112"/>
      <c r="Y17" s="112"/>
      <c r="Z17" s="112"/>
      <c r="AA17" s="112"/>
      <c r="AB17" s="112"/>
    </row>
    <row r="18" spans="1:28" ht="14.5" customHeight="1" x14ac:dyDescent="0.35">
      <c r="A18" s="121" t="s">
        <v>218</v>
      </c>
      <c r="B18" s="112"/>
      <c r="C18" s="112"/>
      <c r="D18" s="112"/>
      <c r="E18" s="112"/>
      <c r="F18" s="112"/>
      <c r="G18" s="112"/>
      <c r="H18" s="112"/>
      <c r="I18" s="112"/>
      <c r="J18" s="112"/>
      <c r="K18" s="106"/>
      <c r="L18" s="112"/>
      <c r="M18" s="112"/>
      <c r="N18" s="112"/>
      <c r="O18" s="112"/>
      <c r="P18" s="112"/>
      <c r="Q18" s="112"/>
      <c r="R18" s="112"/>
      <c r="S18" s="112"/>
      <c r="T18" s="112"/>
      <c r="U18" s="112"/>
      <c r="V18" s="112"/>
      <c r="W18" s="112"/>
      <c r="X18" s="112"/>
      <c r="Y18" s="112"/>
      <c r="Z18" s="112"/>
      <c r="AA18" s="112"/>
      <c r="AB18" s="112"/>
    </row>
    <row r="19" spans="1:28" ht="14.5" customHeight="1" x14ac:dyDescent="0.35">
      <c r="A19" s="122" t="s">
        <v>178</v>
      </c>
      <c r="B19" s="112"/>
      <c r="C19" s="112"/>
      <c r="D19" s="112"/>
      <c r="E19" s="112"/>
      <c r="F19" s="112"/>
      <c r="G19" s="112"/>
      <c r="H19" s="112"/>
      <c r="I19" s="112"/>
      <c r="J19" s="112"/>
      <c r="K19" s="106"/>
      <c r="L19" s="123"/>
      <c r="M19" s="112"/>
      <c r="N19" s="112"/>
      <c r="O19" s="112"/>
      <c r="P19" s="112"/>
      <c r="Q19" s="112"/>
      <c r="R19" s="112"/>
      <c r="S19" s="112"/>
      <c r="T19" s="112"/>
      <c r="U19" s="112"/>
      <c r="V19" s="112"/>
      <c r="W19" s="112"/>
      <c r="X19" s="112"/>
      <c r="Y19" s="112"/>
      <c r="Z19" s="112"/>
      <c r="AA19" s="112"/>
      <c r="AB19" s="112"/>
    </row>
    <row r="20" spans="1:28" ht="14.5" customHeight="1" x14ac:dyDescent="0.35">
      <c r="A20" s="121" t="s">
        <v>45</v>
      </c>
      <c r="B20" s="112"/>
      <c r="C20" s="112"/>
      <c r="D20" s="112"/>
      <c r="E20" s="112"/>
      <c r="F20" s="112"/>
      <c r="G20" s="112"/>
      <c r="H20" s="112"/>
      <c r="I20" s="112"/>
      <c r="J20" s="112"/>
      <c r="K20" s="106"/>
      <c r="L20" s="123"/>
      <c r="M20" s="112"/>
      <c r="N20" s="112"/>
      <c r="O20" s="112"/>
      <c r="P20" s="112"/>
      <c r="Q20" s="112"/>
      <c r="R20" s="112"/>
      <c r="S20" s="112"/>
      <c r="T20" s="112"/>
      <c r="U20" s="112"/>
      <c r="V20" s="112"/>
      <c r="W20" s="112"/>
      <c r="X20" s="112"/>
      <c r="Y20" s="112"/>
      <c r="Z20" s="112"/>
      <c r="AA20" s="112"/>
      <c r="AB20" s="112"/>
    </row>
    <row r="21" spans="1:28" ht="14.5" customHeight="1" x14ac:dyDescent="0.35">
      <c r="A21" s="106" t="s">
        <v>233</v>
      </c>
      <c r="B21" s="112"/>
      <c r="C21" s="112"/>
      <c r="D21" s="112"/>
      <c r="E21" s="112"/>
      <c r="F21" s="112"/>
      <c r="G21" s="112"/>
      <c r="H21" s="112"/>
      <c r="I21" s="112"/>
      <c r="J21" s="112"/>
      <c r="K21" s="106"/>
      <c r="L21" s="112"/>
      <c r="M21" s="112"/>
      <c r="N21" s="112"/>
      <c r="O21" s="112"/>
      <c r="P21" s="112"/>
      <c r="Q21" s="112"/>
      <c r="R21" s="112"/>
      <c r="S21" s="112"/>
      <c r="T21" s="112"/>
      <c r="U21" s="112"/>
      <c r="V21" s="112"/>
      <c r="W21" s="112"/>
      <c r="X21" s="112"/>
      <c r="Y21" s="112"/>
      <c r="Z21" s="112"/>
      <c r="AA21" s="112"/>
      <c r="AB21" s="112"/>
    </row>
    <row r="22" spans="1:28" ht="14.5" customHeight="1" x14ac:dyDescent="0.35">
      <c r="A22" s="106" t="s">
        <v>193</v>
      </c>
      <c r="B22" s="112"/>
      <c r="C22" s="112"/>
      <c r="D22" s="112"/>
      <c r="E22" s="112"/>
      <c r="F22" s="112"/>
      <c r="G22" s="112"/>
      <c r="H22" s="112"/>
      <c r="I22" s="112"/>
      <c r="J22" s="112"/>
      <c r="K22" s="106"/>
      <c r="L22" s="112"/>
      <c r="M22" s="112"/>
      <c r="N22" s="112"/>
      <c r="O22" s="112"/>
      <c r="P22" s="112"/>
      <c r="Q22" s="112"/>
      <c r="R22" s="112"/>
      <c r="S22" s="112"/>
      <c r="T22" s="112"/>
      <c r="U22" s="112"/>
      <c r="V22" s="112"/>
      <c r="W22" s="112"/>
      <c r="X22" s="112"/>
      <c r="Y22" s="112"/>
      <c r="Z22" s="112"/>
      <c r="AA22" s="112"/>
      <c r="AB22" s="112"/>
    </row>
    <row r="23" spans="1:28" ht="27.65" customHeight="1" x14ac:dyDescent="0.35">
      <c r="A23" s="124" t="s">
        <v>258</v>
      </c>
      <c r="B23" s="112"/>
      <c r="C23" s="112"/>
      <c r="D23" s="112"/>
      <c r="E23" s="112"/>
      <c r="F23" s="112"/>
      <c r="G23" s="112"/>
      <c r="H23" s="112"/>
      <c r="I23" s="112"/>
      <c r="J23" s="112"/>
      <c r="K23" s="106"/>
      <c r="L23" s="112"/>
      <c r="M23" s="112"/>
      <c r="N23" s="112"/>
      <c r="O23" s="112"/>
      <c r="P23" s="112"/>
      <c r="Q23" s="112"/>
      <c r="R23" s="112"/>
      <c r="S23" s="112"/>
      <c r="T23" s="112"/>
      <c r="U23" s="112"/>
      <c r="V23" s="112"/>
      <c r="W23" s="112"/>
      <c r="X23" s="112"/>
      <c r="Y23" s="112"/>
      <c r="Z23" s="112"/>
      <c r="AA23" s="112"/>
      <c r="AB23" s="112"/>
    </row>
    <row r="24" spans="1:28" ht="27.65" customHeight="1" x14ac:dyDescent="0.35">
      <c r="A24" s="106" t="s">
        <v>115</v>
      </c>
      <c r="B24" s="112"/>
      <c r="C24" s="112"/>
      <c r="D24" s="112"/>
      <c r="E24" s="112"/>
      <c r="F24" s="112"/>
      <c r="G24" s="112"/>
      <c r="H24" s="112"/>
      <c r="I24" s="112"/>
      <c r="J24" s="112"/>
      <c r="K24" s="106"/>
      <c r="L24" s="112"/>
      <c r="M24" s="112"/>
      <c r="N24" s="112"/>
      <c r="O24" s="112"/>
      <c r="P24" s="112"/>
      <c r="Q24" s="112"/>
      <c r="R24" s="112"/>
      <c r="S24" s="112"/>
      <c r="T24" s="112"/>
      <c r="U24" s="112"/>
      <c r="V24" s="112"/>
      <c r="W24" s="112"/>
      <c r="X24" s="112"/>
      <c r="Y24" s="112"/>
      <c r="Z24" s="112"/>
      <c r="AA24" s="112"/>
      <c r="AB24" s="112"/>
    </row>
    <row r="25" spans="1:28" ht="14.5" customHeight="1" x14ac:dyDescent="0.35">
      <c r="A25" s="125" t="s">
        <v>116</v>
      </c>
      <c r="B25" s="112"/>
      <c r="C25" s="112"/>
      <c r="D25" s="112"/>
      <c r="E25" s="112"/>
      <c r="F25" s="112"/>
      <c r="G25" s="112"/>
      <c r="H25" s="112"/>
      <c r="I25" s="112"/>
      <c r="J25" s="112"/>
      <c r="K25" s="106"/>
      <c r="L25" s="112"/>
      <c r="M25" s="112"/>
      <c r="N25" s="112"/>
      <c r="O25" s="112"/>
      <c r="P25" s="112"/>
      <c r="Q25" s="112"/>
      <c r="R25" s="112"/>
      <c r="S25" s="112"/>
      <c r="T25" s="112"/>
      <c r="U25" s="112"/>
      <c r="V25" s="112"/>
      <c r="W25" s="112"/>
      <c r="X25" s="112"/>
      <c r="Y25" s="112"/>
      <c r="Z25" s="112"/>
      <c r="AA25" s="112"/>
      <c r="AB25" s="112"/>
    </row>
    <row r="26" spans="1:28" ht="27" customHeight="1" x14ac:dyDescent="0.35">
      <c r="A26" s="106" t="s">
        <v>117</v>
      </c>
      <c r="B26" s="112"/>
      <c r="C26" s="112"/>
      <c r="D26" s="112"/>
      <c r="E26" s="112"/>
      <c r="F26" s="112"/>
      <c r="G26" s="112"/>
      <c r="H26" s="112"/>
      <c r="I26" s="112"/>
      <c r="J26" s="112"/>
      <c r="K26" s="106"/>
      <c r="L26" s="112"/>
      <c r="M26" s="112"/>
      <c r="N26" s="112"/>
      <c r="O26" s="112"/>
      <c r="P26" s="112"/>
      <c r="Q26" s="112"/>
      <c r="R26" s="112"/>
      <c r="S26" s="112"/>
      <c r="T26" s="112"/>
      <c r="U26" s="112"/>
      <c r="V26" s="112"/>
      <c r="W26" s="112"/>
      <c r="X26" s="112"/>
      <c r="Y26" s="112"/>
      <c r="Z26" s="112"/>
      <c r="AA26" s="112"/>
      <c r="AB26" s="112"/>
    </row>
    <row r="27" spans="1:28" ht="27" customHeight="1" x14ac:dyDescent="0.35">
      <c r="A27" s="106" t="s">
        <v>113</v>
      </c>
      <c r="B27" s="112"/>
      <c r="C27" s="112"/>
      <c r="D27" s="112"/>
      <c r="E27" s="112"/>
      <c r="F27" s="112"/>
      <c r="G27" s="112"/>
      <c r="H27" s="112"/>
      <c r="I27" s="112"/>
      <c r="J27" s="112"/>
      <c r="K27" s="106"/>
      <c r="L27" s="112"/>
      <c r="M27" s="112"/>
      <c r="N27" s="112"/>
      <c r="O27" s="112"/>
      <c r="P27" s="112"/>
      <c r="Q27" s="112"/>
      <c r="R27" s="112"/>
      <c r="S27" s="112"/>
      <c r="T27" s="112"/>
      <c r="U27" s="112"/>
      <c r="V27" s="112"/>
      <c r="W27" s="112"/>
      <c r="X27" s="112"/>
      <c r="Y27" s="112"/>
      <c r="Z27" s="112"/>
      <c r="AA27" s="112"/>
      <c r="AB27" s="112"/>
    </row>
    <row r="28" spans="1:28" ht="14.5" customHeight="1" x14ac:dyDescent="0.35">
      <c r="A28" s="119" t="s">
        <v>118</v>
      </c>
      <c r="B28" s="112"/>
      <c r="C28" s="112"/>
      <c r="D28" s="112"/>
      <c r="E28" s="112"/>
      <c r="F28" s="112"/>
      <c r="G28" s="112"/>
      <c r="H28" s="112"/>
      <c r="I28" s="112"/>
      <c r="J28" s="112"/>
      <c r="K28" s="106"/>
      <c r="L28" s="112"/>
      <c r="M28" s="112"/>
      <c r="N28" s="112"/>
      <c r="O28" s="112"/>
      <c r="P28" s="112"/>
      <c r="Q28" s="112"/>
      <c r="R28" s="112"/>
      <c r="S28" s="112"/>
      <c r="T28" s="112"/>
      <c r="U28" s="112"/>
      <c r="V28" s="112"/>
      <c r="W28" s="112"/>
      <c r="X28" s="112"/>
      <c r="Y28" s="112"/>
      <c r="Z28" s="112"/>
      <c r="AA28" s="112"/>
      <c r="AB28" s="112"/>
    </row>
    <row r="29" spans="1:28" x14ac:dyDescent="0.35">
      <c r="A29" s="126"/>
      <c r="K29" s="127" t="s">
        <v>76</v>
      </c>
    </row>
    <row r="30" spans="1:28" x14ac:dyDescent="0.35">
      <c r="K30" s="127" t="s">
        <v>88</v>
      </c>
    </row>
    <row r="31" spans="1:28" x14ac:dyDescent="0.35">
      <c r="K31" s="127" t="s">
        <v>92</v>
      </c>
    </row>
    <row r="32" spans="1:28" x14ac:dyDescent="0.35">
      <c r="K32" s="127" t="s">
        <v>87</v>
      </c>
    </row>
    <row r="33" spans="11:11" x14ac:dyDescent="0.35">
      <c r="K33" s="127" t="s">
        <v>90</v>
      </c>
    </row>
    <row r="34" spans="11:11" x14ac:dyDescent="0.35">
      <c r="K34" s="127" t="s">
        <v>91</v>
      </c>
    </row>
    <row r="35" spans="11:11" x14ac:dyDescent="0.35">
      <c r="K35" s="127" t="s">
        <v>8</v>
      </c>
    </row>
    <row r="36" spans="11:11" x14ac:dyDescent="0.35">
      <c r="K36" s="127" t="s">
        <v>11</v>
      </c>
    </row>
    <row r="37" spans="11:11" x14ac:dyDescent="0.35">
      <c r="K37" s="127" t="s">
        <v>12</v>
      </c>
    </row>
    <row r="38" spans="11:11" x14ac:dyDescent="0.35">
      <c r="K38" s="127" t="s">
        <v>13</v>
      </c>
    </row>
    <row r="39" spans="11:11" x14ac:dyDescent="0.35">
      <c r="K39" s="127" t="s">
        <v>14</v>
      </c>
    </row>
    <row r="40" spans="11:11" x14ac:dyDescent="0.35">
      <c r="K40" s="127" t="s">
        <v>15</v>
      </c>
    </row>
    <row r="41" spans="11:11" x14ac:dyDescent="0.35">
      <c r="K41" s="127" t="s">
        <v>16</v>
      </c>
    </row>
    <row r="42" spans="11:11" x14ac:dyDescent="0.35">
      <c r="K42" s="127" t="s">
        <v>17</v>
      </c>
    </row>
    <row r="43" spans="11:11" x14ac:dyDescent="0.35">
      <c r="K43" s="127" t="s">
        <v>18</v>
      </c>
    </row>
    <row r="44" spans="11:11" x14ac:dyDescent="0.35">
      <c r="K44" s="127" t="s">
        <v>19</v>
      </c>
    </row>
    <row r="45" spans="11:11" x14ac:dyDescent="0.35">
      <c r="K45" s="127" t="s">
        <v>20</v>
      </c>
    </row>
    <row r="46" spans="11:11" x14ac:dyDescent="0.35">
      <c r="K46" s="127" t="s">
        <v>21</v>
      </c>
    </row>
    <row r="47" spans="11:11" x14ac:dyDescent="0.35">
      <c r="K47" s="127" t="s">
        <v>22</v>
      </c>
    </row>
    <row r="48" spans="11:11" x14ac:dyDescent="0.35">
      <c r="K48" s="127" t="s">
        <v>23</v>
      </c>
    </row>
    <row r="49" spans="11:11" x14ac:dyDescent="0.35">
      <c r="K49" s="127" t="s">
        <v>24</v>
      </c>
    </row>
    <row r="50" spans="11:11" x14ac:dyDescent="0.35">
      <c r="K50" s="127" t="s">
        <v>25</v>
      </c>
    </row>
    <row r="51" spans="11:11" x14ac:dyDescent="0.35">
      <c r="K51" s="127" t="s">
        <v>26</v>
      </c>
    </row>
    <row r="52" spans="11:11" x14ac:dyDescent="0.35">
      <c r="K52" s="127" t="s">
        <v>27</v>
      </c>
    </row>
    <row r="53" spans="11:11" x14ac:dyDescent="0.35">
      <c r="K53" s="127" t="s">
        <v>93</v>
      </c>
    </row>
    <row r="54" spans="11:11" x14ac:dyDescent="0.35">
      <c r="K54" s="127" t="s">
        <v>28</v>
      </c>
    </row>
    <row r="55" spans="11:11" x14ac:dyDescent="0.35">
      <c r="K55" s="127" t="s">
        <v>29</v>
      </c>
    </row>
    <row r="56" spans="11:11" x14ac:dyDescent="0.35">
      <c r="K56" s="127" t="s">
        <v>30</v>
      </c>
    </row>
    <row r="57" spans="11:11" x14ac:dyDescent="0.35">
      <c r="K57" s="127" t="s">
        <v>94</v>
      </c>
    </row>
    <row r="58" spans="11:11" x14ac:dyDescent="0.35">
      <c r="K58" s="127" t="s">
        <v>32</v>
      </c>
    </row>
    <row r="59" spans="11:11" x14ac:dyDescent="0.35">
      <c r="K59" s="127" t="s">
        <v>33</v>
      </c>
    </row>
    <row r="60" spans="11:11" x14ac:dyDescent="0.35">
      <c r="K60" s="127" t="s">
        <v>34</v>
      </c>
    </row>
    <row r="61" spans="11:11" x14ac:dyDescent="0.35">
      <c r="K61" s="127" t="s">
        <v>35</v>
      </c>
    </row>
    <row r="62" spans="11:11" x14ac:dyDescent="0.35">
      <c r="K62" s="127" t="s">
        <v>36</v>
      </c>
    </row>
    <row r="63" spans="11:11" x14ac:dyDescent="0.35">
      <c r="K63" s="127" t="s">
        <v>37</v>
      </c>
    </row>
    <row r="64" spans="11:11" x14ac:dyDescent="0.35">
      <c r="K64" s="127" t="s">
        <v>38</v>
      </c>
    </row>
    <row r="65" spans="11:11" x14ac:dyDescent="0.35">
      <c r="K65" s="127" t="s">
        <v>39</v>
      </c>
    </row>
    <row r="66" spans="11:11" x14ac:dyDescent="0.35">
      <c r="K66" s="127" t="s">
        <v>40</v>
      </c>
    </row>
    <row r="67" spans="11:11" x14ac:dyDescent="0.35">
      <c r="K67" s="127" t="s">
        <v>41</v>
      </c>
    </row>
    <row r="68" spans="11:11" x14ac:dyDescent="0.35">
      <c r="K68" s="127" t="s">
        <v>42</v>
      </c>
    </row>
    <row r="69" spans="11:11" x14ac:dyDescent="0.35">
      <c r="K69" s="127" t="s">
        <v>43</v>
      </c>
    </row>
    <row r="70" spans="11:11" x14ac:dyDescent="0.35">
      <c r="K70" s="127" t="s">
        <v>44</v>
      </c>
    </row>
    <row r="71" spans="11:11" x14ac:dyDescent="0.35">
      <c r="K71" s="127" t="s">
        <v>45</v>
      </c>
    </row>
    <row r="72" spans="11:11" x14ac:dyDescent="0.35">
      <c r="K72" s="127" t="s">
        <v>46</v>
      </c>
    </row>
    <row r="73" spans="11:11" x14ac:dyDescent="0.35">
      <c r="K73" s="127" t="s">
        <v>47</v>
      </c>
    </row>
    <row r="74" spans="11:11" x14ac:dyDescent="0.35">
      <c r="K74" s="127" t="s">
        <v>48</v>
      </c>
    </row>
    <row r="75" spans="11:11" x14ac:dyDescent="0.35">
      <c r="K75" s="127" t="s">
        <v>49</v>
      </c>
    </row>
    <row r="76" spans="11:11" x14ac:dyDescent="0.35">
      <c r="K76" s="127" t="s">
        <v>50</v>
      </c>
    </row>
    <row r="77" spans="11:11" x14ac:dyDescent="0.35">
      <c r="K77" s="127" t="s">
        <v>51</v>
      </c>
    </row>
    <row r="78" spans="11:11" x14ac:dyDescent="0.35">
      <c r="K78" s="127" t="s">
        <v>52</v>
      </c>
    </row>
  </sheetData>
  <mergeCells count="1">
    <mergeCell ref="E4:J4"/>
  </mergeCells>
  <dataValidations count="1">
    <dataValidation type="list" allowBlank="1" showInputMessage="1" showErrorMessage="1" sqref="A3" xr:uid="{74766F60-1E5E-4BEB-80DE-E913ED836B1D}">
      <formula1>$K$29:$K$78</formula1>
    </dataValidation>
  </dataValidations>
  <hyperlinks>
    <hyperlink ref="A25" r:id="rId1" xr:uid="{D379B552-85BB-4F98-B7D9-B33B9024AAC5}"/>
    <hyperlink ref="A28" r:id="rId2" xr:uid="{83BDBFFB-87DC-44F1-A633-7546536A9B1C}"/>
    <hyperlink ref="A13" location="'FRS geographical categories'!A1" display="3. For a list of FRAs and whether they are considered &quot;Metropolitan&quot;, &quot;Non Metropolitan&quot;, &quot;Predominately Rural&quot;, &quot;Significantly Rural&quot; or &quot;Predominantely Urban&quot; please see the FRS geographical categories sheet." xr:uid="{F13EC7A3-5CDB-4696-8A18-C716FC2165C1}"/>
  </hyperlinks>
  <pageMargins left="0.7" right="0.7" top="0.75" bottom="0.75" header="0.3" footer="0.3"/>
  <pageSetup paperSize="9" orientation="portrait" r:id="rId3"/>
  <headerFooter>
    <oddHeader>&amp;C&amp;"Aptos"&amp;10&amp;K000000 OFFICIAL&amp;1#_x000D_</oddHeader>
    <oddFooter>&amp;C_x000D_&amp;1#&amp;"Aptos"&amp;10&amp;K000000 OFFICIAL</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1E9FC0-D67F-4D50-8682-B8945085FBEB}">
  <dimension ref="A1:I3873"/>
  <sheetViews>
    <sheetView zoomScaleNormal="100" workbookViewId="0"/>
  </sheetViews>
  <sheetFormatPr defaultColWidth="8.81640625" defaultRowHeight="14.5" customHeight="1" x14ac:dyDescent="0.35"/>
  <cols>
    <col min="1" max="1" width="15.453125" style="223" bestFit="1" customWidth="1"/>
    <col min="2" max="2" width="25.1796875" style="223" bestFit="1" customWidth="1"/>
    <col min="3" max="3" width="20.54296875" style="223" bestFit="1" customWidth="1"/>
    <col min="4" max="4" width="24.81640625" style="223" customWidth="1"/>
    <col min="5" max="5" width="23.54296875" style="223" customWidth="1"/>
    <col min="6" max="6" width="63" style="223" bestFit="1" customWidth="1"/>
    <col min="7" max="7" width="18.81640625" style="223" bestFit="1" customWidth="1"/>
    <col min="8" max="8" width="16.81640625" style="223" bestFit="1" customWidth="1"/>
    <col min="9" max="16384" width="8.81640625" style="223"/>
  </cols>
  <sheetData>
    <row r="1" spans="1:9" ht="14.5" customHeight="1" x14ac:dyDescent="0.35">
      <c r="A1" s="223" t="s">
        <v>0</v>
      </c>
      <c r="B1" s="223" t="s">
        <v>1</v>
      </c>
      <c r="C1" s="223" t="s">
        <v>84</v>
      </c>
      <c r="D1" s="223" t="s">
        <v>6</v>
      </c>
      <c r="E1" s="223" t="s">
        <v>2</v>
      </c>
      <c r="F1" s="223" t="s">
        <v>85</v>
      </c>
      <c r="G1" s="223" t="s">
        <v>3</v>
      </c>
      <c r="H1" s="223" t="s">
        <v>4</v>
      </c>
      <c r="I1" s="223" t="s">
        <v>5</v>
      </c>
    </row>
    <row r="2" spans="1:9" ht="15.5" x14ac:dyDescent="0.35">
      <c r="A2" s="224" t="s">
        <v>7</v>
      </c>
      <c r="B2" s="224" t="s">
        <v>8</v>
      </c>
      <c r="C2" s="224" t="s">
        <v>86</v>
      </c>
      <c r="D2" s="224" t="s">
        <v>9</v>
      </c>
      <c r="E2" s="224" t="s">
        <v>256</v>
      </c>
      <c r="F2" s="224" t="s">
        <v>248</v>
      </c>
      <c r="G2" s="223" t="str">
        <f>VLOOKUP($B2,'FRS geographical categories'!$A$2:$C$45,2,FALSE)</f>
        <v>Predominantly Urban</v>
      </c>
      <c r="H2" s="223" t="str">
        <f>VLOOKUP($B2,'FRS geographical categories'!$A$2:$C$45,3,FALSE)</f>
        <v>Non-metropolitan</v>
      </c>
      <c r="I2" s="224">
        <v>517</v>
      </c>
    </row>
    <row r="3" spans="1:9" ht="15.5" x14ac:dyDescent="0.35">
      <c r="A3" s="224" t="s">
        <v>7</v>
      </c>
      <c r="B3" s="224" t="s">
        <v>8</v>
      </c>
      <c r="C3" s="224" t="s">
        <v>86</v>
      </c>
      <c r="D3" s="224" t="s">
        <v>9</v>
      </c>
      <c r="E3" s="224" t="s">
        <v>256</v>
      </c>
      <c r="F3" s="224" t="s">
        <v>249</v>
      </c>
      <c r="G3" s="223" t="str">
        <f>VLOOKUP($B3,'FRS geographical categories'!$A$2:$C$45,2,FALSE)</f>
        <v>Predominantly Urban</v>
      </c>
      <c r="H3" s="223" t="str">
        <f>VLOOKUP($B3,'FRS geographical categories'!$A$2:$C$45,3,FALSE)</f>
        <v>Non-metropolitan</v>
      </c>
      <c r="I3" s="224">
        <v>2360</v>
      </c>
    </row>
    <row r="4" spans="1:9" ht="15.5" x14ac:dyDescent="0.35">
      <c r="A4" s="224" t="s">
        <v>7</v>
      </c>
      <c r="B4" s="224" t="s">
        <v>8</v>
      </c>
      <c r="C4" s="224" t="s">
        <v>86</v>
      </c>
      <c r="D4" s="224" t="s">
        <v>9</v>
      </c>
      <c r="E4" s="224" t="s">
        <v>256</v>
      </c>
      <c r="F4" s="224" t="s">
        <v>250</v>
      </c>
      <c r="G4" s="223" t="str">
        <f>VLOOKUP($B4,'FRS geographical categories'!$A$2:$C$45,2,FALSE)</f>
        <v>Predominantly Urban</v>
      </c>
      <c r="H4" s="223" t="str">
        <f>VLOOKUP($B4,'FRS geographical categories'!$A$2:$C$45,3,FALSE)</f>
        <v>Non-metropolitan</v>
      </c>
      <c r="I4" s="224">
        <v>2208</v>
      </c>
    </row>
    <row r="5" spans="1:9" ht="15.5" x14ac:dyDescent="0.35">
      <c r="A5" s="224" t="s">
        <v>7</v>
      </c>
      <c r="B5" s="224" t="s">
        <v>8</v>
      </c>
      <c r="C5" s="224" t="s">
        <v>86</v>
      </c>
      <c r="D5" s="224" t="s">
        <v>9</v>
      </c>
      <c r="E5" s="224" t="s">
        <v>256</v>
      </c>
      <c r="F5" s="224" t="s">
        <v>10</v>
      </c>
      <c r="G5" s="223" t="str">
        <f>VLOOKUP($B5,'FRS geographical categories'!$A$2:$C$45,2,FALSE)</f>
        <v>Predominantly Urban</v>
      </c>
      <c r="H5" s="223" t="str">
        <f>VLOOKUP($B5,'FRS geographical categories'!$A$2:$C$45,3,FALSE)</f>
        <v>Non-metropolitan</v>
      </c>
      <c r="I5" s="224">
        <v>7741</v>
      </c>
    </row>
    <row r="6" spans="1:9" ht="15.5" x14ac:dyDescent="0.35">
      <c r="A6" s="224" t="s">
        <v>7</v>
      </c>
      <c r="B6" s="224" t="s">
        <v>8</v>
      </c>
      <c r="C6" s="224" t="s">
        <v>89</v>
      </c>
      <c r="D6" s="224" t="s">
        <v>9</v>
      </c>
      <c r="E6" s="224" t="s">
        <v>256</v>
      </c>
      <c r="F6" s="224" t="s">
        <v>248</v>
      </c>
      <c r="G6" s="223" t="str">
        <f>VLOOKUP($B6,'FRS geographical categories'!$A$2:$C$45,2,FALSE)</f>
        <v>Predominantly Urban</v>
      </c>
      <c r="H6" s="223" t="str">
        <f>VLOOKUP($B6,'FRS geographical categories'!$A$2:$C$45,3,FALSE)</f>
        <v>Non-metropolitan</v>
      </c>
      <c r="I6" s="224">
        <v>49</v>
      </c>
    </row>
    <row r="7" spans="1:9" ht="15.5" x14ac:dyDescent="0.35">
      <c r="A7" s="224" t="s">
        <v>7</v>
      </c>
      <c r="B7" s="224" t="s">
        <v>8</v>
      </c>
      <c r="C7" s="224" t="s">
        <v>89</v>
      </c>
      <c r="D7" s="224" t="s">
        <v>9</v>
      </c>
      <c r="E7" s="224" t="s">
        <v>256</v>
      </c>
      <c r="F7" s="224" t="s">
        <v>249</v>
      </c>
      <c r="G7" s="223" t="str">
        <f>VLOOKUP($B7,'FRS geographical categories'!$A$2:$C$45,2,FALSE)</f>
        <v>Predominantly Urban</v>
      </c>
      <c r="H7" s="223" t="str">
        <f>VLOOKUP($B7,'FRS geographical categories'!$A$2:$C$45,3,FALSE)</f>
        <v>Non-metropolitan</v>
      </c>
      <c r="I7" s="224">
        <v>46</v>
      </c>
    </row>
    <row r="8" spans="1:9" ht="15.5" x14ac:dyDescent="0.35">
      <c r="A8" s="224" t="s">
        <v>7</v>
      </c>
      <c r="B8" s="224" t="s">
        <v>8</v>
      </c>
      <c r="C8" s="224" t="s">
        <v>89</v>
      </c>
      <c r="D8" s="224" t="s">
        <v>9</v>
      </c>
      <c r="E8" s="224" t="s">
        <v>256</v>
      </c>
      <c r="F8" s="224" t="s">
        <v>250</v>
      </c>
      <c r="G8" s="223" t="str">
        <f>VLOOKUP($B8,'FRS geographical categories'!$A$2:$C$45,2,FALSE)</f>
        <v>Predominantly Urban</v>
      </c>
      <c r="H8" s="223" t="str">
        <f>VLOOKUP($B8,'FRS geographical categories'!$A$2:$C$45,3,FALSE)</f>
        <v>Non-metropolitan</v>
      </c>
      <c r="I8" s="224">
        <v>31</v>
      </c>
    </row>
    <row r="9" spans="1:9" ht="15.5" x14ac:dyDescent="0.35">
      <c r="A9" s="224" t="s">
        <v>7</v>
      </c>
      <c r="B9" s="224" t="s">
        <v>8</v>
      </c>
      <c r="C9" s="224" t="s">
        <v>89</v>
      </c>
      <c r="D9" s="224" t="s">
        <v>9</v>
      </c>
      <c r="E9" s="224" t="s">
        <v>256</v>
      </c>
      <c r="F9" s="224" t="s">
        <v>10</v>
      </c>
      <c r="G9" s="223" t="str">
        <f>VLOOKUP($B9,'FRS geographical categories'!$A$2:$C$45,2,FALSE)</f>
        <v>Predominantly Urban</v>
      </c>
      <c r="H9" s="223" t="str">
        <f>VLOOKUP($B9,'FRS geographical categories'!$A$2:$C$45,3,FALSE)</f>
        <v>Non-metropolitan</v>
      </c>
      <c r="I9" s="224">
        <v>239</v>
      </c>
    </row>
    <row r="10" spans="1:9" ht="15.5" x14ac:dyDescent="0.35">
      <c r="A10" s="224" t="s">
        <v>7</v>
      </c>
      <c r="B10" s="224" t="s">
        <v>11</v>
      </c>
      <c r="C10" s="224" t="s">
        <v>86</v>
      </c>
      <c r="D10" s="224" t="s">
        <v>9</v>
      </c>
      <c r="E10" s="224" t="s">
        <v>256</v>
      </c>
      <c r="F10" s="224" t="s">
        <v>248</v>
      </c>
      <c r="G10" s="223" t="str">
        <f>VLOOKUP($B10,'FRS geographical categories'!$A$2:$C$45,2,FALSE)</f>
        <v>Significantly Rural</v>
      </c>
      <c r="H10" s="223" t="str">
        <f>VLOOKUP($B10,'FRS geographical categories'!$A$2:$C$45,3,FALSE)</f>
        <v>Non-metropolitan</v>
      </c>
      <c r="I10" s="224">
        <v>94</v>
      </c>
    </row>
    <row r="11" spans="1:9" ht="15.5" x14ac:dyDescent="0.35">
      <c r="A11" s="224" t="s">
        <v>7</v>
      </c>
      <c r="B11" s="224" t="s">
        <v>11</v>
      </c>
      <c r="C11" s="224" t="s">
        <v>86</v>
      </c>
      <c r="D11" s="224" t="s">
        <v>9</v>
      </c>
      <c r="E11" s="224" t="s">
        <v>256</v>
      </c>
      <c r="F11" s="224" t="s">
        <v>249</v>
      </c>
      <c r="G11" s="223" t="str">
        <f>VLOOKUP($B11,'FRS geographical categories'!$A$2:$C$45,2,FALSE)</f>
        <v>Significantly Rural</v>
      </c>
      <c r="H11" s="223" t="str">
        <f>VLOOKUP($B11,'FRS geographical categories'!$A$2:$C$45,3,FALSE)</f>
        <v>Non-metropolitan</v>
      </c>
      <c r="I11" s="224">
        <v>360</v>
      </c>
    </row>
    <row r="12" spans="1:9" ht="15.5" x14ac:dyDescent="0.35">
      <c r="A12" s="224" t="s">
        <v>7</v>
      </c>
      <c r="B12" s="224" t="s">
        <v>11</v>
      </c>
      <c r="C12" s="224" t="s">
        <v>86</v>
      </c>
      <c r="D12" s="224" t="s">
        <v>9</v>
      </c>
      <c r="E12" s="224" t="s">
        <v>256</v>
      </c>
      <c r="F12" s="224" t="s">
        <v>250</v>
      </c>
      <c r="G12" s="223" t="str">
        <f>VLOOKUP($B12,'FRS geographical categories'!$A$2:$C$45,2,FALSE)</f>
        <v>Significantly Rural</v>
      </c>
      <c r="H12" s="223" t="str">
        <f>VLOOKUP($B12,'FRS geographical categories'!$A$2:$C$45,3,FALSE)</f>
        <v>Non-metropolitan</v>
      </c>
      <c r="I12" s="224">
        <v>1973</v>
      </c>
    </row>
    <row r="13" spans="1:9" ht="15.5" x14ac:dyDescent="0.35">
      <c r="A13" s="224" t="s">
        <v>7</v>
      </c>
      <c r="B13" s="224" t="s">
        <v>11</v>
      </c>
      <c r="C13" s="224" t="s">
        <v>86</v>
      </c>
      <c r="D13" s="224" t="s">
        <v>9</v>
      </c>
      <c r="E13" s="224" t="s">
        <v>256</v>
      </c>
      <c r="F13" s="224" t="s">
        <v>10</v>
      </c>
      <c r="G13" s="223" t="str">
        <f>VLOOKUP($B13,'FRS geographical categories'!$A$2:$C$45,2,FALSE)</f>
        <v>Significantly Rural</v>
      </c>
      <c r="H13" s="223" t="str">
        <f>VLOOKUP($B13,'FRS geographical categories'!$A$2:$C$45,3,FALSE)</f>
        <v>Non-metropolitan</v>
      </c>
      <c r="I13" s="224">
        <v>5028</v>
      </c>
    </row>
    <row r="14" spans="1:9" ht="15.5" x14ac:dyDescent="0.35">
      <c r="A14" s="224" t="s">
        <v>7</v>
      </c>
      <c r="B14" s="224" t="s">
        <v>11</v>
      </c>
      <c r="C14" s="224" t="s">
        <v>89</v>
      </c>
      <c r="D14" s="224" t="s">
        <v>9</v>
      </c>
      <c r="E14" s="224" t="s">
        <v>256</v>
      </c>
      <c r="F14" s="224" t="s">
        <v>248</v>
      </c>
      <c r="G14" s="223" t="str">
        <f>VLOOKUP($B14,'FRS geographical categories'!$A$2:$C$45,2,FALSE)</f>
        <v>Significantly Rural</v>
      </c>
      <c r="H14" s="223" t="str">
        <f>VLOOKUP($B14,'FRS geographical categories'!$A$2:$C$45,3,FALSE)</f>
        <v>Non-metropolitan</v>
      </c>
      <c r="I14" s="224">
        <v>0</v>
      </c>
    </row>
    <row r="15" spans="1:9" ht="15.5" x14ac:dyDescent="0.35">
      <c r="A15" s="224" t="s">
        <v>7</v>
      </c>
      <c r="B15" s="224" t="s">
        <v>11</v>
      </c>
      <c r="C15" s="224" t="s">
        <v>89</v>
      </c>
      <c r="D15" s="224" t="s">
        <v>9</v>
      </c>
      <c r="E15" s="224" t="s">
        <v>256</v>
      </c>
      <c r="F15" s="224" t="s">
        <v>249</v>
      </c>
      <c r="G15" s="223" t="str">
        <f>VLOOKUP($B15,'FRS geographical categories'!$A$2:$C$45,2,FALSE)</f>
        <v>Significantly Rural</v>
      </c>
      <c r="H15" s="223" t="str">
        <f>VLOOKUP($B15,'FRS geographical categories'!$A$2:$C$45,3,FALSE)</f>
        <v>Non-metropolitan</v>
      </c>
      <c r="I15" s="224">
        <v>0</v>
      </c>
    </row>
    <row r="16" spans="1:9" ht="15.5" x14ac:dyDescent="0.35">
      <c r="A16" s="224" t="s">
        <v>7</v>
      </c>
      <c r="B16" s="224" t="s">
        <v>11</v>
      </c>
      <c r="C16" s="224" t="s">
        <v>89</v>
      </c>
      <c r="D16" s="224" t="s">
        <v>9</v>
      </c>
      <c r="E16" s="224" t="s">
        <v>256</v>
      </c>
      <c r="F16" s="224" t="s">
        <v>250</v>
      </c>
      <c r="G16" s="223" t="str">
        <f>VLOOKUP($B16,'FRS geographical categories'!$A$2:$C$45,2,FALSE)</f>
        <v>Significantly Rural</v>
      </c>
      <c r="H16" s="223" t="str">
        <f>VLOOKUP($B16,'FRS geographical categories'!$A$2:$C$45,3,FALSE)</f>
        <v>Non-metropolitan</v>
      </c>
      <c r="I16" s="224">
        <v>484</v>
      </c>
    </row>
    <row r="17" spans="1:9" ht="15.5" x14ac:dyDescent="0.35">
      <c r="A17" s="224" t="s">
        <v>7</v>
      </c>
      <c r="B17" s="224" t="s">
        <v>11</v>
      </c>
      <c r="C17" s="224" t="s">
        <v>89</v>
      </c>
      <c r="D17" s="224" t="s">
        <v>9</v>
      </c>
      <c r="E17" s="224" t="s">
        <v>256</v>
      </c>
      <c r="F17" s="224" t="s">
        <v>10</v>
      </c>
      <c r="G17" s="223" t="str">
        <f>VLOOKUP($B17,'FRS geographical categories'!$A$2:$C$45,2,FALSE)</f>
        <v>Significantly Rural</v>
      </c>
      <c r="H17" s="223" t="str">
        <f>VLOOKUP($B17,'FRS geographical categories'!$A$2:$C$45,3,FALSE)</f>
        <v>Non-metropolitan</v>
      </c>
      <c r="I17" s="224">
        <v>563</v>
      </c>
    </row>
    <row r="18" spans="1:9" ht="15.5" x14ac:dyDescent="0.35">
      <c r="A18" s="224" t="s">
        <v>7</v>
      </c>
      <c r="B18" s="224" t="s">
        <v>12</v>
      </c>
      <c r="C18" s="224" t="s">
        <v>86</v>
      </c>
      <c r="D18" s="224" t="s">
        <v>9</v>
      </c>
      <c r="E18" s="224" t="s">
        <v>256</v>
      </c>
      <c r="F18" s="224" t="s">
        <v>248</v>
      </c>
      <c r="G18" s="223" t="str">
        <f>VLOOKUP($B18,'FRS geographical categories'!$A$2:$C$45,2,FALSE)</f>
        <v>Predominantly Urban</v>
      </c>
      <c r="H18" s="223" t="str">
        <f>VLOOKUP($B18,'FRS geographical categories'!$A$2:$C$45,3,FALSE)</f>
        <v>Non-metropolitan</v>
      </c>
      <c r="I18" s="224">
        <v>238</v>
      </c>
    </row>
    <row r="19" spans="1:9" ht="15.5" x14ac:dyDescent="0.35">
      <c r="A19" s="224" t="s">
        <v>7</v>
      </c>
      <c r="B19" s="224" t="s">
        <v>12</v>
      </c>
      <c r="C19" s="224" t="s">
        <v>86</v>
      </c>
      <c r="D19" s="224" t="s">
        <v>9</v>
      </c>
      <c r="E19" s="224" t="s">
        <v>256</v>
      </c>
      <c r="F19" s="224" t="s">
        <v>249</v>
      </c>
      <c r="G19" s="223" t="str">
        <f>VLOOKUP($B19,'FRS geographical categories'!$A$2:$C$45,2,FALSE)</f>
        <v>Predominantly Urban</v>
      </c>
      <c r="H19" s="223" t="str">
        <f>VLOOKUP($B19,'FRS geographical categories'!$A$2:$C$45,3,FALSE)</f>
        <v>Non-metropolitan</v>
      </c>
      <c r="I19" s="224">
        <v>1582</v>
      </c>
    </row>
    <row r="20" spans="1:9" ht="15.5" x14ac:dyDescent="0.35">
      <c r="A20" s="224" t="s">
        <v>7</v>
      </c>
      <c r="B20" s="224" t="s">
        <v>12</v>
      </c>
      <c r="C20" s="224" t="s">
        <v>86</v>
      </c>
      <c r="D20" s="224" t="s">
        <v>9</v>
      </c>
      <c r="E20" s="224" t="s">
        <v>256</v>
      </c>
      <c r="F20" s="224" t="s">
        <v>250</v>
      </c>
      <c r="G20" s="223" t="str">
        <f>VLOOKUP($B20,'FRS geographical categories'!$A$2:$C$45,2,FALSE)</f>
        <v>Predominantly Urban</v>
      </c>
      <c r="H20" s="223" t="str">
        <f>VLOOKUP($B20,'FRS geographical categories'!$A$2:$C$45,3,FALSE)</f>
        <v>Non-metropolitan</v>
      </c>
      <c r="I20" s="224">
        <v>7135</v>
      </c>
    </row>
    <row r="21" spans="1:9" ht="15.5" x14ac:dyDescent="0.35">
      <c r="A21" s="224" t="s">
        <v>7</v>
      </c>
      <c r="B21" s="224" t="s">
        <v>12</v>
      </c>
      <c r="C21" s="224" t="s">
        <v>86</v>
      </c>
      <c r="D21" s="224" t="s">
        <v>9</v>
      </c>
      <c r="E21" s="224" t="s">
        <v>256</v>
      </c>
      <c r="F21" s="224" t="s">
        <v>10</v>
      </c>
      <c r="G21" s="223" t="str">
        <f>VLOOKUP($B21,'FRS geographical categories'!$A$2:$C$45,2,FALSE)</f>
        <v>Predominantly Urban</v>
      </c>
      <c r="H21" s="223" t="str">
        <f>VLOOKUP($B21,'FRS geographical categories'!$A$2:$C$45,3,FALSE)</f>
        <v>Non-metropolitan</v>
      </c>
      <c r="I21" s="224">
        <v>11315</v>
      </c>
    </row>
    <row r="22" spans="1:9" ht="15.5" x14ac:dyDescent="0.35">
      <c r="A22" s="224" t="s">
        <v>7</v>
      </c>
      <c r="B22" s="224" t="s">
        <v>12</v>
      </c>
      <c r="C22" s="224" t="s">
        <v>89</v>
      </c>
      <c r="D22" s="224" t="s">
        <v>9</v>
      </c>
      <c r="E22" s="224" t="s">
        <v>256</v>
      </c>
      <c r="F22" s="224" t="s">
        <v>248</v>
      </c>
      <c r="G22" s="223" t="str">
        <f>VLOOKUP($B22,'FRS geographical categories'!$A$2:$C$45,2,FALSE)</f>
        <v>Predominantly Urban</v>
      </c>
      <c r="H22" s="223" t="str">
        <f>VLOOKUP($B22,'FRS geographical categories'!$A$2:$C$45,3,FALSE)</f>
        <v>Non-metropolitan</v>
      </c>
      <c r="I22" s="224">
        <v>0</v>
      </c>
    </row>
    <row r="23" spans="1:9" ht="15.5" x14ac:dyDescent="0.35">
      <c r="A23" s="224" t="s">
        <v>7</v>
      </c>
      <c r="B23" s="224" t="s">
        <v>12</v>
      </c>
      <c r="C23" s="224" t="s">
        <v>89</v>
      </c>
      <c r="D23" s="224" t="s">
        <v>9</v>
      </c>
      <c r="E23" s="224" t="s">
        <v>256</v>
      </c>
      <c r="F23" s="224" t="s">
        <v>249</v>
      </c>
      <c r="G23" s="223" t="str">
        <f>VLOOKUP($B23,'FRS geographical categories'!$A$2:$C$45,2,FALSE)</f>
        <v>Predominantly Urban</v>
      </c>
      <c r="H23" s="223" t="str">
        <f>VLOOKUP($B23,'FRS geographical categories'!$A$2:$C$45,3,FALSE)</f>
        <v>Non-metropolitan</v>
      </c>
      <c r="I23" s="224">
        <v>0</v>
      </c>
    </row>
    <row r="24" spans="1:9" ht="15.5" x14ac:dyDescent="0.35">
      <c r="A24" s="224" t="s">
        <v>7</v>
      </c>
      <c r="B24" s="224" t="s">
        <v>12</v>
      </c>
      <c r="C24" s="224" t="s">
        <v>89</v>
      </c>
      <c r="D24" s="224" t="s">
        <v>9</v>
      </c>
      <c r="E24" s="224" t="s">
        <v>256</v>
      </c>
      <c r="F24" s="224" t="s">
        <v>250</v>
      </c>
      <c r="G24" s="223" t="str">
        <f>VLOOKUP($B24,'FRS geographical categories'!$A$2:$C$45,2,FALSE)</f>
        <v>Predominantly Urban</v>
      </c>
      <c r="H24" s="223" t="str">
        <f>VLOOKUP($B24,'FRS geographical categories'!$A$2:$C$45,3,FALSE)</f>
        <v>Non-metropolitan</v>
      </c>
      <c r="I24" s="224">
        <v>0</v>
      </c>
    </row>
    <row r="25" spans="1:9" ht="15.5" x14ac:dyDescent="0.35">
      <c r="A25" s="224" t="s">
        <v>7</v>
      </c>
      <c r="B25" s="224" t="s">
        <v>12</v>
      </c>
      <c r="C25" s="224" t="s">
        <v>89</v>
      </c>
      <c r="D25" s="224" t="s">
        <v>9</v>
      </c>
      <c r="E25" s="224" t="s">
        <v>256</v>
      </c>
      <c r="F25" s="224" t="s">
        <v>10</v>
      </c>
      <c r="G25" s="223" t="str">
        <f>VLOOKUP($B25,'FRS geographical categories'!$A$2:$C$45,2,FALSE)</f>
        <v>Predominantly Urban</v>
      </c>
      <c r="H25" s="223" t="str">
        <f>VLOOKUP($B25,'FRS geographical categories'!$A$2:$C$45,3,FALSE)</f>
        <v>Non-metropolitan</v>
      </c>
      <c r="I25" s="224">
        <v>0</v>
      </c>
    </row>
    <row r="26" spans="1:9" ht="15.5" x14ac:dyDescent="0.35">
      <c r="A26" s="224" t="s">
        <v>7</v>
      </c>
      <c r="B26" s="224" t="s">
        <v>13</v>
      </c>
      <c r="C26" s="224" t="s">
        <v>86</v>
      </c>
      <c r="D26" s="224" t="s">
        <v>9</v>
      </c>
      <c r="E26" s="224" t="s">
        <v>256</v>
      </c>
      <c r="F26" s="224" t="s">
        <v>248</v>
      </c>
      <c r="G26" s="223" t="str">
        <f>VLOOKUP($B26,'FRS geographical categories'!$A$2:$C$45,2,FALSE)</f>
        <v>Significantly Rural</v>
      </c>
      <c r="H26" s="223" t="str">
        <f>VLOOKUP($B26,'FRS geographical categories'!$A$2:$C$45,3,FALSE)</f>
        <v>Non-metropolitan</v>
      </c>
      <c r="I26" s="224">
        <v>325</v>
      </c>
    </row>
    <row r="27" spans="1:9" ht="15.5" x14ac:dyDescent="0.35">
      <c r="A27" s="224" t="s">
        <v>7</v>
      </c>
      <c r="B27" s="224" t="s">
        <v>13</v>
      </c>
      <c r="C27" s="224" t="s">
        <v>86</v>
      </c>
      <c r="D27" s="224" t="s">
        <v>9</v>
      </c>
      <c r="E27" s="224" t="s">
        <v>256</v>
      </c>
      <c r="F27" s="224" t="s">
        <v>249</v>
      </c>
      <c r="G27" s="223" t="str">
        <f>VLOOKUP($B27,'FRS geographical categories'!$A$2:$C$45,2,FALSE)</f>
        <v>Significantly Rural</v>
      </c>
      <c r="H27" s="223" t="str">
        <f>VLOOKUP($B27,'FRS geographical categories'!$A$2:$C$45,3,FALSE)</f>
        <v>Non-metropolitan</v>
      </c>
      <c r="I27" s="224">
        <v>175</v>
      </c>
    </row>
    <row r="28" spans="1:9" ht="15.5" x14ac:dyDescent="0.35">
      <c r="A28" s="224" t="s">
        <v>7</v>
      </c>
      <c r="B28" s="224" t="s">
        <v>13</v>
      </c>
      <c r="C28" s="224" t="s">
        <v>86</v>
      </c>
      <c r="D28" s="224" t="s">
        <v>9</v>
      </c>
      <c r="E28" s="224" t="s">
        <v>256</v>
      </c>
      <c r="F28" s="224" t="s">
        <v>250</v>
      </c>
      <c r="G28" s="223" t="str">
        <f>VLOOKUP($B28,'FRS geographical categories'!$A$2:$C$45,2,FALSE)</f>
        <v>Significantly Rural</v>
      </c>
      <c r="H28" s="223" t="str">
        <f>VLOOKUP($B28,'FRS geographical categories'!$A$2:$C$45,3,FALSE)</f>
        <v>Non-metropolitan</v>
      </c>
      <c r="I28" s="224">
        <v>513</v>
      </c>
    </row>
    <row r="29" spans="1:9" ht="15.5" x14ac:dyDescent="0.35">
      <c r="A29" s="224" t="s">
        <v>7</v>
      </c>
      <c r="B29" s="224" t="s">
        <v>13</v>
      </c>
      <c r="C29" s="224" t="s">
        <v>86</v>
      </c>
      <c r="D29" s="224" t="s">
        <v>9</v>
      </c>
      <c r="E29" s="224" t="s">
        <v>256</v>
      </c>
      <c r="F29" s="224" t="s">
        <v>10</v>
      </c>
      <c r="G29" s="223" t="str">
        <f>VLOOKUP($B29,'FRS geographical categories'!$A$2:$C$45,2,FALSE)</f>
        <v>Significantly Rural</v>
      </c>
      <c r="H29" s="223" t="str">
        <f>VLOOKUP($B29,'FRS geographical categories'!$A$2:$C$45,3,FALSE)</f>
        <v>Non-metropolitan</v>
      </c>
      <c r="I29" s="224">
        <v>1892</v>
      </c>
    </row>
    <row r="30" spans="1:9" ht="15.5" x14ac:dyDescent="0.35">
      <c r="A30" s="224" t="s">
        <v>7</v>
      </c>
      <c r="B30" s="224" t="s">
        <v>13</v>
      </c>
      <c r="C30" s="224" t="s">
        <v>89</v>
      </c>
      <c r="D30" s="224" t="s">
        <v>9</v>
      </c>
      <c r="E30" s="224" t="s">
        <v>256</v>
      </c>
      <c r="F30" s="224" t="s">
        <v>248</v>
      </c>
      <c r="G30" s="223" t="str">
        <f>VLOOKUP($B30,'FRS geographical categories'!$A$2:$C$45,2,FALSE)</f>
        <v>Significantly Rural</v>
      </c>
      <c r="H30" s="223" t="str">
        <f>VLOOKUP($B30,'FRS geographical categories'!$A$2:$C$45,3,FALSE)</f>
        <v>Non-metropolitan</v>
      </c>
      <c r="I30" s="224">
        <v>0</v>
      </c>
    </row>
    <row r="31" spans="1:9" ht="15.5" x14ac:dyDescent="0.35">
      <c r="A31" s="224" t="s">
        <v>7</v>
      </c>
      <c r="B31" s="224" t="s">
        <v>13</v>
      </c>
      <c r="C31" s="224" t="s">
        <v>89</v>
      </c>
      <c r="D31" s="224" t="s">
        <v>9</v>
      </c>
      <c r="E31" s="224" t="s">
        <v>256</v>
      </c>
      <c r="F31" s="224" t="s">
        <v>249</v>
      </c>
      <c r="G31" s="223" t="str">
        <f>VLOOKUP($B31,'FRS geographical categories'!$A$2:$C$45,2,FALSE)</f>
        <v>Significantly Rural</v>
      </c>
      <c r="H31" s="223" t="str">
        <f>VLOOKUP($B31,'FRS geographical categories'!$A$2:$C$45,3,FALSE)</f>
        <v>Non-metropolitan</v>
      </c>
      <c r="I31" s="224">
        <v>0</v>
      </c>
    </row>
    <row r="32" spans="1:9" ht="15.5" x14ac:dyDescent="0.35">
      <c r="A32" s="224" t="s">
        <v>7</v>
      </c>
      <c r="B32" s="224" t="s">
        <v>13</v>
      </c>
      <c r="C32" s="224" t="s">
        <v>89</v>
      </c>
      <c r="D32" s="224" t="s">
        <v>9</v>
      </c>
      <c r="E32" s="224" t="s">
        <v>256</v>
      </c>
      <c r="F32" s="224" t="s">
        <v>250</v>
      </c>
      <c r="G32" s="223" t="str">
        <f>VLOOKUP($B32,'FRS geographical categories'!$A$2:$C$45,2,FALSE)</f>
        <v>Significantly Rural</v>
      </c>
      <c r="H32" s="223" t="str">
        <f>VLOOKUP($B32,'FRS geographical categories'!$A$2:$C$45,3,FALSE)</f>
        <v>Non-metropolitan</v>
      </c>
      <c r="I32" s="224">
        <v>0</v>
      </c>
    </row>
    <row r="33" spans="1:9" ht="15.5" x14ac:dyDescent="0.35">
      <c r="A33" s="224" t="s">
        <v>7</v>
      </c>
      <c r="B33" s="224" t="s">
        <v>13</v>
      </c>
      <c r="C33" s="224" t="s">
        <v>89</v>
      </c>
      <c r="D33" s="224" t="s">
        <v>9</v>
      </c>
      <c r="E33" s="224" t="s">
        <v>256</v>
      </c>
      <c r="F33" s="224" t="s">
        <v>10</v>
      </c>
      <c r="G33" s="223" t="str">
        <f>VLOOKUP($B33,'FRS geographical categories'!$A$2:$C$45,2,FALSE)</f>
        <v>Significantly Rural</v>
      </c>
      <c r="H33" s="223" t="str">
        <f>VLOOKUP($B33,'FRS geographical categories'!$A$2:$C$45,3,FALSE)</f>
        <v>Non-metropolitan</v>
      </c>
      <c r="I33" s="224">
        <v>0</v>
      </c>
    </row>
    <row r="34" spans="1:9" ht="15.5" x14ac:dyDescent="0.35">
      <c r="A34" s="224" t="s">
        <v>7</v>
      </c>
      <c r="B34" s="224" t="s">
        <v>14</v>
      </c>
      <c r="C34" s="224" t="s">
        <v>86</v>
      </c>
      <c r="D34" s="224" t="s">
        <v>9</v>
      </c>
      <c r="E34" s="224" t="s">
        <v>256</v>
      </c>
      <c r="F34" s="224" t="s">
        <v>248</v>
      </c>
      <c r="G34" s="223" t="str">
        <f>VLOOKUP($B34,'FRS geographical categories'!$A$2:$C$45,2,FALSE)</f>
        <v>Predominantly Rural</v>
      </c>
      <c r="H34" s="223" t="str">
        <f>VLOOKUP($B34,'FRS geographical categories'!$A$2:$C$45,3,FALSE)</f>
        <v>Non-metropolitan</v>
      </c>
      <c r="I34" s="224">
        <v>289</v>
      </c>
    </row>
    <row r="35" spans="1:9" ht="15.5" x14ac:dyDescent="0.35">
      <c r="A35" s="224" t="s">
        <v>7</v>
      </c>
      <c r="B35" s="224" t="s">
        <v>14</v>
      </c>
      <c r="C35" s="224" t="s">
        <v>86</v>
      </c>
      <c r="D35" s="224" t="s">
        <v>9</v>
      </c>
      <c r="E35" s="224" t="s">
        <v>256</v>
      </c>
      <c r="F35" s="224" t="s">
        <v>249</v>
      </c>
      <c r="G35" s="223" t="str">
        <f>VLOOKUP($B35,'FRS geographical categories'!$A$2:$C$45,2,FALSE)</f>
        <v>Predominantly Rural</v>
      </c>
      <c r="H35" s="223" t="str">
        <f>VLOOKUP($B35,'FRS geographical categories'!$A$2:$C$45,3,FALSE)</f>
        <v>Non-metropolitan</v>
      </c>
      <c r="I35" s="224">
        <v>1928</v>
      </c>
    </row>
    <row r="36" spans="1:9" ht="15.5" x14ac:dyDescent="0.35">
      <c r="A36" s="224" t="s">
        <v>7</v>
      </c>
      <c r="B36" s="224" t="s">
        <v>14</v>
      </c>
      <c r="C36" s="224" t="s">
        <v>86</v>
      </c>
      <c r="D36" s="224" t="s">
        <v>9</v>
      </c>
      <c r="E36" s="224" t="s">
        <v>256</v>
      </c>
      <c r="F36" s="224" t="s">
        <v>250</v>
      </c>
      <c r="G36" s="223" t="str">
        <f>VLOOKUP($B36,'FRS geographical categories'!$A$2:$C$45,2,FALSE)</f>
        <v>Predominantly Rural</v>
      </c>
      <c r="H36" s="223" t="str">
        <f>VLOOKUP($B36,'FRS geographical categories'!$A$2:$C$45,3,FALSE)</f>
        <v>Non-metropolitan</v>
      </c>
      <c r="I36" s="224">
        <v>2189</v>
      </c>
    </row>
    <row r="37" spans="1:9" ht="15.5" x14ac:dyDescent="0.35">
      <c r="A37" s="224" t="s">
        <v>7</v>
      </c>
      <c r="B37" s="224" t="s">
        <v>14</v>
      </c>
      <c r="C37" s="224" t="s">
        <v>86</v>
      </c>
      <c r="D37" s="224" t="s">
        <v>9</v>
      </c>
      <c r="E37" s="224" t="s">
        <v>256</v>
      </c>
      <c r="F37" s="224" t="s">
        <v>10</v>
      </c>
      <c r="G37" s="223" t="str">
        <f>VLOOKUP($B37,'FRS geographical categories'!$A$2:$C$45,2,FALSE)</f>
        <v>Predominantly Rural</v>
      </c>
      <c r="H37" s="223" t="str">
        <f>VLOOKUP($B37,'FRS geographical categories'!$A$2:$C$45,3,FALSE)</f>
        <v>Non-metropolitan</v>
      </c>
      <c r="I37" s="224">
        <v>4821</v>
      </c>
    </row>
    <row r="38" spans="1:9" ht="15.5" x14ac:dyDescent="0.35">
      <c r="A38" s="224" t="s">
        <v>7</v>
      </c>
      <c r="B38" s="224" t="s">
        <v>14</v>
      </c>
      <c r="C38" s="224" t="s">
        <v>89</v>
      </c>
      <c r="D38" s="224" t="s">
        <v>9</v>
      </c>
      <c r="E38" s="224" t="s">
        <v>256</v>
      </c>
      <c r="F38" s="224" t="s">
        <v>248</v>
      </c>
      <c r="G38" s="223" t="str">
        <f>VLOOKUP($B38,'FRS geographical categories'!$A$2:$C$45,2,FALSE)</f>
        <v>Predominantly Rural</v>
      </c>
      <c r="H38" s="223" t="str">
        <f>VLOOKUP($B38,'FRS geographical categories'!$A$2:$C$45,3,FALSE)</f>
        <v>Non-metropolitan</v>
      </c>
      <c r="I38" s="224">
        <v>31</v>
      </c>
    </row>
    <row r="39" spans="1:9" ht="15.5" x14ac:dyDescent="0.35">
      <c r="A39" s="224" t="s">
        <v>7</v>
      </c>
      <c r="B39" s="224" t="s">
        <v>14</v>
      </c>
      <c r="C39" s="224" t="s">
        <v>89</v>
      </c>
      <c r="D39" s="224" t="s">
        <v>9</v>
      </c>
      <c r="E39" s="224" t="s">
        <v>256</v>
      </c>
      <c r="F39" s="224" t="s">
        <v>249</v>
      </c>
      <c r="G39" s="223" t="str">
        <f>VLOOKUP($B39,'FRS geographical categories'!$A$2:$C$45,2,FALSE)</f>
        <v>Predominantly Rural</v>
      </c>
      <c r="H39" s="223" t="str">
        <f>VLOOKUP($B39,'FRS geographical categories'!$A$2:$C$45,3,FALSE)</f>
        <v>Non-metropolitan</v>
      </c>
      <c r="I39" s="224">
        <v>125</v>
      </c>
    </row>
    <row r="40" spans="1:9" ht="15.5" x14ac:dyDescent="0.35">
      <c r="A40" s="224" t="s">
        <v>7</v>
      </c>
      <c r="B40" s="224" t="s">
        <v>14</v>
      </c>
      <c r="C40" s="224" t="s">
        <v>89</v>
      </c>
      <c r="D40" s="224" t="s">
        <v>9</v>
      </c>
      <c r="E40" s="224" t="s">
        <v>256</v>
      </c>
      <c r="F40" s="224" t="s">
        <v>250</v>
      </c>
      <c r="G40" s="223" t="str">
        <f>VLOOKUP($B40,'FRS geographical categories'!$A$2:$C$45,2,FALSE)</f>
        <v>Predominantly Rural</v>
      </c>
      <c r="H40" s="223" t="str">
        <f>VLOOKUP($B40,'FRS geographical categories'!$A$2:$C$45,3,FALSE)</f>
        <v>Non-metropolitan</v>
      </c>
      <c r="I40" s="224">
        <v>303</v>
      </c>
    </row>
    <row r="41" spans="1:9" ht="15.5" x14ac:dyDescent="0.35">
      <c r="A41" s="224" t="s">
        <v>7</v>
      </c>
      <c r="B41" s="224" t="s">
        <v>14</v>
      </c>
      <c r="C41" s="224" t="s">
        <v>89</v>
      </c>
      <c r="D41" s="224" t="s">
        <v>9</v>
      </c>
      <c r="E41" s="224" t="s">
        <v>256</v>
      </c>
      <c r="F41" s="224" t="s">
        <v>10</v>
      </c>
      <c r="G41" s="223" t="str">
        <f>VLOOKUP($B41,'FRS geographical categories'!$A$2:$C$45,2,FALSE)</f>
        <v>Predominantly Rural</v>
      </c>
      <c r="H41" s="223" t="str">
        <f>VLOOKUP($B41,'FRS geographical categories'!$A$2:$C$45,3,FALSE)</f>
        <v>Non-metropolitan</v>
      </c>
      <c r="I41" s="224">
        <v>635</v>
      </c>
    </row>
    <row r="42" spans="1:9" ht="15.5" x14ac:dyDescent="0.35">
      <c r="A42" s="224" t="s">
        <v>7</v>
      </c>
      <c r="B42" s="224" t="s">
        <v>15</v>
      </c>
      <c r="C42" s="224" t="s">
        <v>86</v>
      </c>
      <c r="D42" s="224" t="s">
        <v>9</v>
      </c>
      <c r="E42" s="224" t="s">
        <v>256</v>
      </c>
      <c r="F42" s="224" t="s">
        <v>248</v>
      </c>
      <c r="G42" s="223" t="str">
        <f>VLOOKUP($B42,'FRS geographical categories'!$A$2:$C$45,2,FALSE)</f>
        <v>Significantly Rural</v>
      </c>
      <c r="H42" s="223" t="str">
        <f>VLOOKUP($B42,'FRS geographical categories'!$A$2:$C$45,3,FALSE)</f>
        <v>Non-metropolitan</v>
      </c>
      <c r="I42" s="224">
        <v>234</v>
      </c>
    </row>
    <row r="43" spans="1:9" ht="15.5" x14ac:dyDescent="0.35">
      <c r="A43" s="224" t="s">
        <v>7</v>
      </c>
      <c r="B43" s="224" t="s">
        <v>15</v>
      </c>
      <c r="C43" s="224" t="s">
        <v>86</v>
      </c>
      <c r="D43" s="224" t="s">
        <v>9</v>
      </c>
      <c r="E43" s="224" t="s">
        <v>256</v>
      </c>
      <c r="F43" s="224" t="s">
        <v>249</v>
      </c>
      <c r="G43" s="223" t="str">
        <f>VLOOKUP($B43,'FRS geographical categories'!$A$2:$C$45,2,FALSE)</f>
        <v>Significantly Rural</v>
      </c>
      <c r="H43" s="223" t="str">
        <f>VLOOKUP($B43,'FRS geographical categories'!$A$2:$C$45,3,FALSE)</f>
        <v>Non-metropolitan</v>
      </c>
      <c r="I43" s="224">
        <v>1347</v>
      </c>
    </row>
    <row r="44" spans="1:9" ht="15.5" x14ac:dyDescent="0.35">
      <c r="A44" s="224" t="s">
        <v>7</v>
      </c>
      <c r="B44" s="224" t="s">
        <v>15</v>
      </c>
      <c r="C44" s="224" t="s">
        <v>86</v>
      </c>
      <c r="D44" s="224" t="s">
        <v>9</v>
      </c>
      <c r="E44" s="224" t="s">
        <v>256</v>
      </c>
      <c r="F44" s="224" t="s">
        <v>250</v>
      </c>
      <c r="G44" s="223" t="str">
        <f>VLOOKUP($B44,'FRS geographical categories'!$A$2:$C$45,2,FALSE)</f>
        <v>Significantly Rural</v>
      </c>
      <c r="H44" s="223" t="str">
        <f>VLOOKUP($B44,'FRS geographical categories'!$A$2:$C$45,3,FALSE)</f>
        <v>Non-metropolitan</v>
      </c>
      <c r="I44" s="224">
        <v>35454</v>
      </c>
    </row>
    <row r="45" spans="1:9" ht="15.5" x14ac:dyDescent="0.35">
      <c r="A45" s="224" t="s">
        <v>7</v>
      </c>
      <c r="B45" s="224" t="s">
        <v>15</v>
      </c>
      <c r="C45" s="224" t="s">
        <v>86</v>
      </c>
      <c r="D45" s="224" t="s">
        <v>9</v>
      </c>
      <c r="E45" s="224" t="s">
        <v>256</v>
      </c>
      <c r="F45" s="224" t="s">
        <v>10</v>
      </c>
      <c r="G45" s="223" t="str">
        <f>VLOOKUP($B45,'FRS geographical categories'!$A$2:$C$45,2,FALSE)</f>
        <v>Significantly Rural</v>
      </c>
      <c r="H45" s="223" t="str">
        <f>VLOOKUP($B45,'FRS geographical categories'!$A$2:$C$45,3,FALSE)</f>
        <v>Non-metropolitan</v>
      </c>
      <c r="I45" s="224">
        <v>42482</v>
      </c>
    </row>
    <row r="46" spans="1:9" ht="15.5" x14ac:dyDescent="0.35">
      <c r="A46" s="224" t="s">
        <v>7</v>
      </c>
      <c r="B46" s="224" t="s">
        <v>15</v>
      </c>
      <c r="C46" s="224" t="s">
        <v>89</v>
      </c>
      <c r="D46" s="224" t="s">
        <v>9</v>
      </c>
      <c r="E46" s="224" t="s">
        <v>256</v>
      </c>
      <c r="F46" s="224" t="s">
        <v>248</v>
      </c>
      <c r="G46" s="223" t="str">
        <f>VLOOKUP($B46,'FRS geographical categories'!$A$2:$C$45,2,FALSE)</f>
        <v>Significantly Rural</v>
      </c>
      <c r="H46" s="223" t="str">
        <f>VLOOKUP($B46,'FRS geographical categories'!$A$2:$C$45,3,FALSE)</f>
        <v>Non-metropolitan</v>
      </c>
      <c r="I46" s="224">
        <v>0</v>
      </c>
    </row>
    <row r="47" spans="1:9" ht="15.5" x14ac:dyDescent="0.35">
      <c r="A47" s="224" t="s">
        <v>7</v>
      </c>
      <c r="B47" s="224" t="s">
        <v>15</v>
      </c>
      <c r="C47" s="224" t="s">
        <v>89</v>
      </c>
      <c r="D47" s="224" t="s">
        <v>9</v>
      </c>
      <c r="E47" s="224" t="s">
        <v>256</v>
      </c>
      <c r="F47" s="224" t="s">
        <v>249</v>
      </c>
      <c r="G47" s="223" t="str">
        <f>VLOOKUP($B47,'FRS geographical categories'!$A$2:$C$45,2,FALSE)</f>
        <v>Significantly Rural</v>
      </c>
      <c r="H47" s="223" t="str">
        <f>VLOOKUP($B47,'FRS geographical categories'!$A$2:$C$45,3,FALSE)</f>
        <v>Non-metropolitan</v>
      </c>
      <c r="I47" s="224">
        <v>0</v>
      </c>
    </row>
    <row r="48" spans="1:9" ht="15.5" x14ac:dyDescent="0.35">
      <c r="A48" s="224" t="s">
        <v>7</v>
      </c>
      <c r="B48" s="224" t="s">
        <v>15</v>
      </c>
      <c r="C48" s="224" t="s">
        <v>89</v>
      </c>
      <c r="D48" s="224" t="s">
        <v>9</v>
      </c>
      <c r="E48" s="224" t="s">
        <v>256</v>
      </c>
      <c r="F48" s="224" t="s">
        <v>250</v>
      </c>
      <c r="G48" s="223" t="str">
        <f>VLOOKUP($B48,'FRS geographical categories'!$A$2:$C$45,2,FALSE)</f>
        <v>Significantly Rural</v>
      </c>
      <c r="H48" s="223" t="str">
        <f>VLOOKUP($B48,'FRS geographical categories'!$A$2:$C$45,3,FALSE)</f>
        <v>Non-metropolitan</v>
      </c>
      <c r="I48" s="224">
        <v>0</v>
      </c>
    </row>
    <row r="49" spans="1:9" ht="15.5" x14ac:dyDescent="0.35">
      <c r="A49" s="224" t="s">
        <v>7</v>
      </c>
      <c r="B49" s="224" t="s">
        <v>15</v>
      </c>
      <c r="C49" s="224" t="s">
        <v>89</v>
      </c>
      <c r="D49" s="224" t="s">
        <v>9</v>
      </c>
      <c r="E49" s="224" t="s">
        <v>256</v>
      </c>
      <c r="F49" s="224" t="s">
        <v>10</v>
      </c>
      <c r="G49" s="223" t="str">
        <f>VLOOKUP($B49,'FRS geographical categories'!$A$2:$C$45,2,FALSE)</f>
        <v>Significantly Rural</v>
      </c>
      <c r="H49" s="223" t="str">
        <f>VLOOKUP($B49,'FRS geographical categories'!$A$2:$C$45,3,FALSE)</f>
        <v>Non-metropolitan</v>
      </c>
      <c r="I49" s="224">
        <v>0</v>
      </c>
    </row>
    <row r="50" spans="1:9" ht="15.5" x14ac:dyDescent="0.35">
      <c r="A50" s="224" t="s">
        <v>7</v>
      </c>
      <c r="B50" s="224" t="s">
        <v>16</v>
      </c>
      <c r="C50" s="224" t="s">
        <v>86</v>
      </c>
      <c r="D50" s="224" t="s">
        <v>9</v>
      </c>
      <c r="E50" s="224" t="s">
        <v>256</v>
      </c>
      <c r="F50" s="224" t="s">
        <v>248</v>
      </c>
      <c r="G50" s="223" t="str">
        <f>VLOOKUP($B50,'FRS geographical categories'!$A$2:$C$45,2,FALSE)</f>
        <v>Predominantly Urban</v>
      </c>
      <c r="H50" s="223" t="str">
        <f>VLOOKUP($B50,'FRS geographical categories'!$A$2:$C$45,3,FALSE)</f>
        <v>Non-metropolitan</v>
      </c>
      <c r="I50" s="224">
        <v>874</v>
      </c>
    </row>
    <row r="51" spans="1:9" ht="15.5" x14ac:dyDescent="0.35">
      <c r="A51" s="224" t="s">
        <v>7</v>
      </c>
      <c r="B51" s="224" t="s">
        <v>16</v>
      </c>
      <c r="C51" s="224" t="s">
        <v>86</v>
      </c>
      <c r="D51" s="224" t="s">
        <v>9</v>
      </c>
      <c r="E51" s="224" t="s">
        <v>256</v>
      </c>
      <c r="F51" s="224" t="s">
        <v>249</v>
      </c>
      <c r="G51" s="223" t="str">
        <f>VLOOKUP($B51,'FRS geographical categories'!$A$2:$C$45,2,FALSE)</f>
        <v>Predominantly Urban</v>
      </c>
      <c r="H51" s="223" t="str">
        <f>VLOOKUP($B51,'FRS geographical categories'!$A$2:$C$45,3,FALSE)</f>
        <v>Non-metropolitan</v>
      </c>
      <c r="I51" s="224">
        <v>2484</v>
      </c>
    </row>
    <row r="52" spans="1:9" ht="15.5" x14ac:dyDescent="0.35">
      <c r="A52" s="224" t="s">
        <v>7</v>
      </c>
      <c r="B52" s="224" t="s">
        <v>16</v>
      </c>
      <c r="C52" s="224" t="s">
        <v>86</v>
      </c>
      <c r="D52" s="224" t="s">
        <v>9</v>
      </c>
      <c r="E52" s="224" t="s">
        <v>256</v>
      </c>
      <c r="F52" s="224" t="s">
        <v>250</v>
      </c>
      <c r="G52" s="223" t="str">
        <f>VLOOKUP($B52,'FRS geographical categories'!$A$2:$C$45,2,FALSE)</f>
        <v>Predominantly Urban</v>
      </c>
      <c r="H52" s="223" t="str">
        <f>VLOOKUP($B52,'FRS geographical categories'!$A$2:$C$45,3,FALSE)</f>
        <v>Non-metropolitan</v>
      </c>
      <c r="I52" s="224">
        <v>5988</v>
      </c>
    </row>
    <row r="53" spans="1:9" ht="15.5" x14ac:dyDescent="0.35">
      <c r="A53" s="224" t="s">
        <v>7</v>
      </c>
      <c r="B53" s="224" t="s">
        <v>16</v>
      </c>
      <c r="C53" s="224" t="s">
        <v>86</v>
      </c>
      <c r="D53" s="224" t="s">
        <v>9</v>
      </c>
      <c r="E53" s="224" t="s">
        <v>256</v>
      </c>
      <c r="F53" s="224" t="s">
        <v>10</v>
      </c>
      <c r="G53" s="223" t="str">
        <f>VLOOKUP($B53,'FRS geographical categories'!$A$2:$C$45,2,FALSE)</f>
        <v>Predominantly Urban</v>
      </c>
      <c r="H53" s="223" t="str">
        <f>VLOOKUP($B53,'FRS geographical categories'!$A$2:$C$45,3,FALSE)</f>
        <v>Non-metropolitan</v>
      </c>
      <c r="I53" s="224">
        <v>16346</v>
      </c>
    </row>
    <row r="54" spans="1:9" ht="15.5" x14ac:dyDescent="0.35">
      <c r="A54" s="224" t="s">
        <v>7</v>
      </c>
      <c r="B54" s="224" t="s">
        <v>16</v>
      </c>
      <c r="C54" s="224" t="s">
        <v>89</v>
      </c>
      <c r="D54" s="224" t="s">
        <v>9</v>
      </c>
      <c r="E54" s="224" t="s">
        <v>256</v>
      </c>
      <c r="F54" s="224" t="s">
        <v>248</v>
      </c>
      <c r="G54" s="223" t="str">
        <f>VLOOKUP($B54,'FRS geographical categories'!$A$2:$C$45,2,FALSE)</f>
        <v>Predominantly Urban</v>
      </c>
      <c r="H54" s="223" t="str">
        <f>VLOOKUP($B54,'FRS geographical categories'!$A$2:$C$45,3,FALSE)</f>
        <v>Non-metropolitan</v>
      </c>
      <c r="I54" s="224">
        <v>143</v>
      </c>
    </row>
    <row r="55" spans="1:9" ht="15.5" x14ac:dyDescent="0.35">
      <c r="A55" s="224" t="s">
        <v>7</v>
      </c>
      <c r="B55" s="224" t="s">
        <v>16</v>
      </c>
      <c r="C55" s="224" t="s">
        <v>89</v>
      </c>
      <c r="D55" s="224" t="s">
        <v>9</v>
      </c>
      <c r="E55" s="224" t="s">
        <v>256</v>
      </c>
      <c r="F55" s="224" t="s">
        <v>249</v>
      </c>
      <c r="G55" s="223" t="str">
        <f>VLOOKUP($B55,'FRS geographical categories'!$A$2:$C$45,2,FALSE)</f>
        <v>Predominantly Urban</v>
      </c>
      <c r="H55" s="223" t="str">
        <f>VLOOKUP($B55,'FRS geographical categories'!$A$2:$C$45,3,FALSE)</f>
        <v>Non-metropolitan</v>
      </c>
      <c r="I55" s="224">
        <v>462</v>
      </c>
    </row>
    <row r="56" spans="1:9" ht="15.5" x14ac:dyDescent="0.35">
      <c r="A56" s="224" t="s">
        <v>7</v>
      </c>
      <c r="B56" s="224" t="s">
        <v>16</v>
      </c>
      <c r="C56" s="224" t="s">
        <v>89</v>
      </c>
      <c r="D56" s="224" t="s">
        <v>9</v>
      </c>
      <c r="E56" s="224" t="s">
        <v>256</v>
      </c>
      <c r="F56" s="224" t="s">
        <v>250</v>
      </c>
      <c r="G56" s="223" t="str">
        <f>VLOOKUP($B56,'FRS geographical categories'!$A$2:$C$45,2,FALSE)</f>
        <v>Predominantly Urban</v>
      </c>
      <c r="H56" s="223" t="str">
        <f>VLOOKUP($B56,'FRS geographical categories'!$A$2:$C$45,3,FALSE)</f>
        <v>Non-metropolitan</v>
      </c>
      <c r="I56" s="224">
        <v>412</v>
      </c>
    </row>
    <row r="57" spans="1:9" ht="15.5" x14ac:dyDescent="0.35">
      <c r="A57" s="224" t="s">
        <v>7</v>
      </c>
      <c r="B57" s="224" t="s">
        <v>16</v>
      </c>
      <c r="C57" s="224" t="s">
        <v>89</v>
      </c>
      <c r="D57" s="224" t="s">
        <v>9</v>
      </c>
      <c r="E57" s="224" t="s">
        <v>256</v>
      </c>
      <c r="F57" s="224" t="s">
        <v>10</v>
      </c>
      <c r="G57" s="223" t="str">
        <f>VLOOKUP($B57,'FRS geographical categories'!$A$2:$C$45,2,FALSE)</f>
        <v>Predominantly Urban</v>
      </c>
      <c r="H57" s="223" t="str">
        <f>VLOOKUP($B57,'FRS geographical categories'!$A$2:$C$45,3,FALSE)</f>
        <v>Non-metropolitan</v>
      </c>
      <c r="I57" s="224">
        <v>1817</v>
      </c>
    </row>
    <row r="58" spans="1:9" ht="15.5" x14ac:dyDescent="0.35">
      <c r="A58" s="224" t="s">
        <v>7</v>
      </c>
      <c r="B58" s="224" t="s">
        <v>17</v>
      </c>
      <c r="C58" s="224" t="s">
        <v>86</v>
      </c>
      <c r="D58" s="224" t="s">
        <v>9</v>
      </c>
      <c r="E58" s="224" t="s">
        <v>256</v>
      </c>
      <c r="F58" s="224" t="s">
        <v>248</v>
      </c>
      <c r="G58" s="223" t="str">
        <f>VLOOKUP($B58,'FRS geographical categories'!$A$2:$C$45,2,FALSE)</f>
        <v>Predominantly Rural</v>
      </c>
      <c r="H58" s="223" t="str">
        <f>VLOOKUP($B58,'FRS geographical categories'!$A$2:$C$45,3,FALSE)</f>
        <v>Non-metropolitan</v>
      </c>
      <c r="I58" s="224">
        <v>663</v>
      </c>
    </row>
    <row r="59" spans="1:9" ht="15.5" x14ac:dyDescent="0.35">
      <c r="A59" s="224" t="s">
        <v>7</v>
      </c>
      <c r="B59" s="224" t="s">
        <v>17</v>
      </c>
      <c r="C59" s="224" t="s">
        <v>86</v>
      </c>
      <c r="D59" s="224" t="s">
        <v>9</v>
      </c>
      <c r="E59" s="224" t="s">
        <v>256</v>
      </c>
      <c r="F59" s="224" t="s">
        <v>249</v>
      </c>
      <c r="G59" s="223" t="str">
        <f>VLOOKUP($B59,'FRS geographical categories'!$A$2:$C$45,2,FALSE)</f>
        <v>Predominantly Rural</v>
      </c>
      <c r="H59" s="223" t="str">
        <f>VLOOKUP($B59,'FRS geographical categories'!$A$2:$C$45,3,FALSE)</f>
        <v>Non-metropolitan</v>
      </c>
      <c r="I59" s="224">
        <v>533</v>
      </c>
    </row>
    <row r="60" spans="1:9" ht="15.5" x14ac:dyDescent="0.35">
      <c r="A60" s="224" t="s">
        <v>7</v>
      </c>
      <c r="B60" s="224" t="s">
        <v>17</v>
      </c>
      <c r="C60" s="224" t="s">
        <v>86</v>
      </c>
      <c r="D60" s="224" t="s">
        <v>9</v>
      </c>
      <c r="E60" s="224" t="s">
        <v>256</v>
      </c>
      <c r="F60" s="224" t="s">
        <v>250</v>
      </c>
      <c r="G60" s="223" t="str">
        <f>VLOOKUP($B60,'FRS geographical categories'!$A$2:$C$45,2,FALSE)</f>
        <v>Predominantly Rural</v>
      </c>
      <c r="H60" s="223" t="str">
        <f>VLOOKUP($B60,'FRS geographical categories'!$A$2:$C$45,3,FALSE)</f>
        <v>Non-metropolitan</v>
      </c>
      <c r="I60" s="224">
        <v>480</v>
      </c>
    </row>
    <row r="61" spans="1:9" ht="15.5" x14ac:dyDescent="0.35">
      <c r="A61" s="224" t="s">
        <v>7</v>
      </c>
      <c r="B61" s="224" t="s">
        <v>17</v>
      </c>
      <c r="C61" s="224" t="s">
        <v>86</v>
      </c>
      <c r="D61" s="224" t="s">
        <v>9</v>
      </c>
      <c r="E61" s="224" t="s">
        <v>256</v>
      </c>
      <c r="F61" s="224" t="s">
        <v>10</v>
      </c>
      <c r="G61" s="223" t="str">
        <f>VLOOKUP($B61,'FRS geographical categories'!$A$2:$C$45,2,FALSE)</f>
        <v>Predominantly Rural</v>
      </c>
      <c r="H61" s="223" t="str">
        <f>VLOOKUP($B61,'FRS geographical categories'!$A$2:$C$45,3,FALSE)</f>
        <v>Non-metropolitan</v>
      </c>
      <c r="I61" s="224">
        <v>5548</v>
      </c>
    </row>
    <row r="62" spans="1:9" ht="15.5" x14ac:dyDescent="0.35">
      <c r="A62" s="224" t="s">
        <v>7</v>
      </c>
      <c r="B62" s="224" t="s">
        <v>17</v>
      </c>
      <c r="C62" s="224" t="s">
        <v>89</v>
      </c>
      <c r="D62" s="224" t="s">
        <v>9</v>
      </c>
      <c r="E62" s="224" t="s">
        <v>256</v>
      </c>
      <c r="F62" s="224" t="s">
        <v>248</v>
      </c>
      <c r="G62" s="223" t="str">
        <f>VLOOKUP($B62,'FRS geographical categories'!$A$2:$C$45,2,FALSE)</f>
        <v>Predominantly Rural</v>
      </c>
      <c r="H62" s="223" t="str">
        <f>VLOOKUP($B62,'FRS geographical categories'!$A$2:$C$45,3,FALSE)</f>
        <v>Non-metropolitan</v>
      </c>
      <c r="I62" s="224">
        <v>0</v>
      </c>
    </row>
    <row r="63" spans="1:9" ht="15.5" x14ac:dyDescent="0.35">
      <c r="A63" s="224" t="s">
        <v>7</v>
      </c>
      <c r="B63" s="224" t="s">
        <v>17</v>
      </c>
      <c r="C63" s="224" t="s">
        <v>89</v>
      </c>
      <c r="D63" s="224" t="s">
        <v>9</v>
      </c>
      <c r="E63" s="224" t="s">
        <v>256</v>
      </c>
      <c r="F63" s="224" t="s">
        <v>249</v>
      </c>
      <c r="G63" s="223" t="str">
        <f>VLOOKUP($B63,'FRS geographical categories'!$A$2:$C$45,2,FALSE)</f>
        <v>Predominantly Rural</v>
      </c>
      <c r="H63" s="223" t="str">
        <f>VLOOKUP($B63,'FRS geographical categories'!$A$2:$C$45,3,FALSE)</f>
        <v>Non-metropolitan</v>
      </c>
      <c r="I63" s="224">
        <v>0</v>
      </c>
    </row>
    <row r="64" spans="1:9" ht="15.5" x14ac:dyDescent="0.35">
      <c r="A64" s="224" t="s">
        <v>7</v>
      </c>
      <c r="B64" s="224" t="s">
        <v>17</v>
      </c>
      <c r="C64" s="224" t="s">
        <v>89</v>
      </c>
      <c r="D64" s="224" t="s">
        <v>9</v>
      </c>
      <c r="E64" s="224" t="s">
        <v>256</v>
      </c>
      <c r="F64" s="224" t="s">
        <v>250</v>
      </c>
      <c r="G64" s="223" t="str">
        <f>VLOOKUP($B64,'FRS geographical categories'!$A$2:$C$45,2,FALSE)</f>
        <v>Predominantly Rural</v>
      </c>
      <c r="H64" s="223" t="str">
        <f>VLOOKUP($B64,'FRS geographical categories'!$A$2:$C$45,3,FALSE)</f>
        <v>Non-metropolitan</v>
      </c>
      <c r="I64" s="224">
        <v>0</v>
      </c>
    </row>
    <row r="65" spans="1:9" ht="15.5" x14ac:dyDescent="0.35">
      <c r="A65" s="224" t="s">
        <v>7</v>
      </c>
      <c r="B65" s="224" t="s">
        <v>17</v>
      </c>
      <c r="C65" s="224" t="s">
        <v>89</v>
      </c>
      <c r="D65" s="224" t="s">
        <v>9</v>
      </c>
      <c r="E65" s="224" t="s">
        <v>256</v>
      </c>
      <c r="F65" s="224" t="s">
        <v>10</v>
      </c>
      <c r="G65" s="223" t="str">
        <f>VLOOKUP($B65,'FRS geographical categories'!$A$2:$C$45,2,FALSE)</f>
        <v>Predominantly Rural</v>
      </c>
      <c r="H65" s="223" t="str">
        <f>VLOOKUP($B65,'FRS geographical categories'!$A$2:$C$45,3,FALSE)</f>
        <v>Non-metropolitan</v>
      </c>
      <c r="I65" s="224">
        <v>747</v>
      </c>
    </row>
    <row r="66" spans="1:9" ht="15.5" x14ac:dyDescent="0.35">
      <c r="A66" s="224" t="s">
        <v>7</v>
      </c>
      <c r="B66" s="224" t="s">
        <v>18</v>
      </c>
      <c r="C66" s="224" t="s">
        <v>86</v>
      </c>
      <c r="D66" s="224" t="s">
        <v>9</v>
      </c>
      <c r="E66" s="224" t="s">
        <v>256</v>
      </c>
      <c r="F66" s="224" t="s">
        <v>248</v>
      </c>
      <c r="G66" s="223" t="str">
        <f>VLOOKUP($B66,'FRS geographical categories'!$A$2:$C$45,2,FALSE)</f>
        <v>Predominantly Rural</v>
      </c>
      <c r="H66" s="223" t="str">
        <f>VLOOKUP($B66,'FRS geographical categories'!$A$2:$C$45,3,FALSE)</f>
        <v>Non-metropolitan</v>
      </c>
      <c r="I66" s="224">
        <v>1772</v>
      </c>
    </row>
    <row r="67" spans="1:9" ht="15.5" x14ac:dyDescent="0.35">
      <c r="A67" s="224" t="s">
        <v>7</v>
      </c>
      <c r="B67" s="224" t="s">
        <v>18</v>
      </c>
      <c r="C67" s="224" t="s">
        <v>86</v>
      </c>
      <c r="D67" s="224" t="s">
        <v>9</v>
      </c>
      <c r="E67" s="224" t="s">
        <v>256</v>
      </c>
      <c r="F67" s="224" t="s">
        <v>249</v>
      </c>
      <c r="G67" s="223" t="str">
        <f>VLOOKUP($B67,'FRS geographical categories'!$A$2:$C$45,2,FALSE)</f>
        <v>Predominantly Rural</v>
      </c>
      <c r="H67" s="223" t="str">
        <f>VLOOKUP($B67,'FRS geographical categories'!$A$2:$C$45,3,FALSE)</f>
        <v>Non-metropolitan</v>
      </c>
      <c r="I67" s="224">
        <v>1337</v>
      </c>
    </row>
    <row r="68" spans="1:9" ht="15.5" x14ac:dyDescent="0.35">
      <c r="A68" s="224" t="s">
        <v>7</v>
      </c>
      <c r="B68" s="224" t="s">
        <v>18</v>
      </c>
      <c r="C68" s="224" t="s">
        <v>86</v>
      </c>
      <c r="D68" s="224" t="s">
        <v>9</v>
      </c>
      <c r="E68" s="224" t="s">
        <v>256</v>
      </c>
      <c r="F68" s="224" t="s">
        <v>250</v>
      </c>
      <c r="G68" s="223" t="str">
        <f>VLOOKUP($B68,'FRS geographical categories'!$A$2:$C$45,2,FALSE)</f>
        <v>Predominantly Rural</v>
      </c>
      <c r="H68" s="223" t="str">
        <f>VLOOKUP($B68,'FRS geographical categories'!$A$2:$C$45,3,FALSE)</f>
        <v>Non-metropolitan</v>
      </c>
      <c r="I68" s="224">
        <v>3618</v>
      </c>
    </row>
    <row r="69" spans="1:9" ht="15.5" x14ac:dyDescent="0.35">
      <c r="A69" s="224" t="s">
        <v>7</v>
      </c>
      <c r="B69" s="224" t="s">
        <v>18</v>
      </c>
      <c r="C69" s="224" t="s">
        <v>86</v>
      </c>
      <c r="D69" s="224" t="s">
        <v>9</v>
      </c>
      <c r="E69" s="224" t="s">
        <v>256</v>
      </c>
      <c r="F69" s="224" t="s">
        <v>10</v>
      </c>
      <c r="G69" s="223" t="str">
        <f>VLOOKUP($B69,'FRS geographical categories'!$A$2:$C$45,2,FALSE)</f>
        <v>Predominantly Rural</v>
      </c>
      <c r="H69" s="223" t="str">
        <f>VLOOKUP($B69,'FRS geographical categories'!$A$2:$C$45,3,FALSE)</f>
        <v>Non-metropolitan</v>
      </c>
      <c r="I69" s="224">
        <v>10035</v>
      </c>
    </row>
    <row r="70" spans="1:9" ht="15.5" x14ac:dyDescent="0.35">
      <c r="A70" s="224" t="s">
        <v>7</v>
      </c>
      <c r="B70" s="224" t="s">
        <v>18</v>
      </c>
      <c r="C70" s="224" t="s">
        <v>89</v>
      </c>
      <c r="D70" s="224" t="s">
        <v>9</v>
      </c>
      <c r="E70" s="224" t="s">
        <v>256</v>
      </c>
      <c r="F70" s="224" t="s">
        <v>248</v>
      </c>
      <c r="G70" s="223" t="str">
        <f>VLOOKUP($B70,'FRS geographical categories'!$A$2:$C$45,2,FALSE)</f>
        <v>Predominantly Rural</v>
      </c>
      <c r="H70" s="223" t="str">
        <f>VLOOKUP($B70,'FRS geographical categories'!$A$2:$C$45,3,FALSE)</f>
        <v>Non-metropolitan</v>
      </c>
      <c r="I70" s="224">
        <v>0</v>
      </c>
    </row>
    <row r="71" spans="1:9" ht="15.5" x14ac:dyDescent="0.35">
      <c r="A71" s="224" t="s">
        <v>7</v>
      </c>
      <c r="B71" s="224" t="s">
        <v>18</v>
      </c>
      <c r="C71" s="224" t="s">
        <v>89</v>
      </c>
      <c r="D71" s="224" t="s">
        <v>9</v>
      </c>
      <c r="E71" s="224" t="s">
        <v>256</v>
      </c>
      <c r="F71" s="224" t="s">
        <v>249</v>
      </c>
      <c r="G71" s="223" t="str">
        <f>VLOOKUP($B71,'FRS geographical categories'!$A$2:$C$45,2,FALSE)</f>
        <v>Predominantly Rural</v>
      </c>
      <c r="H71" s="223" t="str">
        <f>VLOOKUP($B71,'FRS geographical categories'!$A$2:$C$45,3,FALSE)</f>
        <v>Non-metropolitan</v>
      </c>
      <c r="I71" s="224">
        <v>0</v>
      </c>
    </row>
    <row r="72" spans="1:9" ht="15.5" x14ac:dyDescent="0.35">
      <c r="A72" s="224" t="s">
        <v>7</v>
      </c>
      <c r="B72" s="224" t="s">
        <v>18</v>
      </c>
      <c r="C72" s="224" t="s">
        <v>89</v>
      </c>
      <c r="D72" s="224" t="s">
        <v>9</v>
      </c>
      <c r="E72" s="224" t="s">
        <v>256</v>
      </c>
      <c r="F72" s="224" t="s">
        <v>250</v>
      </c>
      <c r="G72" s="223" t="str">
        <f>VLOOKUP($B72,'FRS geographical categories'!$A$2:$C$45,2,FALSE)</f>
        <v>Predominantly Rural</v>
      </c>
      <c r="H72" s="223" t="str">
        <f>VLOOKUP($B72,'FRS geographical categories'!$A$2:$C$45,3,FALSE)</f>
        <v>Non-metropolitan</v>
      </c>
      <c r="I72" s="224">
        <v>0</v>
      </c>
    </row>
    <row r="73" spans="1:9" ht="15.5" x14ac:dyDescent="0.35">
      <c r="A73" s="224" t="s">
        <v>7</v>
      </c>
      <c r="B73" s="224" t="s">
        <v>18</v>
      </c>
      <c r="C73" s="224" t="s">
        <v>89</v>
      </c>
      <c r="D73" s="224" t="s">
        <v>9</v>
      </c>
      <c r="E73" s="224" t="s">
        <v>256</v>
      </c>
      <c r="F73" s="224" t="s">
        <v>10</v>
      </c>
      <c r="G73" s="223" t="str">
        <f>VLOOKUP($B73,'FRS geographical categories'!$A$2:$C$45,2,FALSE)</f>
        <v>Predominantly Rural</v>
      </c>
      <c r="H73" s="223" t="str">
        <f>VLOOKUP($B73,'FRS geographical categories'!$A$2:$C$45,3,FALSE)</f>
        <v>Non-metropolitan</v>
      </c>
      <c r="I73" s="224">
        <v>0</v>
      </c>
    </row>
    <row r="74" spans="1:9" ht="15.5" x14ac:dyDescent="0.35">
      <c r="A74" s="224" t="s">
        <v>7</v>
      </c>
      <c r="B74" s="224" t="s">
        <v>19</v>
      </c>
      <c r="C74" s="224" t="s">
        <v>86</v>
      </c>
      <c r="D74" s="224" t="s">
        <v>9</v>
      </c>
      <c r="E74" s="224" t="s">
        <v>256</v>
      </c>
      <c r="F74" s="224" t="s">
        <v>248</v>
      </c>
      <c r="G74" s="223" t="str">
        <f>VLOOKUP($B74,'FRS geographical categories'!$A$2:$C$45,2,FALSE)</f>
        <v>Significantly Rural</v>
      </c>
      <c r="H74" s="223" t="str">
        <f>VLOOKUP($B74,'FRS geographical categories'!$A$2:$C$45,3,FALSE)</f>
        <v>Non-metropolitan</v>
      </c>
      <c r="I74" s="224">
        <v>1060</v>
      </c>
    </row>
    <row r="75" spans="1:9" ht="15.5" x14ac:dyDescent="0.35">
      <c r="A75" s="224" t="s">
        <v>7</v>
      </c>
      <c r="B75" s="224" t="s">
        <v>19</v>
      </c>
      <c r="C75" s="224" t="s">
        <v>86</v>
      </c>
      <c r="D75" s="224" t="s">
        <v>9</v>
      </c>
      <c r="E75" s="224" t="s">
        <v>256</v>
      </c>
      <c r="F75" s="224" t="s">
        <v>249</v>
      </c>
      <c r="G75" s="223" t="str">
        <f>VLOOKUP($B75,'FRS geographical categories'!$A$2:$C$45,2,FALSE)</f>
        <v>Significantly Rural</v>
      </c>
      <c r="H75" s="223" t="str">
        <f>VLOOKUP($B75,'FRS geographical categories'!$A$2:$C$45,3,FALSE)</f>
        <v>Non-metropolitan</v>
      </c>
      <c r="I75" s="224">
        <v>2937</v>
      </c>
    </row>
    <row r="76" spans="1:9" ht="15.5" x14ac:dyDescent="0.35">
      <c r="A76" s="224" t="s">
        <v>7</v>
      </c>
      <c r="B76" s="224" t="s">
        <v>19</v>
      </c>
      <c r="C76" s="224" t="s">
        <v>86</v>
      </c>
      <c r="D76" s="224" t="s">
        <v>9</v>
      </c>
      <c r="E76" s="224" t="s">
        <v>256</v>
      </c>
      <c r="F76" s="224" t="s">
        <v>250</v>
      </c>
      <c r="G76" s="223" t="str">
        <f>VLOOKUP($B76,'FRS geographical categories'!$A$2:$C$45,2,FALSE)</f>
        <v>Significantly Rural</v>
      </c>
      <c r="H76" s="223" t="str">
        <f>VLOOKUP($B76,'FRS geographical categories'!$A$2:$C$45,3,FALSE)</f>
        <v>Non-metropolitan</v>
      </c>
      <c r="I76" s="224">
        <v>5599</v>
      </c>
    </row>
    <row r="77" spans="1:9" ht="15.5" x14ac:dyDescent="0.35">
      <c r="A77" s="224" t="s">
        <v>7</v>
      </c>
      <c r="B77" s="224" t="s">
        <v>19</v>
      </c>
      <c r="C77" s="224" t="s">
        <v>86</v>
      </c>
      <c r="D77" s="224" t="s">
        <v>9</v>
      </c>
      <c r="E77" s="224" t="s">
        <v>256</v>
      </c>
      <c r="F77" s="224" t="s">
        <v>10</v>
      </c>
      <c r="G77" s="223" t="str">
        <f>VLOOKUP($B77,'FRS geographical categories'!$A$2:$C$45,2,FALSE)</f>
        <v>Significantly Rural</v>
      </c>
      <c r="H77" s="223" t="str">
        <f>VLOOKUP($B77,'FRS geographical categories'!$A$2:$C$45,3,FALSE)</f>
        <v>Non-metropolitan</v>
      </c>
      <c r="I77" s="224">
        <v>11154</v>
      </c>
    </row>
    <row r="78" spans="1:9" ht="15.5" x14ac:dyDescent="0.35">
      <c r="A78" s="224" t="s">
        <v>7</v>
      </c>
      <c r="B78" s="224" t="s">
        <v>19</v>
      </c>
      <c r="C78" s="224" t="s">
        <v>89</v>
      </c>
      <c r="D78" s="224" t="s">
        <v>9</v>
      </c>
      <c r="E78" s="224" t="s">
        <v>256</v>
      </c>
      <c r="F78" s="224" t="s">
        <v>248</v>
      </c>
      <c r="G78" s="223" t="str">
        <f>VLOOKUP($B78,'FRS geographical categories'!$A$2:$C$45,2,FALSE)</f>
        <v>Significantly Rural</v>
      </c>
      <c r="H78" s="223" t="str">
        <f>VLOOKUP($B78,'FRS geographical categories'!$A$2:$C$45,3,FALSE)</f>
        <v>Non-metropolitan</v>
      </c>
      <c r="I78" s="224">
        <v>539</v>
      </c>
    </row>
    <row r="79" spans="1:9" ht="15.5" x14ac:dyDescent="0.35">
      <c r="A79" s="224" t="s">
        <v>7</v>
      </c>
      <c r="B79" s="224" t="s">
        <v>19</v>
      </c>
      <c r="C79" s="224" t="s">
        <v>89</v>
      </c>
      <c r="D79" s="224" t="s">
        <v>9</v>
      </c>
      <c r="E79" s="224" t="s">
        <v>256</v>
      </c>
      <c r="F79" s="224" t="s">
        <v>249</v>
      </c>
      <c r="G79" s="223" t="str">
        <f>VLOOKUP($B79,'FRS geographical categories'!$A$2:$C$45,2,FALSE)</f>
        <v>Significantly Rural</v>
      </c>
      <c r="H79" s="223" t="str">
        <f>VLOOKUP($B79,'FRS geographical categories'!$A$2:$C$45,3,FALSE)</f>
        <v>Non-metropolitan</v>
      </c>
      <c r="I79" s="224">
        <v>1047</v>
      </c>
    </row>
    <row r="80" spans="1:9" ht="15.5" x14ac:dyDescent="0.35">
      <c r="A80" s="224" t="s">
        <v>7</v>
      </c>
      <c r="B80" s="224" t="s">
        <v>19</v>
      </c>
      <c r="C80" s="224" t="s">
        <v>89</v>
      </c>
      <c r="D80" s="224" t="s">
        <v>9</v>
      </c>
      <c r="E80" s="224" t="s">
        <v>256</v>
      </c>
      <c r="F80" s="224" t="s">
        <v>250</v>
      </c>
      <c r="G80" s="223" t="str">
        <f>VLOOKUP($B80,'FRS geographical categories'!$A$2:$C$45,2,FALSE)</f>
        <v>Significantly Rural</v>
      </c>
      <c r="H80" s="223" t="str">
        <f>VLOOKUP($B80,'FRS geographical categories'!$A$2:$C$45,3,FALSE)</f>
        <v>Non-metropolitan</v>
      </c>
      <c r="I80" s="224">
        <v>636</v>
      </c>
    </row>
    <row r="81" spans="1:9" ht="15.5" x14ac:dyDescent="0.35">
      <c r="A81" s="224" t="s">
        <v>7</v>
      </c>
      <c r="B81" s="224" t="s">
        <v>19</v>
      </c>
      <c r="C81" s="224" t="s">
        <v>89</v>
      </c>
      <c r="D81" s="224" t="s">
        <v>9</v>
      </c>
      <c r="E81" s="224" t="s">
        <v>256</v>
      </c>
      <c r="F81" s="224" t="s">
        <v>10</v>
      </c>
      <c r="G81" s="223" t="str">
        <f>VLOOKUP($B81,'FRS geographical categories'!$A$2:$C$45,2,FALSE)</f>
        <v>Significantly Rural</v>
      </c>
      <c r="H81" s="223" t="str">
        <f>VLOOKUP($B81,'FRS geographical categories'!$A$2:$C$45,3,FALSE)</f>
        <v>Non-metropolitan</v>
      </c>
      <c r="I81" s="224">
        <v>2989</v>
      </c>
    </row>
    <row r="82" spans="1:9" ht="15.5" x14ac:dyDescent="0.35">
      <c r="A82" s="224" t="s">
        <v>7</v>
      </c>
      <c r="B82" s="224" t="s">
        <v>20</v>
      </c>
      <c r="C82" s="224" t="s">
        <v>86</v>
      </c>
      <c r="D82" s="224" t="s">
        <v>9</v>
      </c>
      <c r="E82" s="224" t="s">
        <v>256</v>
      </c>
      <c r="F82" s="224" t="s">
        <v>248</v>
      </c>
      <c r="G82" s="223" t="str">
        <f>VLOOKUP($B82,'FRS geographical categories'!$A$2:$C$45,2,FALSE)</f>
        <v>Predominantly Rural</v>
      </c>
      <c r="H82" s="223" t="str">
        <f>VLOOKUP($B82,'FRS geographical categories'!$A$2:$C$45,3,FALSE)</f>
        <v>Non-metropolitan</v>
      </c>
      <c r="I82" s="224">
        <v>770</v>
      </c>
    </row>
    <row r="83" spans="1:9" ht="15.5" x14ac:dyDescent="0.35">
      <c r="A83" s="224" t="s">
        <v>7</v>
      </c>
      <c r="B83" s="224" t="s">
        <v>20</v>
      </c>
      <c r="C83" s="224" t="s">
        <v>86</v>
      </c>
      <c r="D83" s="224" t="s">
        <v>9</v>
      </c>
      <c r="E83" s="224" t="s">
        <v>256</v>
      </c>
      <c r="F83" s="224" t="s">
        <v>249</v>
      </c>
      <c r="G83" s="223" t="str">
        <f>VLOOKUP($B83,'FRS geographical categories'!$A$2:$C$45,2,FALSE)</f>
        <v>Predominantly Rural</v>
      </c>
      <c r="H83" s="223" t="str">
        <f>VLOOKUP($B83,'FRS geographical categories'!$A$2:$C$45,3,FALSE)</f>
        <v>Non-metropolitan</v>
      </c>
      <c r="I83" s="224">
        <v>3895</v>
      </c>
    </row>
    <row r="84" spans="1:9" ht="15.5" x14ac:dyDescent="0.35">
      <c r="A84" s="224" t="s">
        <v>7</v>
      </c>
      <c r="B84" s="224" t="s">
        <v>20</v>
      </c>
      <c r="C84" s="224" t="s">
        <v>86</v>
      </c>
      <c r="D84" s="224" t="s">
        <v>9</v>
      </c>
      <c r="E84" s="224" t="s">
        <v>256</v>
      </c>
      <c r="F84" s="224" t="s">
        <v>250</v>
      </c>
      <c r="G84" s="223" t="str">
        <f>VLOOKUP($B84,'FRS geographical categories'!$A$2:$C$45,2,FALSE)</f>
        <v>Predominantly Rural</v>
      </c>
      <c r="H84" s="223" t="str">
        <f>VLOOKUP($B84,'FRS geographical categories'!$A$2:$C$45,3,FALSE)</f>
        <v>Non-metropolitan</v>
      </c>
      <c r="I84" s="224">
        <v>3168</v>
      </c>
    </row>
    <row r="85" spans="1:9" ht="15.5" x14ac:dyDescent="0.35">
      <c r="A85" s="224" t="s">
        <v>7</v>
      </c>
      <c r="B85" s="224" t="s">
        <v>20</v>
      </c>
      <c r="C85" s="224" t="s">
        <v>86</v>
      </c>
      <c r="D85" s="224" t="s">
        <v>9</v>
      </c>
      <c r="E85" s="224" t="s">
        <v>256</v>
      </c>
      <c r="F85" s="224" t="s">
        <v>10</v>
      </c>
      <c r="G85" s="223" t="str">
        <f>VLOOKUP($B85,'FRS geographical categories'!$A$2:$C$45,2,FALSE)</f>
        <v>Predominantly Rural</v>
      </c>
      <c r="H85" s="223" t="str">
        <f>VLOOKUP($B85,'FRS geographical categories'!$A$2:$C$45,3,FALSE)</f>
        <v>Non-metropolitan</v>
      </c>
      <c r="I85" s="224">
        <v>9827</v>
      </c>
    </row>
    <row r="86" spans="1:9" ht="15.5" x14ac:dyDescent="0.35">
      <c r="A86" s="224" t="s">
        <v>7</v>
      </c>
      <c r="B86" s="224" t="s">
        <v>20</v>
      </c>
      <c r="C86" s="224" t="s">
        <v>89</v>
      </c>
      <c r="D86" s="224" t="s">
        <v>9</v>
      </c>
      <c r="E86" s="224" t="s">
        <v>256</v>
      </c>
      <c r="F86" s="224" t="s">
        <v>248</v>
      </c>
      <c r="G86" s="223" t="str">
        <f>VLOOKUP($B86,'FRS geographical categories'!$A$2:$C$45,2,FALSE)</f>
        <v>Predominantly Rural</v>
      </c>
      <c r="H86" s="223" t="str">
        <f>VLOOKUP($B86,'FRS geographical categories'!$A$2:$C$45,3,FALSE)</f>
        <v>Non-metropolitan</v>
      </c>
      <c r="I86" s="224">
        <v>0</v>
      </c>
    </row>
    <row r="87" spans="1:9" ht="15.5" x14ac:dyDescent="0.35">
      <c r="A87" s="224" t="s">
        <v>7</v>
      </c>
      <c r="B87" s="224" t="s">
        <v>20</v>
      </c>
      <c r="C87" s="224" t="s">
        <v>89</v>
      </c>
      <c r="D87" s="224" t="s">
        <v>9</v>
      </c>
      <c r="E87" s="224" t="s">
        <v>256</v>
      </c>
      <c r="F87" s="224" t="s">
        <v>249</v>
      </c>
      <c r="G87" s="223" t="str">
        <f>VLOOKUP($B87,'FRS geographical categories'!$A$2:$C$45,2,FALSE)</f>
        <v>Predominantly Rural</v>
      </c>
      <c r="H87" s="223" t="str">
        <f>VLOOKUP($B87,'FRS geographical categories'!$A$2:$C$45,3,FALSE)</f>
        <v>Non-metropolitan</v>
      </c>
      <c r="I87" s="224">
        <v>0</v>
      </c>
    </row>
    <row r="88" spans="1:9" ht="15.5" x14ac:dyDescent="0.35">
      <c r="A88" s="224" t="s">
        <v>7</v>
      </c>
      <c r="B88" s="224" t="s">
        <v>20</v>
      </c>
      <c r="C88" s="224" t="s">
        <v>89</v>
      </c>
      <c r="D88" s="224" t="s">
        <v>9</v>
      </c>
      <c r="E88" s="224" t="s">
        <v>256</v>
      </c>
      <c r="F88" s="224" t="s">
        <v>250</v>
      </c>
      <c r="G88" s="223" t="str">
        <f>VLOOKUP($B88,'FRS geographical categories'!$A$2:$C$45,2,FALSE)</f>
        <v>Predominantly Rural</v>
      </c>
      <c r="H88" s="223" t="str">
        <f>VLOOKUP($B88,'FRS geographical categories'!$A$2:$C$45,3,FALSE)</f>
        <v>Non-metropolitan</v>
      </c>
      <c r="I88" s="224">
        <v>0</v>
      </c>
    </row>
    <row r="89" spans="1:9" ht="15.5" x14ac:dyDescent="0.35">
      <c r="A89" s="224" t="s">
        <v>7</v>
      </c>
      <c r="B89" s="224" t="s">
        <v>20</v>
      </c>
      <c r="C89" s="224" t="s">
        <v>89</v>
      </c>
      <c r="D89" s="224" t="s">
        <v>9</v>
      </c>
      <c r="E89" s="224" t="s">
        <v>256</v>
      </c>
      <c r="F89" s="224" t="s">
        <v>10</v>
      </c>
      <c r="G89" s="223" t="str">
        <f>VLOOKUP($B89,'FRS geographical categories'!$A$2:$C$45,2,FALSE)</f>
        <v>Predominantly Rural</v>
      </c>
      <c r="H89" s="223" t="str">
        <f>VLOOKUP($B89,'FRS geographical categories'!$A$2:$C$45,3,FALSE)</f>
        <v>Non-metropolitan</v>
      </c>
      <c r="I89" s="224">
        <v>0</v>
      </c>
    </row>
    <row r="90" spans="1:9" ht="15.5" x14ac:dyDescent="0.35">
      <c r="A90" s="224" t="s">
        <v>7</v>
      </c>
      <c r="B90" s="224" t="s">
        <v>21</v>
      </c>
      <c r="C90" s="224" t="s">
        <v>86</v>
      </c>
      <c r="D90" s="224" t="s">
        <v>9</v>
      </c>
      <c r="E90" s="224" t="s">
        <v>256</v>
      </c>
      <c r="F90" s="224" t="s">
        <v>248</v>
      </c>
      <c r="G90" s="223" t="str">
        <f>VLOOKUP($B90,'FRS geographical categories'!$A$2:$C$45,2,FALSE)</f>
        <v>Significantly Rural</v>
      </c>
      <c r="H90" s="223" t="str">
        <f>VLOOKUP($B90,'FRS geographical categories'!$A$2:$C$45,3,FALSE)</f>
        <v>Non-metropolitan</v>
      </c>
      <c r="I90" s="224">
        <v>0</v>
      </c>
    </row>
    <row r="91" spans="1:9" ht="15.5" x14ac:dyDescent="0.35">
      <c r="A91" s="224" t="s">
        <v>7</v>
      </c>
      <c r="B91" s="224" t="s">
        <v>21</v>
      </c>
      <c r="C91" s="224" t="s">
        <v>86</v>
      </c>
      <c r="D91" s="224" t="s">
        <v>9</v>
      </c>
      <c r="E91" s="224" t="s">
        <v>256</v>
      </c>
      <c r="F91" s="224" t="s">
        <v>249</v>
      </c>
      <c r="G91" s="223" t="str">
        <f>VLOOKUP($B91,'FRS geographical categories'!$A$2:$C$45,2,FALSE)</f>
        <v>Significantly Rural</v>
      </c>
      <c r="H91" s="223" t="str">
        <f>VLOOKUP($B91,'FRS geographical categories'!$A$2:$C$45,3,FALSE)</f>
        <v>Non-metropolitan</v>
      </c>
      <c r="I91" s="224">
        <v>0</v>
      </c>
    </row>
    <row r="92" spans="1:9" ht="15.5" x14ac:dyDescent="0.35">
      <c r="A92" s="224" t="s">
        <v>7</v>
      </c>
      <c r="B92" s="224" t="s">
        <v>21</v>
      </c>
      <c r="C92" s="224" t="s">
        <v>86</v>
      </c>
      <c r="D92" s="224" t="s">
        <v>9</v>
      </c>
      <c r="E92" s="224" t="s">
        <v>256</v>
      </c>
      <c r="F92" s="224" t="s">
        <v>250</v>
      </c>
      <c r="G92" s="223" t="str">
        <f>VLOOKUP($B92,'FRS geographical categories'!$A$2:$C$45,2,FALSE)</f>
        <v>Significantly Rural</v>
      </c>
      <c r="H92" s="223" t="str">
        <f>VLOOKUP($B92,'FRS geographical categories'!$A$2:$C$45,3,FALSE)</f>
        <v>Non-metropolitan</v>
      </c>
      <c r="I92" s="224">
        <v>8166</v>
      </c>
    </row>
    <row r="93" spans="1:9" ht="15.5" x14ac:dyDescent="0.35">
      <c r="A93" s="224" t="s">
        <v>7</v>
      </c>
      <c r="B93" s="224" t="s">
        <v>21</v>
      </c>
      <c r="C93" s="224" t="s">
        <v>86</v>
      </c>
      <c r="D93" s="224" t="s">
        <v>9</v>
      </c>
      <c r="E93" s="224" t="s">
        <v>256</v>
      </c>
      <c r="F93" s="224" t="s">
        <v>10</v>
      </c>
      <c r="G93" s="223" t="str">
        <f>VLOOKUP($B93,'FRS geographical categories'!$A$2:$C$45,2,FALSE)</f>
        <v>Significantly Rural</v>
      </c>
      <c r="H93" s="223" t="str">
        <f>VLOOKUP($B93,'FRS geographical categories'!$A$2:$C$45,3,FALSE)</f>
        <v>Non-metropolitan</v>
      </c>
      <c r="I93" s="224">
        <v>11218</v>
      </c>
    </row>
    <row r="94" spans="1:9" ht="15.5" x14ac:dyDescent="0.35">
      <c r="A94" s="224" t="s">
        <v>7</v>
      </c>
      <c r="B94" s="224" t="s">
        <v>21</v>
      </c>
      <c r="C94" s="224" t="s">
        <v>89</v>
      </c>
      <c r="D94" s="224" t="s">
        <v>9</v>
      </c>
      <c r="E94" s="224" t="s">
        <v>256</v>
      </c>
      <c r="F94" s="224" t="s">
        <v>248</v>
      </c>
      <c r="G94" s="223" t="str">
        <f>VLOOKUP($B94,'FRS geographical categories'!$A$2:$C$45,2,FALSE)</f>
        <v>Significantly Rural</v>
      </c>
      <c r="H94" s="223" t="str">
        <f>VLOOKUP($B94,'FRS geographical categories'!$A$2:$C$45,3,FALSE)</f>
        <v>Non-metropolitan</v>
      </c>
      <c r="I94" s="224">
        <v>0</v>
      </c>
    </row>
    <row r="95" spans="1:9" ht="15.5" x14ac:dyDescent="0.35">
      <c r="A95" s="224" t="s">
        <v>7</v>
      </c>
      <c r="B95" s="224" t="s">
        <v>21</v>
      </c>
      <c r="C95" s="224" t="s">
        <v>89</v>
      </c>
      <c r="D95" s="224" t="s">
        <v>9</v>
      </c>
      <c r="E95" s="224" t="s">
        <v>256</v>
      </c>
      <c r="F95" s="224" t="s">
        <v>249</v>
      </c>
      <c r="G95" s="223" t="str">
        <f>VLOOKUP($B95,'FRS geographical categories'!$A$2:$C$45,2,FALSE)</f>
        <v>Significantly Rural</v>
      </c>
      <c r="H95" s="223" t="str">
        <f>VLOOKUP($B95,'FRS geographical categories'!$A$2:$C$45,3,FALSE)</f>
        <v>Non-metropolitan</v>
      </c>
      <c r="I95" s="224">
        <v>0</v>
      </c>
    </row>
    <row r="96" spans="1:9" ht="15.5" x14ac:dyDescent="0.35">
      <c r="A96" s="224" t="s">
        <v>7</v>
      </c>
      <c r="B96" s="224" t="s">
        <v>21</v>
      </c>
      <c r="C96" s="224" t="s">
        <v>89</v>
      </c>
      <c r="D96" s="224" t="s">
        <v>9</v>
      </c>
      <c r="E96" s="224" t="s">
        <v>256</v>
      </c>
      <c r="F96" s="224" t="s">
        <v>250</v>
      </c>
      <c r="G96" s="223" t="str">
        <f>VLOOKUP($B96,'FRS geographical categories'!$A$2:$C$45,2,FALSE)</f>
        <v>Significantly Rural</v>
      </c>
      <c r="H96" s="223" t="str">
        <f>VLOOKUP($B96,'FRS geographical categories'!$A$2:$C$45,3,FALSE)</f>
        <v>Non-metropolitan</v>
      </c>
      <c r="I96" s="224">
        <v>384</v>
      </c>
    </row>
    <row r="97" spans="1:9" ht="15.5" x14ac:dyDescent="0.35">
      <c r="A97" s="224" t="s">
        <v>7</v>
      </c>
      <c r="B97" s="224" t="s">
        <v>21</v>
      </c>
      <c r="C97" s="224" t="s">
        <v>89</v>
      </c>
      <c r="D97" s="224" t="s">
        <v>9</v>
      </c>
      <c r="E97" s="224" t="s">
        <v>256</v>
      </c>
      <c r="F97" s="224" t="s">
        <v>10</v>
      </c>
      <c r="G97" s="223" t="str">
        <f>VLOOKUP($B97,'FRS geographical categories'!$A$2:$C$45,2,FALSE)</f>
        <v>Significantly Rural</v>
      </c>
      <c r="H97" s="223" t="str">
        <f>VLOOKUP($B97,'FRS geographical categories'!$A$2:$C$45,3,FALSE)</f>
        <v>Non-metropolitan</v>
      </c>
      <c r="I97" s="224">
        <v>436</v>
      </c>
    </row>
    <row r="98" spans="1:9" ht="15.5" x14ac:dyDescent="0.35">
      <c r="A98" s="224" t="s">
        <v>7</v>
      </c>
      <c r="B98" s="224" t="s">
        <v>22</v>
      </c>
      <c r="C98" s="224" t="s">
        <v>86</v>
      </c>
      <c r="D98" s="224" t="s">
        <v>9</v>
      </c>
      <c r="E98" s="224" t="s">
        <v>256</v>
      </c>
      <c r="F98" s="224" t="s">
        <v>248</v>
      </c>
      <c r="G98" s="223" t="str">
        <f>VLOOKUP($B98,'FRS geographical categories'!$A$2:$C$45,2,FALSE)</f>
        <v>Predominantly Rural</v>
      </c>
      <c r="H98" s="223" t="str">
        <f>VLOOKUP($B98,'FRS geographical categories'!$A$2:$C$45,3,FALSE)</f>
        <v>Non-metropolitan</v>
      </c>
      <c r="I98" s="224">
        <v>609</v>
      </c>
    </row>
    <row r="99" spans="1:9" ht="15.5" x14ac:dyDescent="0.35">
      <c r="A99" s="224" t="s">
        <v>7</v>
      </c>
      <c r="B99" s="224" t="s">
        <v>22</v>
      </c>
      <c r="C99" s="224" t="s">
        <v>86</v>
      </c>
      <c r="D99" s="224" t="s">
        <v>9</v>
      </c>
      <c r="E99" s="224" t="s">
        <v>256</v>
      </c>
      <c r="F99" s="224" t="s">
        <v>249</v>
      </c>
      <c r="G99" s="223" t="str">
        <f>VLOOKUP($B99,'FRS geographical categories'!$A$2:$C$45,2,FALSE)</f>
        <v>Predominantly Rural</v>
      </c>
      <c r="H99" s="223" t="str">
        <f>VLOOKUP($B99,'FRS geographical categories'!$A$2:$C$45,3,FALSE)</f>
        <v>Non-metropolitan</v>
      </c>
      <c r="I99" s="224">
        <v>848</v>
      </c>
    </row>
    <row r="100" spans="1:9" ht="15.5" x14ac:dyDescent="0.35">
      <c r="A100" s="224" t="s">
        <v>7</v>
      </c>
      <c r="B100" s="224" t="s">
        <v>22</v>
      </c>
      <c r="C100" s="224" t="s">
        <v>86</v>
      </c>
      <c r="D100" s="224" t="s">
        <v>9</v>
      </c>
      <c r="E100" s="224" t="s">
        <v>256</v>
      </c>
      <c r="F100" s="224" t="s">
        <v>250</v>
      </c>
      <c r="G100" s="223" t="str">
        <f>VLOOKUP($B100,'FRS geographical categories'!$A$2:$C$45,2,FALSE)</f>
        <v>Predominantly Rural</v>
      </c>
      <c r="H100" s="223" t="str">
        <f>VLOOKUP($B100,'FRS geographical categories'!$A$2:$C$45,3,FALSE)</f>
        <v>Non-metropolitan</v>
      </c>
      <c r="I100" s="224">
        <v>6459</v>
      </c>
    </row>
    <row r="101" spans="1:9" ht="15.5" x14ac:dyDescent="0.35">
      <c r="A101" s="224" t="s">
        <v>7</v>
      </c>
      <c r="B101" s="224" t="s">
        <v>22</v>
      </c>
      <c r="C101" s="224" t="s">
        <v>86</v>
      </c>
      <c r="D101" s="224" t="s">
        <v>9</v>
      </c>
      <c r="E101" s="224" t="s">
        <v>256</v>
      </c>
      <c r="F101" s="224" t="s">
        <v>10</v>
      </c>
      <c r="G101" s="223" t="str">
        <f>VLOOKUP($B101,'FRS geographical categories'!$A$2:$C$45,2,FALSE)</f>
        <v>Predominantly Rural</v>
      </c>
      <c r="H101" s="223" t="str">
        <f>VLOOKUP($B101,'FRS geographical categories'!$A$2:$C$45,3,FALSE)</f>
        <v>Non-metropolitan</v>
      </c>
      <c r="I101" s="224">
        <v>20143</v>
      </c>
    </row>
    <row r="102" spans="1:9" ht="15.5" x14ac:dyDescent="0.35">
      <c r="A102" s="224" t="s">
        <v>7</v>
      </c>
      <c r="B102" s="224" t="s">
        <v>22</v>
      </c>
      <c r="C102" s="224" t="s">
        <v>89</v>
      </c>
      <c r="D102" s="224" t="s">
        <v>9</v>
      </c>
      <c r="E102" s="224" t="s">
        <v>256</v>
      </c>
      <c r="F102" s="224" t="s">
        <v>248</v>
      </c>
      <c r="G102" s="223" t="str">
        <f>VLOOKUP($B102,'FRS geographical categories'!$A$2:$C$45,2,FALSE)</f>
        <v>Predominantly Rural</v>
      </c>
      <c r="H102" s="223" t="str">
        <f>VLOOKUP($B102,'FRS geographical categories'!$A$2:$C$45,3,FALSE)</f>
        <v>Non-metropolitan</v>
      </c>
      <c r="I102" s="224">
        <v>0</v>
      </c>
    </row>
    <row r="103" spans="1:9" ht="15.5" x14ac:dyDescent="0.35">
      <c r="A103" s="224" t="s">
        <v>7</v>
      </c>
      <c r="B103" s="224" t="s">
        <v>22</v>
      </c>
      <c r="C103" s="224" t="s">
        <v>89</v>
      </c>
      <c r="D103" s="224" t="s">
        <v>9</v>
      </c>
      <c r="E103" s="224" t="s">
        <v>256</v>
      </c>
      <c r="F103" s="224" t="s">
        <v>249</v>
      </c>
      <c r="G103" s="223" t="str">
        <f>VLOOKUP($B103,'FRS geographical categories'!$A$2:$C$45,2,FALSE)</f>
        <v>Predominantly Rural</v>
      </c>
      <c r="H103" s="223" t="str">
        <f>VLOOKUP($B103,'FRS geographical categories'!$A$2:$C$45,3,FALSE)</f>
        <v>Non-metropolitan</v>
      </c>
      <c r="I103" s="224">
        <v>0</v>
      </c>
    </row>
    <row r="104" spans="1:9" ht="15.5" x14ac:dyDescent="0.35">
      <c r="A104" s="224" t="s">
        <v>7</v>
      </c>
      <c r="B104" s="224" t="s">
        <v>22</v>
      </c>
      <c r="C104" s="224" t="s">
        <v>89</v>
      </c>
      <c r="D104" s="224" t="s">
        <v>9</v>
      </c>
      <c r="E104" s="224" t="s">
        <v>256</v>
      </c>
      <c r="F104" s="224" t="s">
        <v>250</v>
      </c>
      <c r="G104" s="223" t="str">
        <f>VLOOKUP($B104,'FRS geographical categories'!$A$2:$C$45,2,FALSE)</f>
        <v>Predominantly Rural</v>
      </c>
      <c r="H104" s="223" t="str">
        <f>VLOOKUP($B104,'FRS geographical categories'!$A$2:$C$45,3,FALSE)</f>
        <v>Non-metropolitan</v>
      </c>
      <c r="I104" s="224">
        <v>0</v>
      </c>
    </row>
    <row r="105" spans="1:9" ht="15.5" x14ac:dyDescent="0.35">
      <c r="A105" s="224" t="s">
        <v>7</v>
      </c>
      <c r="B105" s="224" t="s">
        <v>22</v>
      </c>
      <c r="C105" s="224" t="s">
        <v>89</v>
      </c>
      <c r="D105" s="224" t="s">
        <v>9</v>
      </c>
      <c r="E105" s="224" t="s">
        <v>256</v>
      </c>
      <c r="F105" s="224" t="s">
        <v>10</v>
      </c>
      <c r="G105" s="223" t="str">
        <f>VLOOKUP($B105,'FRS geographical categories'!$A$2:$C$45,2,FALSE)</f>
        <v>Predominantly Rural</v>
      </c>
      <c r="H105" s="223" t="str">
        <f>VLOOKUP($B105,'FRS geographical categories'!$A$2:$C$45,3,FALSE)</f>
        <v>Non-metropolitan</v>
      </c>
      <c r="I105" s="224">
        <v>0</v>
      </c>
    </row>
    <row r="106" spans="1:9" ht="15.5" x14ac:dyDescent="0.35">
      <c r="A106" s="224" t="s">
        <v>7</v>
      </c>
      <c r="B106" s="224" t="s">
        <v>23</v>
      </c>
      <c r="C106" s="224" t="s">
        <v>86</v>
      </c>
      <c r="D106" s="224" t="s">
        <v>9</v>
      </c>
      <c r="E106" s="224" t="s">
        <v>256</v>
      </c>
      <c r="F106" s="224" t="s">
        <v>248</v>
      </c>
      <c r="G106" s="223" t="str">
        <f>VLOOKUP($B106,'FRS geographical categories'!$A$2:$C$45,2,FALSE)</f>
        <v>Significantly Rural</v>
      </c>
      <c r="H106" s="223" t="str">
        <f>VLOOKUP($B106,'FRS geographical categories'!$A$2:$C$45,3,FALSE)</f>
        <v>Non-metropolitan</v>
      </c>
      <c r="I106" s="224">
        <v>818</v>
      </c>
    </row>
    <row r="107" spans="1:9" ht="15.5" x14ac:dyDescent="0.35">
      <c r="A107" s="224" t="s">
        <v>7</v>
      </c>
      <c r="B107" s="224" t="s">
        <v>23</v>
      </c>
      <c r="C107" s="224" t="s">
        <v>86</v>
      </c>
      <c r="D107" s="224" t="s">
        <v>9</v>
      </c>
      <c r="E107" s="224" t="s">
        <v>256</v>
      </c>
      <c r="F107" s="224" t="s">
        <v>249</v>
      </c>
      <c r="G107" s="223" t="str">
        <f>VLOOKUP($B107,'FRS geographical categories'!$A$2:$C$45,2,FALSE)</f>
        <v>Significantly Rural</v>
      </c>
      <c r="H107" s="223" t="str">
        <f>VLOOKUP($B107,'FRS geographical categories'!$A$2:$C$45,3,FALSE)</f>
        <v>Non-metropolitan</v>
      </c>
      <c r="I107" s="224">
        <v>3420</v>
      </c>
    </row>
    <row r="108" spans="1:9" ht="15.5" x14ac:dyDescent="0.35">
      <c r="A108" s="224" t="s">
        <v>7</v>
      </c>
      <c r="B108" s="224" t="s">
        <v>23</v>
      </c>
      <c r="C108" s="224" t="s">
        <v>86</v>
      </c>
      <c r="D108" s="224" t="s">
        <v>9</v>
      </c>
      <c r="E108" s="224" t="s">
        <v>256</v>
      </c>
      <c r="F108" s="224" t="s">
        <v>250</v>
      </c>
      <c r="G108" s="223" t="str">
        <f>VLOOKUP($B108,'FRS geographical categories'!$A$2:$C$45,2,FALSE)</f>
        <v>Significantly Rural</v>
      </c>
      <c r="H108" s="223" t="str">
        <f>VLOOKUP($B108,'FRS geographical categories'!$A$2:$C$45,3,FALSE)</f>
        <v>Non-metropolitan</v>
      </c>
      <c r="I108" s="224">
        <v>3342</v>
      </c>
    </row>
    <row r="109" spans="1:9" ht="15.5" x14ac:dyDescent="0.35">
      <c r="A109" s="224" t="s">
        <v>7</v>
      </c>
      <c r="B109" s="224" t="s">
        <v>23</v>
      </c>
      <c r="C109" s="224" t="s">
        <v>86</v>
      </c>
      <c r="D109" s="224" t="s">
        <v>9</v>
      </c>
      <c r="E109" s="224" t="s">
        <v>256</v>
      </c>
      <c r="F109" s="224" t="s">
        <v>10</v>
      </c>
      <c r="G109" s="223" t="str">
        <f>VLOOKUP($B109,'FRS geographical categories'!$A$2:$C$45,2,FALSE)</f>
        <v>Significantly Rural</v>
      </c>
      <c r="H109" s="223" t="str">
        <f>VLOOKUP($B109,'FRS geographical categories'!$A$2:$C$45,3,FALSE)</f>
        <v>Non-metropolitan</v>
      </c>
      <c r="I109" s="224">
        <v>11051</v>
      </c>
    </row>
    <row r="110" spans="1:9" ht="15.5" x14ac:dyDescent="0.35">
      <c r="A110" s="224" t="s">
        <v>7</v>
      </c>
      <c r="B110" s="224" t="s">
        <v>23</v>
      </c>
      <c r="C110" s="224" t="s">
        <v>89</v>
      </c>
      <c r="D110" s="224" t="s">
        <v>9</v>
      </c>
      <c r="E110" s="224" t="s">
        <v>256</v>
      </c>
      <c r="F110" s="224" t="s">
        <v>248</v>
      </c>
      <c r="G110" s="223" t="str">
        <f>VLOOKUP($B110,'FRS geographical categories'!$A$2:$C$45,2,FALSE)</f>
        <v>Significantly Rural</v>
      </c>
      <c r="H110" s="223" t="str">
        <f>VLOOKUP($B110,'FRS geographical categories'!$A$2:$C$45,3,FALSE)</f>
        <v>Non-metropolitan</v>
      </c>
      <c r="I110" s="224">
        <v>0</v>
      </c>
    </row>
    <row r="111" spans="1:9" ht="15.5" x14ac:dyDescent="0.35">
      <c r="A111" s="224" t="s">
        <v>7</v>
      </c>
      <c r="B111" s="224" t="s">
        <v>23</v>
      </c>
      <c r="C111" s="224" t="s">
        <v>89</v>
      </c>
      <c r="D111" s="224" t="s">
        <v>9</v>
      </c>
      <c r="E111" s="224" t="s">
        <v>256</v>
      </c>
      <c r="F111" s="224" t="s">
        <v>249</v>
      </c>
      <c r="G111" s="223" t="str">
        <f>VLOOKUP($B111,'FRS geographical categories'!$A$2:$C$45,2,FALSE)</f>
        <v>Significantly Rural</v>
      </c>
      <c r="H111" s="223" t="str">
        <f>VLOOKUP($B111,'FRS geographical categories'!$A$2:$C$45,3,FALSE)</f>
        <v>Non-metropolitan</v>
      </c>
      <c r="I111" s="224">
        <v>0</v>
      </c>
    </row>
    <row r="112" spans="1:9" ht="15.5" x14ac:dyDescent="0.35">
      <c r="A112" s="224" t="s">
        <v>7</v>
      </c>
      <c r="B112" s="224" t="s">
        <v>23</v>
      </c>
      <c r="C112" s="224" t="s">
        <v>89</v>
      </c>
      <c r="D112" s="224" t="s">
        <v>9</v>
      </c>
      <c r="E112" s="224" t="s">
        <v>256</v>
      </c>
      <c r="F112" s="224" t="s">
        <v>250</v>
      </c>
      <c r="G112" s="223" t="str">
        <f>VLOOKUP($B112,'FRS geographical categories'!$A$2:$C$45,2,FALSE)</f>
        <v>Significantly Rural</v>
      </c>
      <c r="H112" s="223" t="str">
        <f>VLOOKUP($B112,'FRS geographical categories'!$A$2:$C$45,3,FALSE)</f>
        <v>Non-metropolitan</v>
      </c>
      <c r="I112" s="224">
        <v>0</v>
      </c>
    </row>
    <row r="113" spans="1:9" ht="15.5" x14ac:dyDescent="0.35">
      <c r="A113" s="224" t="s">
        <v>7</v>
      </c>
      <c r="B113" s="224" t="s">
        <v>23</v>
      </c>
      <c r="C113" s="224" t="s">
        <v>89</v>
      </c>
      <c r="D113" s="224" t="s">
        <v>9</v>
      </c>
      <c r="E113" s="224" t="s">
        <v>256</v>
      </c>
      <c r="F113" s="224" t="s">
        <v>10</v>
      </c>
      <c r="G113" s="223" t="str">
        <f>VLOOKUP($B113,'FRS geographical categories'!$A$2:$C$45,2,FALSE)</f>
        <v>Significantly Rural</v>
      </c>
      <c r="H113" s="223" t="str">
        <f>VLOOKUP($B113,'FRS geographical categories'!$A$2:$C$45,3,FALSE)</f>
        <v>Non-metropolitan</v>
      </c>
      <c r="I113" s="224">
        <v>0</v>
      </c>
    </row>
    <row r="114" spans="1:9" ht="15.5" x14ac:dyDescent="0.35">
      <c r="A114" s="224" t="s">
        <v>7</v>
      </c>
      <c r="B114" s="224" t="s">
        <v>24</v>
      </c>
      <c r="C114" s="224" t="s">
        <v>86</v>
      </c>
      <c r="D114" s="224" t="s">
        <v>9</v>
      </c>
      <c r="E114" s="224" t="s">
        <v>256</v>
      </c>
      <c r="F114" s="224" t="s">
        <v>248</v>
      </c>
      <c r="G114" s="223" t="str">
        <f>VLOOKUP($B114,'FRS geographical categories'!$A$2:$C$45,2,FALSE)</f>
        <v>Significantly Rural</v>
      </c>
      <c r="H114" s="223" t="str">
        <f>VLOOKUP($B114,'FRS geographical categories'!$A$2:$C$45,3,FALSE)</f>
        <v>Non-metropolitan</v>
      </c>
      <c r="I114" s="224">
        <v>422</v>
      </c>
    </row>
    <row r="115" spans="1:9" ht="15.5" x14ac:dyDescent="0.35">
      <c r="A115" s="224" t="s">
        <v>7</v>
      </c>
      <c r="B115" s="224" t="s">
        <v>24</v>
      </c>
      <c r="C115" s="224" t="s">
        <v>86</v>
      </c>
      <c r="D115" s="224" t="s">
        <v>9</v>
      </c>
      <c r="E115" s="224" t="s">
        <v>256</v>
      </c>
      <c r="F115" s="224" t="s">
        <v>249</v>
      </c>
      <c r="G115" s="223" t="str">
        <f>VLOOKUP($B115,'FRS geographical categories'!$A$2:$C$45,2,FALSE)</f>
        <v>Significantly Rural</v>
      </c>
      <c r="H115" s="223" t="str">
        <f>VLOOKUP($B115,'FRS geographical categories'!$A$2:$C$45,3,FALSE)</f>
        <v>Non-metropolitan</v>
      </c>
      <c r="I115" s="224">
        <v>1631</v>
      </c>
    </row>
    <row r="116" spans="1:9" ht="15.5" x14ac:dyDescent="0.35">
      <c r="A116" s="224" t="s">
        <v>7</v>
      </c>
      <c r="B116" s="224" t="s">
        <v>24</v>
      </c>
      <c r="C116" s="224" t="s">
        <v>86</v>
      </c>
      <c r="D116" s="224" t="s">
        <v>9</v>
      </c>
      <c r="E116" s="224" t="s">
        <v>256</v>
      </c>
      <c r="F116" s="224" t="s">
        <v>250</v>
      </c>
      <c r="G116" s="223" t="str">
        <f>VLOOKUP($B116,'FRS geographical categories'!$A$2:$C$45,2,FALSE)</f>
        <v>Significantly Rural</v>
      </c>
      <c r="H116" s="223" t="str">
        <f>VLOOKUP($B116,'FRS geographical categories'!$A$2:$C$45,3,FALSE)</f>
        <v>Non-metropolitan</v>
      </c>
      <c r="I116" s="224">
        <v>4655</v>
      </c>
    </row>
    <row r="117" spans="1:9" ht="15.5" x14ac:dyDescent="0.35">
      <c r="A117" s="224" t="s">
        <v>7</v>
      </c>
      <c r="B117" s="224" t="s">
        <v>24</v>
      </c>
      <c r="C117" s="224" t="s">
        <v>86</v>
      </c>
      <c r="D117" s="224" t="s">
        <v>9</v>
      </c>
      <c r="E117" s="224" t="s">
        <v>256</v>
      </c>
      <c r="F117" s="224" t="s">
        <v>10</v>
      </c>
      <c r="G117" s="223" t="str">
        <f>VLOOKUP($B117,'FRS geographical categories'!$A$2:$C$45,2,FALSE)</f>
        <v>Significantly Rural</v>
      </c>
      <c r="H117" s="223" t="str">
        <f>VLOOKUP($B117,'FRS geographical categories'!$A$2:$C$45,3,FALSE)</f>
        <v>Non-metropolitan</v>
      </c>
      <c r="I117" s="224">
        <v>8346</v>
      </c>
    </row>
    <row r="118" spans="1:9" ht="15.5" x14ac:dyDescent="0.35">
      <c r="A118" s="224" t="s">
        <v>7</v>
      </c>
      <c r="B118" s="224" t="s">
        <v>24</v>
      </c>
      <c r="C118" s="224" t="s">
        <v>89</v>
      </c>
      <c r="D118" s="224" t="s">
        <v>9</v>
      </c>
      <c r="E118" s="224" t="s">
        <v>256</v>
      </c>
      <c r="F118" s="224" t="s">
        <v>248</v>
      </c>
      <c r="G118" s="223" t="str">
        <f>VLOOKUP($B118,'FRS geographical categories'!$A$2:$C$45,2,FALSE)</f>
        <v>Significantly Rural</v>
      </c>
      <c r="H118" s="223" t="str">
        <f>VLOOKUP($B118,'FRS geographical categories'!$A$2:$C$45,3,FALSE)</f>
        <v>Non-metropolitan</v>
      </c>
      <c r="I118" s="224">
        <v>0</v>
      </c>
    </row>
    <row r="119" spans="1:9" ht="15.5" x14ac:dyDescent="0.35">
      <c r="A119" s="224" t="s">
        <v>7</v>
      </c>
      <c r="B119" s="224" t="s">
        <v>24</v>
      </c>
      <c r="C119" s="224" t="s">
        <v>89</v>
      </c>
      <c r="D119" s="224" t="s">
        <v>9</v>
      </c>
      <c r="E119" s="224" t="s">
        <v>256</v>
      </c>
      <c r="F119" s="224" t="s">
        <v>249</v>
      </c>
      <c r="G119" s="223" t="str">
        <f>VLOOKUP($B119,'FRS geographical categories'!$A$2:$C$45,2,FALSE)</f>
        <v>Significantly Rural</v>
      </c>
      <c r="H119" s="223" t="str">
        <f>VLOOKUP($B119,'FRS geographical categories'!$A$2:$C$45,3,FALSE)</f>
        <v>Non-metropolitan</v>
      </c>
      <c r="I119" s="224">
        <v>1</v>
      </c>
    </row>
    <row r="120" spans="1:9" ht="15.5" x14ac:dyDescent="0.35">
      <c r="A120" s="224" t="s">
        <v>7</v>
      </c>
      <c r="B120" s="224" t="s">
        <v>24</v>
      </c>
      <c r="C120" s="224" t="s">
        <v>89</v>
      </c>
      <c r="D120" s="224" t="s">
        <v>9</v>
      </c>
      <c r="E120" s="224" t="s">
        <v>256</v>
      </c>
      <c r="F120" s="224" t="s">
        <v>250</v>
      </c>
      <c r="G120" s="223" t="str">
        <f>VLOOKUP($B120,'FRS geographical categories'!$A$2:$C$45,2,FALSE)</f>
        <v>Significantly Rural</v>
      </c>
      <c r="H120" s="223" t="str">
        <f>VLOOKUP($B120,'FRS geographical categories'!$A$2:$C$45,3,FALSE)</f>
        <v>Non-metropolitan</v>
      </c>
      <c r="I120" s="224">
        <v>7</v>
      </c>
    </row>
    <row r="121" spans="1:9" ht="15.5" x14ac:dyDescent="0.35">
      <c r="A121" s="224" t="s">
        <v>7</v>
      </c>
      <c r="B121" s="224" t="s">
        <v>24</v>
      </c>
      <c r="C121" s="224" t="s">
        <v>89</v>
      </c>
      <c r="D121" s="224" t="s">
        <v>9</v>
      </c>
      <c r="E121" s="224" t="s">
        <v>256</v>
      </c>
      <c r="F121" s="224" t="s">
        <v>10</v>
      </c>
      <c r="G121" s="223" t="str">
        <f>VLOOKUP($B121,'FRS geographical categories'!$A$2:$C$45,2,FALSE)</f>
        <v>Significantly Rural</v>
      </c>
      <c r="H121" s="223" t="str">
        <f>VLOOKUP($B121,'FRS geographical categories'!$A$2:$C$45,3,FALSE)</f>
        <v>Non-metropolitan</v>
      </c>
      <c r="I121" s="224">
        <v>66</v>
      </c>
    </row>
    <row r="122" spans="1:9" ht="15.5" x14ac:dyDescent="0.35">
      <c r="A122" s="224" t="s">
        <v>7</v>
      </c>
      <c r="B122" s="224" t="s">
        <v>25</v>
      </c>
      <c r="C122" s="224" t="s">
        <v>86</v>
      </c>
      <c r="D122" s="224" t="s">
        <v>9</v>
      </c>
      <c r="E122" s="224" t="s">
        <v>256</v>
      </c>
      <c r="F122" s="224" t="s">
        <v>248</v>
      </c>
      <c r="G122" s="223" t="str">
        <f>VLOOKUP($B122,'FRS geographical categories'!$A$2:$C$45,2,FALSE)</f>
        <v>Significantly Rural</v>
      </c>
      <c r="H122" s="223" t="str">
        <f>VLOOKUP($B122,'FRS geographical categories'!$A$2:$C$45,3,FALSE)</f>
        <v>Non-metropolitan</v>
      </c>
      <c r="I122" s="224">
        <v>0</v>
      </c>
    </row>
    <row r="123" spans="1:9" ht="15.5" x14ac:dyDescent="0.35">
      <c r="A123" s="224" t="s">
        <v>7</v>
      </c>
      <c r="B123" s="224" t="s">
        <v>25</v>
      </c>
      <c r="C123" s="224" t="s">
        <v>86</v>
      </c>
      <c r="D123" s="224" t="s">
        <v>9</v>
      </c>
      <c r="E123" s="224" t="s">
        <v>256</v>
      </c>
      <c r="F123" s="224" t="s">
        <v>249</v>
      </c>
      <c r="G123" s="223" t="str">
        <f>VLOOKUP($B123,'FRS geographical categories'!$A$2:$C$45,2,FALSE)</f>
        <v>Significantly Rural</v>
      </c>
      <c r="H123" s="223" t="str">
        <f>VLOOKUP($B123,'FRS geographical categories'!$A$2:$C$45,3,FALSE)</f>
        <v>Non-metropolitan</v>
      </c>
      <c r="I123" s="224">
        <v>4312</v>
      </c>
    </row>
    <row r="124" spans="1:9" ht="15.5" x14ac:dyDescent="0.35">
      <c r="A124" s="224" t="s">
        <v>7</v>
      </c>
      <c r="B124" s="224" t="s">
        <v>25</v>
      </c>
      <c r="C124" s="224" t="s">
        <v>86</v>
      </c>
      <c r="D124" s="224" t="s">
        <v>9</v>
      </c>
      <c r="E124" s="224" t="s">
        <v>256</v>
      </c>
      <c r="F124" s="224" t="s">
        <v>250</v>
      </c>
      <c r="G124" s="223" t="str">
        <f>VLOOKUP($B124,'FRS geographical categories'!$A$2:$C$45,2,FALSE)</f>
        <v>Significantly Rural</v>
      </c>
      <c r="H124" s="223" t="str">
        <f>VLOOKUP($B124,'FRS geographical categories'!$A$2:$C$45,3,FALSE)</f>
        <v>Non-metropolitan</v>
      </c>
      <c r="I124" s="224">
        <v>0</v>
      </c>
    </row>
    <row r="125" spans="1:9" ht="15.5" x14ac:dyDescent="0.35">
      <c r="A125" s="224" t="s">
        <v>7</v>
      </c>
      <c r="B125" s="224" t="s">
        <v>25</v>
      </c>
      <c r="C125" s="224" t="s">
        <v>86</v>
      </c>
      <c r="D125" s="224" t="s">
        <v>9</v>
      </c>
      <c r="E125" s="224" t="s">
        <v>256</v>
      </c>
      <c r="F125" s="224" t="s">
        <v>10</v>
      </c>
      <c r="G125" s="223" t="str">
        <f>VLOOKUP($B125,'FRS geographical categories'!$A$2:$C$45,2,FALSE)</f>
        <v>Significantly Rural</v>
      </c>
      <c r="H125" s="223" t="str">
        <f>VLOOKUP($B125,'FRS geographical categories'!$A$2:$C$45,3,FALSE)</f>
        <v>Non-metropolitan</v>
      </c>
      <c r="I125" s="224">
        <v>8058</v>
      </c>
    </row>
    <row r="126" spans="1:9" ht="15.5" x14ac:dyDescent="0.35">
      <c r="A126" s="224" t="s">
        <v>7</v>
      </c>
      <c r="B126" s="224" t="s">
        <v>25</v>
      </c>
      <c r="C126" s="224" t="s">
        <v>89</v>
      </c>
      <c r="D126" s="224" t="s">
        <v>9</v>
      </c>
      <c r="E126" s="224" t="s">
        <v>256</v>
      </c>
      <c r="F126" s="224" t="s">
        <v>248</v>
      </c>
      <c r="G126" s="223" t="str">
        <f>VLOOKUP($B126,'FRS geographical categories'!$A$2:$C$45,2,FALSE)</f>
        <v>Significantly Rural</v>
      </c>
      <c r="H126" s="223" t="str">
        <f>VLOOKUP($B126,'FRS geographical categories'!$A$2:$C$45,3,FALSE)</f>
        <v>Non-metropolitan</v>
      </c>
      <c r="I126" s="224">
        <v>0</v>
      </c>
    </row>
    <row r="127" spans="1:9" ht="15.5" x14ac:dyDescent="0.35">
      <c r="A127" s="224" t="s">
        <v>7</v>
      </c>
      <c r="B127" s="224" t="s">
        <v>25</v>
      </c>
      <c r="C127" s="224" t="s">
        <v>89</v>
      </c>
      <c r="D127" s="224" t="s">
        <v>9</v>
      </c>
      <c r="E127" s="224" t="s">
        <v>256</v>
      </c>
      <c r="F127" s="224" t="s">
        <v>249</v>
      </c>
      <c r="G127" s="223" t="str">
        <f>VLOOKUP($B127,'FRS geographical categories'!$A$2:$C$45,2,FALSE)</f>
        <v>Significantly Rural</v>
      </c>
      <c r="H127" s="223" t="str">
        <f>VLOOKUP($B127,'FRS geographical categories'!$A$2:$C$45,3,FALSE)</f>
        <v>Non-metropolitan</v>
      </c>
      <c r="I127" s="224">
        <v>0</v>
      </c>
    </row>
    <row r="128" spans="1:9" ht="15.5" x14ac:dyDescent="0.35">
      <c r="A128" s="224" t="s">
        <v>7</v>
      </c>
      <c r="B128" s="224" t="s">
        <v>25</v>
      </c>
      <c r="C128" s="224" t="s">
        <v>89</v>
      </c>
      <c r="D128" s="224" t="s">
        <v>9</v>
      </c>
      <c r="E128" s="224" t="s">
        <v>256</v>
      </c>
      <c r="F128" s="224" t="s">
        <v>250</v>
      </c>
      <c r="G128" s="223" t="str">
        <f>VLOOKUP($B128,'FRS geographical categories'!$A$2:$C$45,2,FALSE)</f>
        <v>Significantly Rural</v>
      </c>
      <c r="H128" s="223" t="str">
        <f>VLOOKUP($B128,'FRS geographical categories'!$A$2:$C$45,3,FALSE)</f>
        <v>Non-metropolitan</v>
      </c>
      <c r="I128" s="224">
        <v>0</v>
      </c>
    </row>
    <row r="129" spans="1:9" ht="15.5" x14ac:dyDescent="0.35">
      <c r="A129" s="224" t="s">
        <v>7</v>
      </c>
      <c r="B129" s="224" t="s">
        <v>25</v>
      </c>
      <c r="C129" s="224" t="s">
        <v>89</v>
      </c>
      <c r="D129" s="224" t="s">
        <v>9</v>
      </c>
      <c r="E129" s="224" t="s">
        <v>256</v>
      </c>
      <c r="F129" s="224" t="s">
        <v>10</v>
      </c>
      <c r="G129" s="223" t="str">
        <f>VLOOKUP($B129,'FRS geographical categories'!$A$2:$C$45,2,FALSE)</f>
        <v>Significantly Rural</v>
      </c>
      <c r="H129" s="223" t="str">
        <f>VLOOKUP($B129,'FRS geographical categories'!$A$2:$C$45,3,FALSE)</f>
        <v>Non-metropolitan</v>
      </c>
      <c r="I129" s="224">
        <v>0</v>
      </c>
    </row>
    <row r="130" spans="1:9" ht="15.5" x14ac:dyDescent="0.35">
      <c r="A130" s="224" t="s">
        <v>7</v>
      </c>
      <c r="B130" s="224" t="s">
        <v>26</v>
      </c>
      <c r="C130" s="224" t="s">
        <v>86</v>
      </c>
      <c r="D130" s="224" t="s">
        <v>9</v>
      </c>
      <c r="E130" s="224" t="s">
        <v>256</v>
      </c>
      <c r="F130" s="224" t="s">
        <v>248</v>
      </c>
      <c r="G130" s="223" t="str">
        <f>VLOOKUP($B130,'FRS geographical categories'!$A$2:$C$45,2,FALSE)</f>
        <v>Predominantly Urban</v>
      </c>
      <c r="H130" s="223" t="str">
        <f>VLOOKUP($B130,'FRS geographical categories'!$A$2:$C$45,3,FALSE)</f>
        <v>Metropolitan</v>
      </c>
      <c r="I130" s="224">
        <v>8214</v>
      </c>
    </row>
    <row r="131" spans="1:9" ht="15.5" x14ac:dyDescent="0.35">
      <c r="A131" s="224" t="s">
        <v>7</v>
      </c>
      <c r="B131" s="224" t="s">
        <v>26</v>
      </c>
      <c r="C131" s="224" t="s">
        <v>86</v>
      </c>
      <c r="D131" s="224" t="s">
        <v>9</v>
      </c>
      <c r="E131" s="224" t="s">
        <v>256</v>
      </c>
      <c r="F131" s="224" t="s">
        <v>249</v>
      </c>
      <c r="G131" s="223" t="str">
        <f>VLOOKUP($B131,'FRS geographical categories'!$A$2:$C$45,2,FALSE)</f>
        <v>Predominantly Urban</v>
      </c>
      <c r="H131" s="223" t="str">
        <f>VLOOKUP($B131,'FRS geographical categories'!$A$2:$C$45,3,FALSE)</f>
        <v>Metropolitan</v>
      </c>
      <c r="I131" s="224">
        <v>22700</v>
      </c>
    </row>
    <row r="132" spans="1:9" ht="15.5" x14ac:dyDescent="0.35">
      <c r="A132" s="224" t="s">
        <v>7</v>
      </c>
      <c r="B132" s="224" t="s">
        <v>26</v>
      </c>
      <c r="C132" s="224" t="s">
        <v>86</v>
      </c>
      <c r="D132" s="224" t="s">
        <v>9</v>
      </c>
      <c r="E132" s="224" t="s">
        <v>256</v>
      </c>
      <c r="F132" s="224" t="s">
        <v>250</v>
      </c>
      <c r="G132" s="223" t="str">
        <f>VLOOKUP($B132,'FRS geographical categories'!$A$2:$C$45,2,FALSE)</f>
        <v>Predominantly Urban</v>
      </c>
      <c r="H132" s="223" t="str">
        <f>VLOOKUP($B132,'FRS geographical categories'!$A$2:$C$45,3,FALSE)</f>
        <v>Metropolitan</v>
      </c>
      <c r="I132" s="224">
        <v>15590</v>
      </c>
    </row>
    <row r="133" spans="1:9" ht="15.5" x14ac:dyDescent="0.35">
      <c r="A133" s="224" t="s">
        <v>7</v>
      </c>
      <c r="B133" s="224" t="s">
        <v>26</v>
      </c>
      <c r="C133" s="224" t="s">
        <v>86</v>
      </c>
      <c r="D133" s="224" t="s">
        <v>9</v>
      </c>
      <c r="E133" s="224" t="s">
        <v>256</v>
      </c>
      <c r="F133" s="224" t="s">
        <v>10</v>
      </c>
      <c r="G133" s="223" t="str">
        <f>VLOOKUP($B133,'FRS geographical categories'!$A$2:$C$45,2,FALSE)</f>
        <v>Predominantly Urban</v>
      </c>
      <c r="H133" s="223" t="str">
        <f>VLOOKUP($B133,'FRS geographical categories'!$A$2:$C$45,3,FALSE)</f>
        <v>Metropolitan</v>
      </c>
      <c r="I133" s="224">
        <v>81295</v>
      </c>
    </row>
    <row r="134" spans="1:9" ht="15.5" x14ac:dyDescent="0.35">
      <c r="A134" s="224" t="s">
        <v>7</v>
      </c>
      <c r="B134" s="224" t="s">
        <v>26</v>
      </c>
      <c r="C134" s="224" t="s">
        <v>89</v>
      </c>
      <c r="D134" s="224" t="s">
        <v>9</v>
      </c>
      <c r="E134" s="224" t="s">
        <v>256</v>
      </c>
      <c r="F134" s="224" t="s">
        <v>248</v>
      </c>
      <c r="G134" s="223" t="str">
        <f>VLOOKUP($B134,'FRS geographical categories'!$A$2:$C$45,2,FALSE)</f>
        <v>Predominantly Urban</v>
      </c>
      <c r="H134" s="223" t="str">
        <f>VLOOKUP($B134,'FRS geographical categories'!$A$2:$C$45,3,FALSE)</f>
        <v>Metropolitan</v>
      </c>
      <c r="I134" s="224">
        <v>702</v>
      </c>
    </row>
    <row r="135" spans="1:9" ht="15.5" x14ac:dyDescent="0.35">
      <c r="A135" s="224" t="s">
        <v>7</v>
      </c>
      <c r="B135" s="224" t="s">
        <v>26</v>
      </c>
      <c r="C135" s="224" t="s">
        <v>89</v>
      </c>
      <c r="D135" s="224" t="s">
        <v>9</v>
      </c>
      <c r="E135" s="224" t="s">
        <v>256</v>
      </c>
      <c r="F135" s="224" t="s">
        <v>249</v>
      </c>
      <c r="G135" s="223" t="str">
        <f>VLOOKUP($B135,'FRS geographical categories'!$A$2:$C$45,2,FALSE)</f>
        <v>Predominantly Urban</v>
      </c>
      <c r="H135" s="223" t="str">
        <f>VLOOKUP($B135,'FRS geographical categories'!$A$2:$C$45,3,FALSE)</f>
        <v>Metropolitan</v>
      </c>
      <c r="I135" s="224">
        <v>89</v>
      </c>
    </row>
    <row r="136" spans="1:9" ht="15.5" x14ac:dyDescent="0.35">
      <c r="A136" s="224" t="s">
        <v>7</v>
      </c>
      <c r="B136" s="224" t="s">
        <v>26</v>
      </c>
      <c r="C136" s="224" t="s">
        <v>89</v>
      </c>
      <c r="D136" s="224" t="s">
        <v>9</v>
      </c>
      <c r="E136" s="224" t="s">
        <v>256</v>
      </c>
      <c r="F136" s="224" t="s">
        <v>250</v>
      </c>
      <c r="G136" s="223" t="str">
        <f>VLOOKUP($B136,'FRS geographical categories'!$A$2:$C$45,2,FALSE)</f>
        <v>Predominantly Urban</v>
      </c>
      <c r="H136" s="223" t="str">
        <f>VLOOKUP($B136,'FRS geographical categories'!$A$2:$C$45,3,FALSE)</f>
        <v>Metropolitan</v>
      </c>
      <c r="I136" s="224">
        <v>68</v>
      </c>
    </row>
    <row r="137" spans="1:9" ht="15.5" x14ac:dyDescent="0.35">
      <c r="A137" s="224" t="s">
        <v>7</v>
      </c>
      <c r="B137" s="224" t="s">
        <v>26</v>
      </c>
      <c r="C137" s="224" t="s">
        <v>89</v>
      </c>
      <c r="D137" s="224" t="s">
        <v>9</v>
      </c>
      <c r="E137" s="224" t="s">
        <v>256</v>
      </c>
      <c r="F137" s="224" t="s">
        <v>10</v>
      </c>
      <c r="G137" s="223" t="str">
        <f>VLOOKUP($B137,'FRS geographical categories'!$A$2:$C$45,2,FALSE)</f>
        <v>Predominantly Urban</v>
      </c>
      <c r="H137" s="223" t="str">
        <f>VLOOKUP($B137,'FRS geographical categories'!$A$2:$C$45,3,FALSE)</f>
        <v>Metropolitan</v>
      </c>
      <c r="I137" s="224">
        <v>3005</v>
      </c>
    </row>
    <row r="138" spans="1:9" ht="15.5" x14ac:dyDescent="0.35">
      <c r="A138" s="224" t="s">
        <v>7</v>
      </c>
      <c r="B138" s="224" t="s">
        <v>27</v>
      </c>
      <c r="C138" s="224" t="s">
        <v>86</v>
      </c>
      <c r="D138" s="224" t="s">
        <v>9</v>
      </c>
      <c r="E138" s="224" t="s">
        <v>256</v>
      </c>
      <c r="F138" s="224" t="s">
        <v>248</v>
      </c>
      <c r="G138" s="223" t="str">
        <f>VLOOKUP($B138,'FRS geographical categories'!$A$2:$C$45,2,FALSE)</f>
        <v>Predominantly Urban</v>
      </c>
      <c r="H138" s="223" t="str">
        <f>VLOOKUP($B138,'FRS geographical categories'!$A$2:$C$45,3,FALSE)</f>
        <v>Metropolitan</v>
      </c>
      <c r="I138" s="224">
        <v>620</v>
      </c>
    </row>
    <row r="139" spans="1:9" ht="15.5" x14ac:dyDescent="0.35">
      <c r="A139" s="224" t="s">
        <v>7</v>
      </c>
      <c r="B139" s="224" t="s">
        <v>27</v>
      </c>
      <c r="C139" s="224" t="s">
        <v>86</v>
      </c>
      <c r="D139" s="224" t="s">
        <v>9</v>
      </c>
      <c r="E139" s="224" t="s">
        <v>256</v>
      </c>
      <c r="F139" s="224" t="s">
        <v>249</v>
      </c>
      <c r="G139" s="223" t="str">
        <f>VLOOKUP($B139,'FRS geographical categories'!$A$2:$C$45,2,FALSE)</f>
        <v>Predominantly Urban</v>
      </c>
      <c r="H139" s="223" t="str">
        <f>VLOOKUP($B139,'FRS geographical categories'!$A$2:$C$45,3,FALSE)</f>
        <v>Metropolitan</v>
      </c>
      <c r="I139" s="224">
        <v>1474</v>
      </c>
    </row>
    <row r="140" spans="1:9" ht="15.5" x14ac:dyDescent="0.35">
      <c r="A140" s="224" t="s">
        <v>7</v>
      </c>
      <c r="B140" s="224" t="s">
        <v>27</v>
      </c>
      <c r="C140" s="224" t="s">
        <v>86</v>
      </c>
      <c r="D140" s="224" t="s">
        <v>9</v>
      </c>
      <c r="E140" s="224" t="s">
        <v>256</v>
      </c>
      <c r="F140" s="224" t="s">
        <v>250</v>
      </c>
      <c r="G140" s="223" t="str">
        <f>VLOOKUP($B140,'FRS geographical categories'!$A$2:$C$45,2,FALSE)</f>
        <v>Predominantly Urban</v>
      </c>
      <c r="H140" s="223" t="str">
        <f>VLOOKUP($B140,'FRS geographical categories'!$A$2:$C$45,3,FALSE)</f>
        <v>Metropolitan</v>
      </c>
      <c r="I140" s="224">
        <v>8132</v>
      </c>
    </row>
    <row r="141" spans="1:9" ht="15.5" x14ac:dyDescent="0.35">
      <c r="A141" s="224" t="s">
        <v>7</v>
      </c>
      <c r="B141" s="224" t="s">
        <v>27</v>
      </c>
      <c r="C141" s="224" t="s">
        <v>86</v>
      </c>
      <c r="D141" s="224" t="s">
        <v>9</v>
      </c>
      <c r="E141" s="224" t="s">
        <v>256</v>
      </c>
      <c r="F141" s="224" t="s">
        <v>10</v>
      </c>
      <c r="G141" s="223" t="str">
        <f>VLOOKUP($B141,'FRS geographical categories'!$A$2:$C$45,2,FALSE)</f>
        <v>Predominantly Urban</v>
      </c>
      <c r="H141" s="223" t="str">
        <f>VLOOKUP($B141,'FRS geographical categories'!$A$2:$C$45,3,FALSE)</f>
        <v>Metropolitan</v>
      </c>
      <c r="I141" s="224">
        <v>27190</v>
      </c>
    </row>
    <row r="142" spans="1:9" ht="15.5" x14ac:dyDescent="0.35">
      <c r="A142" s="224" t="s">
        <v>7</v>
      </c>
      <c r="B142" s="224" t="s">
        <v>27</v>
      </c>
      <c r="C142" s="224" t="s">
        <v>89</v>
      </c>
      <c r="D142" s="224" t="s">
        <v>9</v>
      </c>
      <c r="E142" s="224" t="s">
        <v>256</v>
      </c>
      <c r="F142" s="224" t="s">
        <v>248</v>
      </c>
      <c r="G142" s="223" t="str">
        <f>VLOOKUP($B142,'FRS geographical categories'!$A$2:$C$45,2,FALSE)</f>
        <v>Predominantly Urban</v>
      </c>
      <c r="H142" s="223" t="str">
        <f>VLOOKUP($B142,'FRS geographical categories'!$A$2:$C$45,3,FALSE)</f>
        <v>Metropolitan</v>
      </c>
      <c r="I142" s="224">
        <v>0</v>
      </c>
    </row>
    <row r="143" spans="1:9" ht="15.5" x14ac:dyDescent="0.35">
      <c r="A143" s="224" t="s">
        <v>7</v>
      </c>
      <c r="B143" s="224" t="s">
        <v>27</v>
      </c>
      <c r="C143" s="224" t="s">
        <v>89</v>
      </c>
      <c r="D143" s="224" t="s">
        <v>9</v>
      </c>
      <c r="E143" s="224" t="s">
        <v>256</v>
      </c>
      <c r="F143" s="224" t="s">
        <v>249</v>
      </c>
      <c r="G143" s="223" t="str">
        <f>VLOOKUP($B143,'FRS geographical categories'!$A$2:$C$45,2,FALSE)</f>
        <v>Predominantly Urban</v>
      </c>
      <c r="H143" s="223" t="str">
        <f>VLOOKUP($B143,'FRS geographical categories'!$A$2:$C$45,3,FALSE)</f>
        <v>Metropolitan</v>
      </c>
      <c r="I143" s="224">
        <v>0</v>
      </c>
    </row>
    <row r="144" spans="1:9" ht="15.5" x14ac:dyDescent="0.35">
      <c r="A144" s="224" t="s">
        <v>7</v>
      </c>
      <c r="B144" s="224" t="s">
        <v>27</v>
      </c>
      <c r="C144" s="224" t="s">
        <v>89</v>
      </c>
      <c r="D144" s="224" t="s">
        <v>9</v>
      </c>
      <c r="E144" s="224" t="s">
        <v>256</v>
      </c>
      <c r="F144" s="224" t="s">
        <v>250</v>
      </c>
      <c r="G144" s="223" t="str">
        <f>VLOOKUP($B144,'FRS geographical categories'!$A$2:$C$45,2,FALSE)</f>
        <v>Predominantly Urban</v>
      </c>
      <c r="H144" s="223" t="str">
        <f>VLOOKUP($B144,'FRS geographical categories'!$A$2:$C$45,3,FALSE)</f>
        <v>Metropolitan</v>
      </c>
      <c r="I144" s="224">
        <v>0</v>
      </c>
    </row>
    <row r="145" spans="1:9" ht="15.5" x14ac:dyDescent="0.35">
      <c r="A145" s="224" t="s">
        <v>7</v>
      </c>
      <c r="B145" s="224" t="s">
        <v>27</v>
      </c>
      <c r="C145" s="224" t="s">
        <v>89</v>
      </c>
      <c r="D145" s="224" t="s">
        <v>9</v>
      </c>
      <c r="E145" s="224" t="s">
        <v>256</v>
      </c>
      <c r="F145" s="224" t="s">
        <v>10</v>
      </c>
      <c r="G145" s="223" t="str">
        <f>VLOOKUP($B145,'FRS geographical categories'!$A$2:$C$45,2,FALSE)</f>
        <v>Predominantly Urban</v>
      </c>
      <c r="H145" s="223" t="str">
        <f>VLOOKUP($B145,'FRS geographical categories'!$A$2:$C$45,3,FALSE)</f>
        <v>Metropolitan</v>
      </c>
      <c r="I145" s="224">
        <v>0</v>
      </c>
    </row>
    <row r="146" spans="1:9" ht="15.5" x14ac:dyDescent="0.35">
      <c r="A146" s="224" t="s">
        <v>7</v>
      </c>
      <c r="B146" s="224" t="s">
        <v>93</v>
      </c>
      <c r="C146" s="224" t="s">
        <v>86</v>
      </c>
      <c r="D146" s="224" t="s">
        <v>9</v>
      </c>
      <c r="E146" s="224" t="s">
        <v>256</v>
      </c>
      <c r="F146" s="224" t="s">
        <v>248</v>
      </c>
      <c r="G146" s="223" t="str">
        <f>VLOOKUP($B146,'FRS geographical categories'!$A$2:$C$45,2,FALSE)</f>
        <v>Significantly Rural</v>
      </c>
      <c r="H146" s="223" t="str">
        <f>VLOOKUP($B146,'FRS geographical categories'!$A$2:$C$45,3,FALSE)</f>
        <v>Non-metropolitan</v>
      </c>
      <c r="I146" s="224">
        <v>396</v>
      </c>
    </row>
    <row r="147" spans="1:9" ht="15.5" x14ac:dyDescent="0.35">
      <c r="A147" s="224" t="s">
        <v>7</v>
      </c>
      <c r="B147" s="224" t="s">
        <v>93</v>
      </c>
      <c r="C147" s="224" t="s">
        <v>86</v>
      </c>
      <c r="D147" s="224" t="s">
        <v>9</v>
      </c>
      <c r="E147" s="224" t="s">
        <v>256</v>
      </c>
      <c r="F147" s="224" t="s">
        <v>249</v>
      </c>
      <c r="G147" s="223" t="str">
        <f>VLOOKUP($B147,'FRS geographical categories'!$A$2:$C$45,2,FALSE)</f>
        <v>Significantly Rural</v>
      </c>
      <c r="H147" s="223" t="str">
        <f>VLOOKUP($B147,'FRS geographical categories'!$A$2:$C$45,3,FALSE)</f>
        <v>Non-metropolitan</v>
      </c>
      <c r="I147" s="224">
        <v>3616</v>
      </c>
    </row>
    <row r="148" spans="1:9" ht="15.5" x14ac:dyDescent="0.35">
      <c r="A148" s="224" t="s">
        <v>7</v>
      </c>
      <c r="B148" s="224" t="s">
        <v>93</v>
      </c>
      <c r="C148" s="224" t="s">
        <v>86</v>
      </c>
      <c r="D148" s="224" t="s">
        <v>9</v>
      </c>
      <c r="E148" s="224" t="s">
        <v>256</v>
      </c>
      <c r="F148" s="224" t="s">
        <v>250</v>
      </c>
      <c r="G148" s="223" t="str">
        <f>VLOOKUP($B148,'FRS geographical categories'!$A$2:$C$45,2,FALSE)</f>
        <v>Significantly Rural</v>
      </c>
      <c r="H148" s="223" t="str">
        <f>VLOOKUP($B148,'FRS geographical categories'!$A$2:$C$45,3,FALSE)</f>
        <v>Non-metropolitan</v>
      </c>
      <c r="I148" s="224">
        <v>1688</v>
      </c>
    </row>
    <row r="149" spans="1:9" ht="15.5" x14ac:dyDescent="0.35">
      <c r="A149" s="224" t="s">
        <v>7</v>
      </c>
      <c r="B149" s="224" t="s">
        <v>93</v>
      </c>
      <c r="C149" s="224" t="s">
        <v>86</v>
      </c>
      <c r="D149" s="224" t="s">
        <v>9</v>
      </c>
      <c r="E149" s="224" t="s">
        <v>256</v>
      </c>
      <c r="F149" s="224" t="s">
        <v>10</v>
      </c>
      <c r="G149" s="223" t="str">
        <f>VLOOKUP($B149,'FRS geographical categories'!$A$2:$C$45,2,FALSE)</f>
        <v>Significantly Rural</v>
      </c>
      <c r="H149" s="223" t="str">
        <f>VLOOKUP($B149,'FRS geographical categories'!$A$2:$C$45,3,FALSE)</f>
        <v>Non-metropolitan</v>
      </c>
      <c r="I149" s="224">
        <v>6539</v>
      </c>
    </row>
    <row r="150" spans="1:9" ht="15.5" x14ac:dyDescent="0.35">
      <c r="A150" s="224" t="s">
        <v>7</v>
      </c>
      <c r="B150" s="224" t="s">
        <v>93</v>
      </c>
      <c r="C150" s="224" t="s">
        <v>89</v>
      </c>
      <c r="D150" s="224" t="s">
        <v>9</v>
      </c>
      <c r="E150" s="224" t="s">
        <v>256</v>
      </c>
      <c r="F150" s="224" t="s">
        <v>248</v>
      </c>
      <c r="G150" s="223" t="str">
        <f>VLOOKUP($B150,'FRS geographical categories'!$A$2:$C$45,2,FALSE)</f>
        <v>Significantly Rural</v>
      </c>
      <c r="H150" s="223" t="str">
        <f>VLOOKUP($B150,'FRS geographical categories'!$A$2:$C$45,3,FALSE)</f>
        <v>Non-metropolitan</v>
      </c>
      <c r="I150" s="224">
        <v>0</v>
      </c>
    </row>
    <row r="151" spans="1:9" ht="15.5" x14ac:dyDescent="0.35">
      <c r="A151" s="224" t="s">
        <v>7</v>
      </c>
      <c r="B151" s="224" t="s">
        <v>93</v>
      </c>
      <c r="C151" s="224" t="s">
        <v>89</v>
      </c>
      <c r="D151" s="224" t="s">
        <v>9</v>
      </c>
      <c r="E151" s="224" t="s">
        <v>256</v>
      </c>
      <c r="F151" s="224" t="s">
        <v>249</v>
      </c>
      <c r="G151" s="223" t="str">
        <f>VLOOKUP($B151,'FRS geographical categories'!$A$2:$C$45,2,FALSE)</f>
        <v>Significantly Rural</v>
      </c>
      <c r="H151" s="223" t="str">
        <f>VLOOKUP($B151,'FRS geographical categories'!$A$2:$C$45,3,FALSE)</f>
        <v>Non-metropolitan</v>
      </c>
      <c r="I151" s="224">
        <v>1</v>
      </c>
    </row>
    <row r="152" spans="1:9" ht="15.5" x14ac:dyDescent="0.35">
      <c r="A152" s="224" t="s">
        <v>7</v>
      </c>
      <c r="B152" s="224" t="s">
        <v>93</v>
      </c>
      <c r="C152" s="224" t="s">
        <v>89</v>
      </c>
      <c r="D152" s="224" t="s">
        <v>9</v>
      </c>
      <c r="E152" s="224" t="s">
        <v>256</v>
      </c>
      <c r="F152" s="224" t="s">
        <v>250</v>
      </c>
      <c r="G152" s="223" t="str">
        <f>VLOOKUP($B152,'FRS geographical categories'!$A$2:$C$45,2,FALSE)</f>
        <v>Significantly Rural</v>
      </c>
      <c r="H152" s="223" t="str">
        <f>VLOOKUP($B152,'FRS geographical categories'!$A$2:$C$45,3,FALSE)</f>
        <v>Non-metropolitan</v>
      </c>
      <c r="I152" s="224">
        <v>51</v>
      </c>
    </row>
    <row r="153" spans="1:9" ht="15.5" x14ac:dyDescent="0.35">
      <c r="A153" s="224" t="s">
        <v>7</v>
      </c>
      <c r="B153" s="224" t="s">
        <v>93</v>
      </c>
      <c r="C153" s="224" t="s">
        <v>89</v>
      </c>
      <c r="D153" s="224" t="s">
        <v>9</v>
      </c>
      <c r="E153" s="224" t="s">
        <v>256</v>
      </c>
      <c r="F153" s="224" t="s">
        <v>10</v>
      </c>
      <c r="G153" s="223" t="str">
        <f>VLOOKUP($B153,'FRS geographical categories'!$A$2:$C$45,2,FALSE)</f>
        <v>Significantly Rural</v>
      </c>
      <c r="H153" s="223" t="str">
        <f>VLOOKUP($B153,'FRS geographical categories'!$A$2:$C$45,3,FALSE)</f>
        <v>Non-metropolitan</v>
      </c>
      <c r="I153" s="224">
        <v>56</v>
      </c>
    </row>
    <row r="154" spans="1:9" ht="15.5" x14ac:dyDescent="0.35">
      <c r="A154" s="224" t="s">
        <v>7</v>
      </c>
      <c r="B154" s="224" t="s">
        <v>28</v>
      </c>
      <c r="C154" s="224" t="s">
        <v>86</v>
      </c>
      <c r="D154" s="224" t="s">
        <v>9</v>
      </c>
      <c r="E154" s="224" t="s">
        <v>256</v>
      </c>
      <c r="F154" s="224" t="s">
        <v>248</v>
      </c>
      <c r="G154" s="223" t="str">
        <f>VLOOKUP($B154,'FRS geographical categories'!$A$2:$C$45,2,FALSE)</f>
        <v>Significantly Rural</v>
      </c>
      <c r="H154" s="223" t="str">
        <f>VLOOKUP($B154,'FRS geographical categories'!$A$2:$C$45,3,FALSE)</f>
        <v>Non-metropolitan</v>
      </c>
      <c r="I154" s="224">
        <v>531</v>
      </c>
    </row>
    <row r="155" spans="1:9" ht="15.5" x14ac:dyDescent="0.35">
      <c r="A155" s="224" t="s">
        <v>7</v>
      </c>
      <c r="B155" s="224" t="s">
        <v>28</v>
      </c>
      <c r="C155" s="224" t="s">
        <v>86</v>
      </c>
      <c r="D155" s="224" t="s">
        <v>9</v>
      </c>
      <c r="E155" s="224" t="s">
        <v>256</v>
      </c>
      <c r="F155" s="224" t="s">
        <v>249</v>
      </c>
      <c r="G155" s="223" t="str">
        <f>VLOOKUP($B155,'FRS geographical categories'!$A$2:$C$45,2,FALSE)</f>
        <v>Significantly Rural</v>
      </c>
      <c r="H155" s="223" t="str">
        <f>VLOOKUP($B155,'FRS geographical categories'!$A$2:$C$45,3,FALSE)</f>
        <v>Non-metropolitan</v>
      </c>
      <c r="I155" s="224">
        <v>1645</v>
      </c>
    </row>
    <row r="156" spans="1:9" ht="15.5" x14ac:dyDescent="0.35">
      <c r="A156" s="224" t="s">
        <v>7</v>
      </c>
      <c r="B156" s="224" t="s">
        <v>28</v>
      </c>
      <c r="C156" s="224" t="s">
        <v>86</v>
      </c>
      <c r="D156" s="224" t="s">
        <v>9</v>
      </c>
      <c r="E156" s="224" t="s">
        <v>256</v>
      </c>
      <c r="F156" s="224" t="s">
        <v>250</v>
      </c>
      <c r="G156" s="223" t="str">
        <f>VLOOKUP($B156,'FRS geographical categories'!$A$2:$C$45,2,FALSE)</f>
        <v>Significantly Rural</v>
      </c>
      <c r="H156" s="223" t="str">
        <f>VLOOKUP($B156,'FRS geographical categories'!$A$2:$C$45,3,FALSE)</f>
        <v>Non-metropolitan</v>
      </c>
      <c r="I156" s="224">
        <v>1069</v>
      </c>
    </row>
    <row r="157" spans="1:9" ht="15.5" x14ac:dyDescent="0.35">
      <c r="A157" s="224" t="s">
        <v>7</v>
      </c>
      <c r="B157" s="224" t="s">
        <v>28</v>
      </c>
      <c r="C157" s="224" t="s">
        <v>86</v>
      </c>
      <c r="D157" s="224" t="s">
        <v>9</v>
      </c>
      <c r="E157" s="224" t="s">
        <v>256</v>
      </c>
      <c r="F157" s="224" t="s">
        <v>10</v>
      </c>
      <c r="G157" s="223" t="str">
        <f>VLOOKUP($B157,'FRS geographical categories'!$A$2:$C$45,2,FALSE)</f>
        <v>Significantly Rural</v>
      </c>
      <c r="H157" s="223" t="str">
        <f>VLOOKUP($B157,'FRS geographical categories'!$A$2:$C$45,3,FALSE)</f>
        <v>Non-metropolitan</v>
      </c>
      <c r="I157" s="224">
        <v>2786</v>
      </c>
    </row>
    <row r="158" spans="1:9" ht="15.5" x14ac:dyDescent="0.35">
      <c r="A158" s="224" t="s">
        <v>7</v>
      </c>
      <c r="B158" s="224" t="s">
        <v>28</v>
      </c>
      <c r="C158" s="224" t="s">
        <v>89</v>
      </c>
      <c r="D158" s="224" t="s">
        <v>9</v>
      </c>
      <c r="E158" s="224" t="s">
        <v>256</v>
      </c>
      <c r="F158" s="224" t="s">
        <v>248</v>
      </c>
      <c r="G158" s="223" t="str">
        <f>VLOOKUP($B158,'FRS geographical categories'!$A$2:$C$45,2,FALSE)</f>
        <v>Significantly Rural</v>
      </c>
      <c r="H158" s="223" t="str">
        <f>VLOOKUP($B158,'FRS geographical categories'!$A$2:$C$45,3,FALSE)</f>
        <v>Non-metropolitan</v>
      </c>
      <c r="I158" s="224">
        <v>0</v>
      </c>
    </row>
    <row r="159" spans="1:9" ht="15.5" x14ac:dyDescent="0.35">
      <c r="A159" s="224" t="s">
        <v>7</v>
      </c>
      <c r="B159" s="224" t="s">
        <v>28</v>
      </c>
      <c r="C159" s="224" t="s">
        <v>89</v>
      </c>
      <c r="D159" s="224" t="s">
        <v>9</v>
      </c>
      <c r="E159" s="224" t="s">
        <v>256</v>
      </c>
      <c r="F159" s="224" t="s">
        <v>249</v>
      </c>
      <c r="G159" s="223" t="str">
        <f>VLOOKUP($B159,'FRS geographical categories'!$A$2:$C$45,2,FALSE)</f>
        <v>Significantly Rural</v>
      </c>
      <c r="H159" s="223" t="str">
        <f>VLOOKUP($B159,'FRS geographical categories'!$A$2:$C$45,3,FALSE)</f>
        <v>Non-metropolitan</v>
      </c>
      <c r="I159" s="224">
        <v>0</v>
      </c>
    </row>
    <row r="160" spans="1:9" ht="15.5" x14ac:dyDescent="0.35">
      <c r="A160" s="224" t="s">
        <v>7</v>
      </c>
      <c r="B160" s="224" t="s">
        <v>28</v>
      </c>
      <c r="C160" s="224" t="s">
        <v>89</v>
      </c>
      <c r="D160" s="224" t="s">
        <v>9</v>
      </c>
      <c r="E160" s="224" t="s">
        <v>256</v>
      </c>
      <c r="F160" s="224" t="s">
        <v>250</v>
      </c>
      <c r="G160" s="223" t="str">
        <f>VLOOKUP($B160,'FRS geographical categories'!$A$2:$C$45,2,FALSE)</f>
        <v>Significantly Rural</v>
      </c>
      <c r="H160" s="223" t="str">
        <f>VLOOKUP($B160,'FRS geographical categories'!$A$2:$C$45,3,FALSE)</f>
        <v>Non-metropolitan</v>
      </c>
      <c r="I160" s="224">
        <v>0</v>
      </c>
    </row>
    <row r="161" spans="1:9" ht="15.5" x14ac:dyDescent="0.35">
      <c r="A161" s="224" t="s">
        <v>7</v>
      </c>
      <c r="B161" s="224" t="s">
        <v>28</v>
      </c>
      <c r="C161" s="224" t="s">
        <v>89</v>
      </c>
      <c r="D161" s="224" t="s">
        <v>9</v>
      </c>
      <c r="E161" s="224" t="s">
        <v>256</v>
      </c>
      <c r="F161" s="224" t="s">
        <v>10</v>
      </c>
      <c r="G161" s="223" t="str">
        <f>VLOOKUP($B161,'FRS geographical categories'!$A$2:$C$45,2,FALSE)</f>
        <v>Significantly Rural</v>
      </c>
      <c r="H161" s="223" t="str">
        <f>VLOOKUP($B161,'FRS geographical categories'!$A$2:$C$45,3,FALSE)</f>
        <v>Non-metropolitan</v>
      </c>
      <c r="I161" s="224">
        <v>0</v>
      </c>
    </row>
    <row r="162" spans="1:9" ht="15.5" x14ac:dyDescent="0.35">
      <c r="A162" s="224" t="s">
        <v>7</v>
      </c>
      <c r="B162" s="224" t="s">
        <v>29</v>
      </c>
      <c r="C162" s="224" t="s">
        <v>86</v>
      </c>
      <c r="D162" s="224" t="s">
        <v>9</v>
      </c>
      <c r="E162" s="224" t="s">
        <v>256</v>
      </c>
      <c r="F162" s="224" t="s">
        <v>248</v>
      </c>
      <c r="G162" s="223" t="str">
        <f>VLOOKUP($B162,'FRS geographical categories'!$A$2:$C$45,2,FALSE)</f>
        <v>Predominantly Urban</v>
      </c>
      <c r="H162" s="223" t="str">
        <f>VLOOKUP($B162,'FRS geographical categories'!$A$2:$C$45,3,FALSE)</f>
        <v>Non-metropolitan</v>
      </c>
      <c r="I162" s="224">
        <v>0</v>
      </c>
    </row>
    <row r="163" spans="1:9" ht="15.5" x14ac:dyDescent="0.35">
      <c r="A163" s="224" t="s">
        <v>7</v>
      </c>
      <c r="B163" s="224" t="s">
        <v>29</v>
      </c>
      <c r="C163" s="224" t="s">
        <v>86</v>
      </c>
      <c r="D163" s="224" t="s">
        <v>9</v>
      </c>
      <c r="E163" s="224" t="s">
        <v>256</v>
      </c>
      <c r="F163" s="224" t="s">
        <v>249</v>
      </c>
      <c r="G163" s="223" t="str">
        <f>VLOOKUP($B163,'FRS geographical categories'!$A$2:$C$45,2,FALSE)</f>
        <v>Predominantly Urban</v>
      </c>
      <c r="H163" s="223" t="str">
        <f>VLOOKUP($B163,'FRS geographical categories'!$A$2:$C$45,3,FALSE)</f>
        <v>Non-metropolitan</v>
      </c>
      <c r="I163" s="224">
        <v>968</v>
      </c>
    </row>
    <row r="164" spans="1:9" ht="15.5" x14ac:dyDescent="0.35">
      <c r="A164" s="224" t="s">
        <v>7</v>
      </c>
      <c r="B164" s="224" t="s">
        <v>29</v>
      </c>
      <c r="C164" s="224" t="s">
        <v>86</v>
      </c>
      <c r="D164" s="224" t="s">
        <v>9</v>
      </c>
      <c r="E164" s="224" t="s">
        <v>256</v>
      </c>
      <c r="F164" s="224" t="s">
        <v>250</v>
      </c>
      <c r="G164" s="223" t="str">
        <f>VLOOKUP($B164,'FRS geographical categories'!$A$2:$C$45,2,FALSE)</f>
        <v>Predominantly Urban</v>
      </c>
      <c r="H164" s="223" t="str">
        <f>VLOOKUP($B164,'FRS geographical categories'!$A$2:$C$45,3,FALSE)</f>
        <v>Non-metropolitan</v>
      </c>
      <c r="I164" s="224">
        <v>3612</v>
      </c>
    </row>
    <row r="165" spans="1:9" ht="15.5" x14ac:dyDescent="0.35">
      <c r="A165" s="224" t="s">
        <v>7</v>
      </c>
      <c r="B165" s="224" t="s">
        <v>29</v>
      </c>
      <c r="C165" s="224" t="s">
        <v>86</v>
      </c>
      <c r="D165" s="224" t="s">
        <v>9</v>
      </c>
      <c r="E165" s="224" t="s">
        <v>256</v>
      </c>
      <c r="F165" s="224" t="s">
        <v>10</v>
      </c>
      <c r="G165" s="223" t="str">
        <f>VLOOKUP($B165,'FRS geographical categories'!$A$2:$C$45,2,FALSE)</f>
        <v>Predominantly Urban</v>
      </c>
      <c r="H165" s="223" t="str">
        <f>VLOOKUP($B165,'FRS geographical categories'!$A$2:$C$45,3,FALSE)</f>
        <v>Non-metropolitan</v>
      </c>
      <c r="I165" s="224">
        <v>6812</v>
      </c>
    </row>
    <row r="166" spans="1:9" ht="15.5" x14ac:dyDescent="0.35">
      <c r="A166" s="224" t="s">
        <v>7</v>
      </c>
      <c r="B166" s="224" t="s">
        <v>29</v>
      </c>
      <c r="C166" s="224" t="s">
        <v>89</v>
      </c>
      <c r="D166" s="224" t="s">
        <v>9</v>
      </c>
      <c r="E166" s="224" t="s">
        <v>256</v>
      </c>
      <c r="F166" s="224" t="s">
        <v>248</v>
      </c>
      <c r="G166" s="223" t="str">
        <f>VLOOKUP($B166,'FRS geographical categories'!$A$2:$C$45,2,FALSE)</f>
        <v>Predominantly Urban</v>
      </c>
      <c r="H166" s="223" t="str">
        <f>VLOOKUP($B166,'FRS geographical categories'!$A$2:$C$45,3,FALSE)</f>
        <v>Non-metropolitan</v>
      </c>
      <c r="I166" s="224">
        <v>0</v>
      </c>
    </row>
    <row r="167" spans="1:9" ht="15.5" x14ac:dyDescent="0.35">
      <c r="A167" s="224" t="s">
        <v>7</v>
      </c>
      <c r="B167" s="224" t="s">
        <v>29</v>
      </c>
      <c r="C167" s="224" t="s">
        <v>89</v>
      </c>
      <c r="D167" s="224" t="s">
        <v>9</v>
      </c>
      <c r="E167" s="224" t="s">
        <v>256</v>
      </c>
      <c r="F167" s="224" t="s">
        <v>249</v>
      </c>
      <c r="G167" s="223" t="str">
        <f>VLOOKUP($B167,'FRS geographical categories'!$A$2:$C$45,2,FALSE)</f>
        <v>Predominantly Urban</v>
      </c>
      <c r="H167" s="223" t="str">
        <f>VLOOKUP($B167,'FRS geographical categories'!$A$2:$C$45,3,FALSE)</f>
        <v>Non-metropolitan</v>
      </c>
      <c r="I167" s="224">
        <v>0</v>
      </c>
    </row>
    <row r="168" spans="1:9" ht="15.5" x14ac:dyDescent="0.35">
      <c r="A168" s="224" t="s">
        <v>7</v>
      </c>
      <c r="B168" s="224" t="s">
        <v>29</v>
      </c>
      <c r="C168" s="224" t="s">
        <v>89</v>
      </c>
      <c r="D168" s="224" t="s">
        <v>9</v>
      </c>
      <c r="E168" s="224" t="s">
        <v>256</v>
      </c>
      <c r="F168" s="224" t="s">
        <v>250</v>
      </c>
      <c r="G168" s="223" t="str">
        <f>VLOOKUP($B168,'FRS geographical categories'!$A$2:$C$45,2,FALSE)</f>
        <v>Predominantly Urban</v>
      </c>
      <c r="H168" s="223" t="str">
        <f>VLOOKUP($B168,'FRS geographical categories'!$A$2:$C$45,3,FALSE)</f>
        <v>Non-metropolitan</v>
      </c>
      <c r="I168" s="224">
        <v>0</v>
      </c>
    </row>
    <row r="169" spans="1:9" ht="15.5" x14ac:dyDescent="0.35">
      <c r="A169" s="224" t="s">
        <v>7</v>
      </c>
      <c r="B169" s="224" t="s">
        <v>29</v>
      </c>
      <c r="C169" s="224" t="s">
        <v>89</v>
      </c>
      <c r="D169" s="224" t="s">
        <v>9</v>
      </c>
      <c r="E169" s="224" t="s">
        <v>256</v>
      </c>
      <c r="F169" s="224" t="s">
        <v>10</v>
      </c>
      <c r="G169" s="223" t="str">
        <f>VLOOKUP($B169,'FRS geographical categories'!$A$2:$C$45,2,FALSE)</f>
        <v>Predominantly Urban</v>
      </c>
      <c r="H169" s="223" t="str">
        <f>VLOOKUP($B169,'FRS geographical categories'!$A$2:$C$45,3,FALSE)</f>
        <v>Non-metropolitan</v>
      </c>
      <c r="I169" s="224">
        <v>0</v>
      </c>
    </row>
    <row r="170" spans="1:9" ht="15.5" x14ac:dyDescent="0.35">
      <c r="A170" s="224" t="s">
        <v>7</v>
      </c>
      <c r="B170" s="224" t="s">
        <v>30</v>
      </c>
      <c r="C170" s="224" t="s">
        <v>86</v>
      </c>
      <c r="D170" s="224" t="s">
        <v>9</v>
      </c>
      <c r="E170" s="224" t="s">
        <v>256</v>
      </c>
      <c r="F170" s="224" t="s">
        <v>248</v>
      </c>
      <c r="G170" s="223" t="str">
        <f>VLOOKUP($B170,'FRS geographical categories'!$A$2:$C$45,2,FALSE)</f>
        <v>Significantly Rural</v>
      </c>
      <c r="H170" s="223" t="str">
        <f>VLOOKUP($B170,'FRS geographical categories'!$A$2:$C$45,3,FALSE)</f>
        <v>Non-metropolitan</v>
      </c>
      <c r="I170" s="224">
        <v>237</v>
      </c>
    </row>
    <row r="171" spans="1:9" ht="15.5" x14ac:dyDescent="0.35">
      <c r="A171" s="224" t="s">
        <v>7</v>
      </c>
      <c r="B171" s="224" t="s">
        <v>30</v>
      </c>
      <c r="C171" s="224" t="s">
        <v>86</v>
      </c>
      <c r="D171" s="224" t="s">
        <v>9</v>
      </c>
      <c r="E171" s="224" t="s">
        <v>256</v>
      </c>
      <c r="F171" s="224" t="s">
        <v>249</v>
      </c>
      <c r="G171" s="223" t="str">
        <f>VLOOKUP($B171,'FRS geographical categories'!$A$2:$C$45,2,FALSE)</f>
        <v>Significantly Rural</v>
      </c>
      <c r="H171" s="223" t="str">
        <f>VLOOKUP($B171,'FRS geographical categories'!$A$2:$C$45,3,FALSE)</f>
        <v>Non-metropolitan</v>
      </c>
      <c r="I171" s="224">
        <v>423</v>
      </c>
    </row>
    <row r="172" spans="1:9" ht="15.5" x14ac:dyDescent="0.35">
      <c r="A172" s="224" t="s">
        <v>7</v>
      </c>
      <c r="B172" s="224" t="s">
        <v>30</v>
      </c>
      <c r="C172" s="224" t="s">
        <v>86</v>
      </c>
      <c r="D172" s="224" t="s">
        <v>9</v>
      </c>
      <c r="E172" s="224" t="s">
        <v>256</v>
      </c>
      <c r="F172" s="224" t="s">
        <v>250</v>
      </c>
      <c r="G172" s="223" t="str">
        <f>VLOOKUP($B172,'FRS geographical categories'!$A$2:$C$45,2,FALSE)</f>
        <v>Significantly Rural</v>
      </c>
      <c r="H172" s="223" t="str">
        <f>VLOOKUP($B172,'FRS geographical categories'!$A$2:$C$45,3,FALSE)</f>
        <v>Non-metropolitan</v>
      </c>
      <c r="I172" s="224">
        <v>1811</v>
      </c>
    </row>
    <row r="173" spans="1:9" ht="15.5" x14ac:dyDescent="0.35">
      <c r="A173" s="224" t="s">
        <v>7</v>
      </c>
      <c r="B173" s="224" t="s">
        <v>30</v>
      </c>
      <c r="C173" s="224" t="s">
        <v>86</v>
      </c>
      <c r="D173" s="224" t="s">
        <v>9</v>
      </c>
      <c r="E173" s="224" t="s">
        <v>256</v>
      </c>
      <c r="F173" s="224" t="s">
        <v>10</v>
      </c>
      <c r="G173" s="223" t="str">
        <f>VLOOKUP($B173,'FRS geographical categories'!$A$2:$C$45,2,FALSE)</f>
        <v>Significantly Rural</v>
      </c>
      <c r="H173" s="223" t="str">
        <f>VLOOKUP($B173,'FRS geographical categories'!$A$2:$C$45,3,FALSE)</f>
        <v>Non-metropolitan</v>
      </c>
      <c r="I173" s="224">
        <v>5965</v>
      </c>
    </row>
    <row r="174" spans="1:9" ht="15.5" x14ac:dyDescent="0.35">
      <c r="A174" s="224" t="s">
        <v>7</v>
      </c>
      <c r="B174" s="224" t="s">
        <v>30</v>
      </c>
      <c r="C174" s="224" t="s">
        <v>89</v>
      </c>
      <c r="D174" s="224" t="s">
        <v>9</v>
      </c>
      <c r="E174" s="224" t="s">
        <v>256</v>
      </c>
      <c r="F174" s="224" t="s">
        <v>248</v>
      </c>
      <c r="G174" s="223" t="str">
        <f>VLOOKUP($B174,'FRS geographical categories'!$A$2:$C$45,2,FALSE)</f>
        <v>Significantly Rural</v>
      </c>
      <c r="H174" s="223" t="str">
        <f>VLOOKUP($B174,'FRS geographical categories'!$A$2:$C$45,3,FALSE)</f>
        <v>Non-metropolitan</v>
      </c>
      <c r="I174" s="224">
        <v>0</v>
      </c>
    </row>
    <row r="175" spans="1:9" ht="15.5" x14ac:dyDescent="0.35">
      <c r="A175" s="224" t="s">
        <v>7</v>
      </c>
      <c r="B175" s="224" t="s">
        <v>30</v>
      </c>
      <c r="C175" s="224" t="s">
        <v>89</v>
      </c>
      <c r="D175" s="224" t="s">
        <v>9</v>
      </c>
      <c r="E175" s="224" t="s">
        <v>256</v>
      </c>
      <c r="F175" s="224" t="s">
        <v>249</v>
      </c>
      <c r="G175" s="223" t="str">
        <f>VLOOKUP($B175,'FRS geographical categories'!$A$2:$C$45,2,FALSE)</f>
        <v>Significantly Rural</v>
      </c>
      <c r="H175" s="223" t="str">
        <f>VLOOKUP($B175,'FRS geographical categories'!$A$2:$C$45,3,FALSE)</f>
        <v>Non-metropolitan</v>
      </c>
      <c r="I175" s="224">
        <v>0</v>
      </c>
    </row>
    <row r="176" spans="1:9" ht="15.5" x14ac:dyDescent="0.35">
      <c r="A176" s="224" t="s">
        <v>7</v>
      </c>
      <c r="B176" s="224" t="s">
        <v>30</v>
      </c>
      <c r="C176" s="224" t="s">
        <v>89</v>
      </c>
      <c r="D176" s="224" t="s">
        <v>9</v>
      </c>
      <c r="E176" s="224" t="s">
        <v>256</v>
      </c>
      <c r="F176" s="224" t="s">
        <v>250</v>
      </c>
      <c r="G176" s="223" t="str">
        <f>VLOOKUP($B176,'FRS geographical categories'!$A$2:$C$45,2,FALSE)</f>
        <v>Significantly Rural</v>
      </c>
      <c r="H176" s="223" t="str">
        <f>VLOOKUP($B176,'FRS geographical categories'!$A$2:$C$45,3,FALSE)</f>
        <v>Non-metropolitan</v>
      </c>
      <c r="I176" s="224">
        <v>0</v>
      </c>
    </row>
    <row r="177" spans="1:9" ht="15.5" x14ac:dyDescent="0.35">
      <c r="A177" s="224" t="s">
        <v>7</v>
      </c>
      <c r="B177" s="224" t="s">
        <v>30</v>
      </c>
      <c r="C177" s="224" t="s">
        <v>89</v>
      </c>
      <c r="D177" s="224" t="s">
        <v>9</v>
      </c>
      <c r="E177" s="224" t="s">
        <v>256</v>
      </c>
      <c r="F177" s="224" t="s">
        <v>10</v>
      </c>
      <c r="G177" s="223" t="str">
        <f>VLOOKUP($B177,'FRS geographical categories'!$A$2:$C$45,2,FALSE)</f>
        <v>Significantly Rural</v>
      </c>
      <c r="H177" s="223" t="str">
        <f>VLOOKUP($B177,'FRS geographical categories'!$A$2:$C$45,3,FALSE)</f>
        <v>Non-metropolitan</v>
      </c>
      <c r="I177" s="224">
        <v>0</v>
      </c>
    </row>
    <row r="178" spans="1:9" ht="15.5" x14ac:dyDescent="0.35">
      <c r="A178" s="224" t="s">
        <v>7</v>
      </c>
      <c r="B178" s="224" t="s">
        <v>31</v>
      </c>
      <c r="C178" s="224" t="s">
        <v>86</v>
      </c>
      <c r="D178" s="224" t="s">
        <v>9</v>
      </c>
      <c r="E178" s="224" t="s">
        <v>256</v>
      </c>
      <c r="F178" s="224" t="s">
        <v>248</v>
      </c>
      <c r="G178" s="223" t="str">
        <f>VLOOKUP($B178,'FRS geographical categories'!$A$2:$C$45,2,FALSE)</f>
        <v>Predominantly Rural</v>
      </c>
      <c r="H178" s="223" t="str">
        <f>VLOOKUP($B178,'FRS geographical categories'!$A$2:$C$45,3,FALSE)</f>
        <v>Non-metropolitan</v>
      </c>
      <c r="I178" s="224">
        <v>0</v>
      </c>
    </row>
    <row r="179" spans="1:9" ht="15.5" x14ac:dyDescent="0.35">
      <c r="A179" s="224" t="s">
        <v>7</v>
      </c>
      <c r="B179" s="224" t="s">
        <v>31</v>
      </c>
      <c r="C179" s="224" t="s">
        <v>86</v>
      </c>
      <c r="D179" s="224" t="s">
        <v>9</v>
      </c>
      <c r="E179" s="224" t="s">
        <v>256</v>
      </c>
      <c r="F179" s="224" t="s">
        <v>249</v>
      </c>
      <c r="G179" s="223" t="str">
        <f>VLOOKUP($B179,'FRS geographical categories'!$A$2:$C$45,2,FALSE)</f>
        <v>Predominantly Rural</v>
      </c>
      <c r="H179" s="223" t="str">
        <f>VLOOKUP($B179,'FRS geographical categories'!$A$2:$C$45,3,FALSE)</f>
        <v>Non-metropolitan</v>
      </c>
      <c r="I179" s="224">
        <v>5</v>
      </c>
    </row>
    <row r="180" spans="1:9" ht="15.5" x14ac:dyDescent="0.35">
      <c r="A180" s="224" t="s">
        <v>7</v>
      </c>
      <c r="B180" s="224" t="s">
        <v>31</v>
      </c>
      <c r="C180" s="224" t="s">
        <v>86</v>
      </c>
      <c r="D180" s="224" t="s">
        <v>9</v>
      </c>
      <c r="E180" s="224" t="s">
        <v>256</v>
      </c>
      <c r="F180" s="224" t="s">
        <v>250</v>
      </c>
      <c r="G180" s="223" t="str">
        <f>VLOOKUP($B180,'FRS geographical categories'!$A$2:$C$45,2,FALSE)</f>
        <v>Predominantly Rural</v>
      </c>
      <c r="H180" s="223" t="str">
        <f>VLOOKUP($B180,'FRS geographical categories'!$A$2:$C$45,3,FALSE)</f>
        <v>Non-metropolitan</v>
      </c>
      <c r="I180" s="224">
        <v>28</v>
      </c>
    </row>
    <row r="181" spans="1:9" ht="15.5" x14ac:dyDescent="0.35">
      <c r="A181" s="224" t="s">
        <v>7</v>
      </c>
      <c r="B181" s="224" t="s">
        <v>31</v>
      </c>
      <c r="C181" s="224" t="s">
        <v>86</v>
      </c>
      <c r="D181" s="224" t="s">
        <v>9</v>
      </c>
      <c r="E181" s="224" t="s">
        <v>256</v>
      </c>
      <c r="F181" s="224" t="s">
        <v>10</v>
      </c>
      <c r="G181" s="223" t="str">
        <f>VLOOKUP($B181,'FRS geographical categories'!$A$2:$C$45,2,FALSE)</f>
        <v>Predominantly Rural</v>
      </c>
      <c r="H181" s="223" t="str">
        <f>VLOOKUP($B181,'FRS geographical categories'!$A$2:$C$45,3,FALSE)</f>
        <v>Non-metropolitan</v>
      </c>
      <c r="I181" s="224">
        <v>42</v>
      </c>
    </row>
    <row r="182" spans="1:9" ht="15.5" x14ac:dyDescent="0.35">
      <c r="A182" s="224" t="s">
        <v>7</v>
      </c>
      <c r="B182" s="224" t="s">
        <v>31</v>
      </c>
      <c r="C182" s="224" t="s">
        <v>89</v>
      </c>
      <c r="D182" s="224" t="s">
        <v>9</v>
      </c>
      <c r="E182" s="224" t="s">
        <v>256</v>
      </c>
      <c r="F182" s="224" t="s">
        <v>248</v>
      </c>
      <c r="G182" s="223" t="str">
        <f>VLOOKUP($B182,'FRS geographical categories'!$A$2:$C$45,2,FALSE)</f>
        <v>Predominantly Rural</v>
      </c>
      <c r="H182" s="223" t="str">
        <f>VLOOKUP($B182,'FRS geographical categories'!$A$2:$C$45,3,FALSE)</f>
        <v>Non-metropolitan</v>
      </c>
      <c r="I182" s="224">
        <v>0</v>
      </c>
    </row>
    <row r="183" spans="1:9" ht="15.5" x14ac:dyDescent="0.35">
      <c r="A183" s="224" t="s">
        <v>7</v>
      </c>
      <c r="B183" s="224" t="s">
        <v>31</v>
      </c>
      <c r="C183" s="224" t="s">
        <v>89</v>
      </c>
      <c r="D183" s="224" t="s">
        <v>9</v>
      </c>
      <c r="E183" s="224" t="s">
        <v>256</v>
      </c>
      <c r="F183" s="224" t="s">
        <v>249</v>
      </c>
      <c r="G183" s="223" t="str">
        <f>VLOOKUP($B183,'FRS geographical categories'!$A$2:$C$45,2,FALSE)</f>
        <v>Predominantly Rural</v>
      </c>
      <c r="H183" s="223" t="str">
        <f>VLOOKUP($B183,'FRS geographical categories'!$A$2:$C$45,3,FALSE)</f>
        <v>Non-metropolitan</v>
      </c>
      <c r="I183" s="224">
        <v>0</v>
      </c>
    </row>
    <row r="184" spans="1:9" ht="15.5" x14ac:dyDescent="0.35">
      <c r="A184" s="224" t="s">
        <v>7</v>
      </c>
      <c r="B184" s="224" t="s">
        <v>31</v>
      </c>
      <c r="C184" s="224" t="s">
        <v>89</v>
      </c>
      <c r="D184" s="224" t="s">
        <v>9</v>
      </c>
      <c r="E184" s="224" t="s">
        <v>256</v>
      </c>
      <c r="F184" s="224" t="s">
        <v>250</v>
      </c>
      <c r="G184" s="223" t="str">
        <f>VLOOKUP($B184,'FRS geographical categories'!$A$2:$C$45,2,FALSE)</f>
        <v>Predominantly Rural</v>
      </c>
      <c r="H184" s="223" t="str">
        <f>VLOOKUP($B184,'FRS geographical categories'!$A$2:$C$45,3,FALSE)</f>
        <v>Non-metropolitan</v>
      </c>
      <c r="I184" s="224">
        <v>0</v>
      </c>
    </row>
    <row r="185" spans="1:9" ht="15.5" x14ac:dyDescent="0.35">
      <c r="A185" s="224" t="s">
        <v>7</v>
      </c>
      <c r="B185" s="224" t="s">
        <v>31</v>
      </c>
      <c r="C185" s="224" t="s">
        <v>89</v>
      </c>
      <c r="D185" s="224" t="s">
        <v>9</v>
      </c>
      <c r="E185" s="224" t="s">
        <v>256</v>
      </c>
      <c r="F185" s="224" t="s">
        <v>10</v>
      </c>
      <c r="G185" s="223" t="str">
        <f>VLOOKUP($B185,'FRS geographical categories'!$A$2:$C$45,2,FALSE)</f>
        <v>Predominantly Rural</v>
      </c>
      <c r="H185" s="223" t="str">
        <f>VLOOKUP($B185,'FRS geographical categories'!$A$2:$C$45,3,FALSE)</f>
        <v>Non-metropolitan</v>
      </c>
      <c r="I185" s="224">
        <v>0</v>
      </c>
    </row>
    <row r="186" spans="1:9" ht="15.5" x14ac:dyDescent="0.35">
      <c r="A186" s="224" t="s">
        <v>7</v>
      </c>
      <c r="B186" s="224" t="s">
        <v>32</v>
      </c>
      <c r="C186" s="224" t="s">
        <v>86</v>
      </c>
      <c r="D186" s="224" t="s">
        <v>9</v>
      </c>
      <c r="E186" s="224" t="s">
        <v>256</v>
      </c>
      <c r="F186" s="224" t="s">
        <v>248</v>
      </c>
      <c r="G186" s="223" t="str">
        <f>VLOOKUP($B186,'FRS geographical categories'!$A$2:$C$45,2,FALSE)</f>
        <v>Significantly Rural</v>
      </c>
      <c r="H186" s="223" t="str">
        <f>VLOOKUP($B186,'FRS geographical categories'!$A$2:$C$45,3,FALSE)</f>
        <v>Non-metropolitan</v>
      </c>
      <c r="I186" s="224">
        <v>1442</v>
      </c>
    </row>
    <row r="187" spans="1:9" ht="15.5" x14ac:dyDescent="0.35">
      <c r="A187" s="224" t="s">
        <v>7</v>
      </c>
      <c r="B187" s="224" t="s">
        <v>32</v>
      </c>
      <c r="C187" s="224" t="s">
        <v>86</v>
      </c>
      <c r="D187" s="224" t="s">
        <v>9</v>
      </c>
      <c r="E187" s="224" t="s">
        <v>256</v>
      </c>
      <c r="F187" s="224" t="s">
        <v>249</v>
      </c>
      <c r="G187" s="223" t="str">
        <f>VLOOKUP($B187,'FRS geographical categories'!$A$2:$C$45,2,FALSE)</f>
        <v>Significantly Rural</v>
      </c>
      <c r="H187" s="223" t="str">
        <f>VLOOKUP($B187,'FRS geographical categories'!$A$2:$C$45,3,FALSE)</f>
        <v>Non-metropolitan</v>
      </c>
      <c r="I187" s="224">
        <v>4870</v>
      </c>
    </row>
    <row r="188" spans="1:9" ht="15.5" x14ac:dyDescent="0.35">
      <c r="A188" s="224" t="s">
        <v>7</v>
      </c>
      <c r="B188" s="224" t="s">
        <v>32</v>
      </c>
      <c r="C188" s="224" t="s">
        <v>86</v>
      </c>
      <c r="D188" s="224" t="s">
        <v>9</v>
      </c>
      <c r="E188" s="224" t="s">
        <v>256</v>
      </c>
      <c r="F188" s="224" t="s">
        <v>250</v>
      </c>
      <c r="G188" s="223" t="str">
        <f>VLOOKUP($B188,'FRS geographical categories'!$A$2:$C$45,2,FALSE)</f>
        <v>Significantly Rural</v>
      </c>
      <c r="H188" s="223" t="str">
        <f>VLOOKUP($B188,'FRS geographical categories'!$A$2:$C$45,3,FALSE)</f>
        <v>Non-metropolitan</v>
      </c>
      <c r="I188" s="224">
        <v>9031</v>
      </c>
    </row>
    <row r="189" spans="1:9" ht="15.5" x14ac:dyDescent="0.35">
      <c r="A189" s="224" t="s">
        <v>7</v>
      </c>
      <c r="B189" s="224" t="s">
        <v>32</v>
      </c>
      <c r="C189" s="224" t="s">
        <v>86</v>
      </c>
      <c r="D189" s="224" t="s">
        <v>9</v>
      </c>
      <c r="E189" s="224" t="s">
        <v>256</v>
      </c>
      <c r="F189" s="224" t="s">
        <v>10</v>
      </c>
      <c r="G189" s="223" t="str">
        <f>VLOOKUP($B189,'FRS geographical categories'!$A$2:$C$45,2,FALSE)</f>
        <v>Significantly Rural</v>
      </c>
      <c r="H189" s="223" t="str">
        <f>VLOOKUP($B189,'FRS geographical categories'!$A$2:$C$45,3,FALSE)</f>
        <v>Non-metropolitan</v>
      </c>
      <c r="I189" s="224">
        <v>23635</v>
      </c>
    </row>
    <row r="190" spans="1:9" ht="15.5" x14ac:dyDescent="0.35">
      <c r="A190" s="224" t="s">
        <v>7</v>
      </c>
      <c r="B190" s="224" t="s">
        <v>32</v>
      </c>
      <c r="C190" s="224" t="s">
        <v>89</v>
      </c>
      <c r="D190" s="224" t="s">
        <v>9</v>
      </c>
      <c r="E190" s="224" t="s">
        <v>256</v>
      </c>
      <c r="F190" s="224" t="s">
        <v>248</v>
      </c>
      <c r="G190" s="223" t="str">
        <f>VLOOKUP($B190,'FRS geographical categories'!$A$2:$C$45,2,FALSE)</f>
        <v>Significantly Rural</v>
      </c>
      <c r="H190" s="223" t="str">
        <f>VLOOKUP($B190,'FRS geographical categories'!$A$2:$C$45,3,FALSE)</f>
        <v>Non-metropolitan</v>
      </c>
      <c r="I190" s="224">
        <v>0</v>
      </c>
    </row>
    <row r="191" spans="1:9" ht="15.5" x14ac:dyDescent="0.35">
      <c r="A191" s="224" t="s">
        <v>7</v>
      </c>
      <c r="B191" s="224" t="s">
        <v>32</v>
      </c>
      <c r="C191" s="224" t="s">
        <v>89</v>
      </c>
      <c r="D191" s="224" t="s">
        <v>9</v>
      </c>
      <c r="E191" s="224" t="s">
        <v>256</v>
      </c>
      <c r="F191" s="224" t="s">
        <v>249</v>
      </c>
      <c r="G191" s="223" t="str">
        <f>VLOOKUP($B191,'FRS geographical categories'!$A$2:$C$45,2,FALSE)</f>
        <v>Significantly Rural</v>
      </c>
      <c r="H191" s="223" t="str">
        <f>VLOOKUP($B191,'FRS geographical categories'!$A$2:$C$45,3,FALSE)</f>
        <v>Non-metropolitan</v>
      </c>
      <c r="I191" s="224">
        <v>0</v>
      </c>
    </row>
    <row r="192" spans="1:9" ht="15.5" x14ac:dyDescent="0.35">
      <c r="A192" s="224" t="s">
        <v>7</v>
      </c>
      <c r="B192" s="224" t="s">
        <v>32</v>
      </c>
      <c r="C192" s="224" t="s">
        <v>89</v>
      </c>
      <c r="D192" s="224" t="s">
        <v>9</v>
      </c>
      <c r="E192" s="224" t="s">
        <v>256</v>
      </c>
      <c r="F192" s="224" t="s">
        <v>250</v>
      </c>
      <c r="G192" s="223" t="str">
        <f>VLOOKUP($B192,'FRS geographical categories'!$A$2:$C$45,2,FALSE)</f>
        <v>Significantly Rural</v>
      </c>
      <c r="H192" s="223" t="str">
        <f>VLOOKUP($B192,'FRS geographical categories'!$A$2:$C$45,3,FALSE)</f>
        <v>Non-metropolitan</v>
      </c>
      <c r="I192" s="224">
        <v>0</v>
      </c>
    </row>
    <row r="193" spans="1:9" ht="15.5" x14ac:dyDescent="0.35">
      <c r="A193" s="224" t="s">
        <v>7</v>
      </c>
      <c r="B193" s="224" t="s">
        <v>32</v>
      </c>
      <c r="C193" s="224" t="s">
        <v>89</v>
      </c>
      <c r="D193" s="224" t="s">
        <v>9</v>
      </c>
      <c r="E193" s="224" t="s">
        <v>256</v>
      </c>
      <c r="F193" s="224" t="s">
        <v>10</v>
      </c>
      <c r="G193" s="223" t="str">
        <f>VLOOKUP($B193,'FRS geographical categories'!$A$2:$C$45,2,FALSE)</f>
        <v>Significantly Rural</v>
      </c>
      <c r="H193" s="223" t="str">
        <f>VLOOKUP($B193,'FRS geographical categories'!$A$2:$C$45,3,FALSE)</f>
        <v>Non-metropolitan</v>
      </c>
      <c r="I193" s="224">
        <v>0</v>
      </c>
    </row>
    <row r="194" spans="1:9" ht="15.5" x14ac:dyDescent="0.35">
      <c r="A194" s="224" t="s">
        <v>7</v>
      </c>
      <c r="B194" s="224" t="s">
        <v>33</v>
      </c>
      <c r="C194" s="224" t="s">
        <v>86</v>
      </c>
      <c r="D194" s="224" t="s">
        <v>9</v>
      </c>
      <c r="E194" s="224" t="s">
        <v>256</v>
      </c>
      <c r="F194" s="224" t="s">
        <v>248</v>
      </c>
      <c r="G194" s="223" t="str">
        <f>VLOOKUP($B194,'FRS geographical categories'!$A$2:$C$45,2,FALSE)</f>
        <v>Predominantly Urban</v>
      </c>
      <c r="H194" s="223" t="str">
        <f>VLOOKUP($B194,'FRS geographical categories'!$A$2:$C$45,3,FALSE)</f>
        <v>Non-metropolitan</v>
      </c>
      <c r="I194" s="224">
        <v>2597</v>
      </c>
    </row>
    <row r="195" spans="1:9" ht="15.5" x14ac:dyDescent="0.35">
      <c r="A195" s="224" t="s">
        <v>7</v>
      </c>
      <c r="B195" s="224" t="s">
        <v>33</v>
      </c>
      <c r="C195" s="224" t="s">
        <v>86</v>
      </c>
      <c r="D195" s="224" t="s">
        <v>9</v>
      </c>
      <c r="E195" s="224" t="s">
        <v>256</v>
      </c>
      <c r="F195" s="224" t="s">
        <v>249</v>
      </c>
      <c r="G195" s="223" t="str">
        <f>VLOOKUP($B195,'FRS geographical categories'!$A$2:$C$45,2,FALSE)</f>
        <v>Predominantly Urban</v>
      </c>
      <c r="H195" s="223" t="str">
        <f>VLOOKUP($B195,'FRS geographical categories'!$A$2:$C$45,3,FALSE)</f>
        <v>Non-metropolitan</v>
      </c>
      <c r="I195" s="224">
        <v>5590</v>
      </c>
    </row>
    <row r="196" spans="1:9" ht="15.5" x14ac:dyDescent="0.35">
      <c r="A196" s="224" t="s">
        <v>7</v>
      </c>
      <c r="B196" s="224" t="s">
        <v>33</v>
      </c>
      <c r="C196" s="224" t="s">
        <v>86</v>
      </c>
      <c r="D196" s="224" t="s">
        <v>9</v>
      </c>
      <c r="E196" s="224" t="s">
        <v>256</v>
      </c>
      <c r="F196" s="224" t="s">
        <v>250</v>
      </c>
      <c r="G196" s="223" t="str">
        <f>VLOOKUP($B196,'FRS geographical categories'!$A$2:$C$45,2,FALSE)</f>
        <v>Predominantly Urban</v>
      </c>
      <c r="H196" s="223" t="str">
        <f>VLOOKUP($B196,'FRS geographical categories'!$A$2:$C$45,3,FALSE)</f>
        <v>Non-metropolitan</v>
      </c>
      <c r="I196" s="224">
        <v>4042</v>
      </c>
    </row>
    <row r="197" spans="1:9" ht="15.5" x14ac:dyDescent="0.35">
      <c r="A197" s="224" t="s">
        <v>7</v>
      </c>
      <c r="B197" s="224" t="s">
        <v>33</v>
      </c>
      <c r="C197" s="224" t="s">
        <v>86</v>
      </c>
      <c r="D197" s="224" t="s">
        <v>9</v>
      </c>
      <c r="E197" s="224" t="s">
        <v>256</v>
      </c>
      <c r="F197" s="224" t="s">
        <v>10</v>
      </c>
      <c r="G197" s="223" t="str">
        <f>VLOOKUP($B197,'FRS geographical categories'!$A$2:$C$45,2,FALSE)</f>
        <v>Predominantly Urban</v>
      </c>
      <c r="H197" s="223" t="str">
        <f>VLOOKUP($B197,'FRS geographical categories'!$A$2:$C$45,3,FALSE)</f>
        <v>Non-metropolitan</v>
      </c>
      <c r="I197" s="224">
        <v>14747</v>
      </c>
    </row>
    <row r="198" spans="1:9" ht="15.5" x14ac:dyDescent="0.35">
      <c r="A198" s="224" t="s">
        <v>7</v>
      </c>
      <c r="B198" s="224" t="s">
        <v>33</v>
      </c>
      <c r="C198" s="224" t="s">
        <v>89</v>
      </c>
      <c r="D198" s="224" t="s">
        <v>9</v>
      </c>
      <c r="E198" s="224" t="s">
        <v>256</v>
      </c>
      <c r="F198" s="224" t="s">
        <v>248</v>
      </c>
      <c r="G198" s="223" t="str">
        <f>VLOOKUP($B198,'FRS geographical categories'!$A$2:$C$45,2,FALSE)</f>
        <v>Predominantly Urban</v>
      </c>
      <c r="H198" s="223" t="str">
        <f>VLOOKUP($B198,'FRS geographical categories'!$A$2:$C$45,3,FALSE)</f>
        <v>Non-metropolitan</v>
      </c>
      <c r="I198" s="224">
        <v>0</v>
      </c>
    </row>
    <row r="199" spans="1:9" ht="15.5" x14ac:dyDescent="0.35">
      <c r="A199" s="224" t="s">
        <v>7</v>
      </c>
      <c r="B199" s="224" t="s">
        <v>33</v>
      </c>
      <c r="C199" s="224" t="s">
        <v>89</v>
      </c>
      <c r="D199" s="224" t="s">
        <v>9</v>
      </c>
      <c r="E199" s="224" t="s">
        <v>256</v>
      </c>
      <c r="F199" s="224" t="s">
        <v>249</v>
      </c>
      <c r="G199" s="223" t="str">
        <f>VLOOKUP($B199,'FRS geographical categories'!$A$2:$C$45,2,FALSE)</f>
        <v>Predominantly Urban</v>
      </c>
      <c r="H199" s="223" t="str">
        <f>VLOOKUP($B199,'FRS geographical categories'!$A$2:$C$45,3,FALSE)</f>
        <v>Non-metropolitan</v>
      </c>
      <c r="I199" s="224">
        <v>0</v>
      </c>
    </row>
    <row r="200" spans="1:9" ht="15.5" x14ac:dyDescent="0.35">
      <c r="A200" s="224" t="s">
        <v>7</v>
      </c>
      <c r="B200" s="224" t="s">
        <v>33</v>
      </c>
      <c r="C200" s="224" t="s">
        <v>89</v>
      </c>
      <c r="D200" s="224" t="s">
        <v>9</v>
      </c>
      <c r="E200" s="224" t="s">
        <v>256</v>
      </c>
      <c r="F200" s="224" t="s">
        <v>250</v>
      </c>
      <c r="G200" s="223" t="str">
        <f>VLOOKUP($B200,'FRS geographical categories'!$A$2:$C$45,2,FALSE)</f>
        <v>Predominantly Urban</v>
      </c>
      <c r="H200" s="223" t="str">
        <f>VLOOKUP($B200,'FRS geographical categories'!$A$2:$C$45,3,FALSE)</f>
        <v>Non-metropolitan</v>
      </c>
      <c r="I200" s="224">
        <v>0</v>
      </c>
    </row>
    <row r="201" spans="1:9" ht="15.5" x14ac:dyDescent="0.35">
      <c r="A201" s="224" t="s">
        <v>7</v>
      </c>
      <c r="B201" s="224" t="s">
        <v>33</v>
      </c>
      <c r="C201" s="224" t="s">
        <v>89</v>
      </c>
      <c r="D201" s="224" t="s">
        <v>9</v>
      </c>
      <c r="E201" s="224" t="s">
        <v>256</v>
      </c>
      <c r="F201" s="224" t="s">
        <v>10</v>
      </c>
      <c r="G201" s="223" t="str">
        <f>VLOOKUP($B201,'FRS geographical categories'!$A$2:$C$45,2,FALSE)</f>
        <v>Predominantly Urban</v>
      </c>
      <c r="H201" s="223" t="str">
        <f>VLOOKUP($B201,'FRS geographical categories'!$A$2:$C$45,3,FALSE)</f>
        <v>Non-metropolitan</v>
      </c>
      <c r="I201" s="224">
        <v>0</v>
      </c>
    </row>
    <row r="202" spans="1:9" ht="15.5" x14ac:dyDescent="0.35">
      <c r="A202" s="224" t="s">
        <v>7</v>
      </c>
      <c r="B202" s="224" t="s">
        <v>34</v>
      </c>
      <c r="C202" s="224" t="s">
        <v>86</v>
      </c>
      <c r="D202" s="224" t="s">
        <v>9</v>
      </c>
      <c r="E202" s="224" t="s">
        <v>256</v>
      </c>
      <c r="F202" s="224" t="s">
        <v>248</v>
      </c>
      <c r="G202" s="223" t="str">
        <f>VLOOKUP($B202,'FRS geographical categories'!$A$2:$C$45,2,FALSE)</f>
        <v>Significantly Rural</v>
      </c>
      <c r="H202" s="223" t="str">
        <f>VLOOKUP($B202,'FRS geographical categories'!$A$2:$C$45,3,FALSE)</f>
        <v>Non-metropolitan</v>
      </c>
      <c r="I202" s="224">
        <v>429</v>
      </c>
    </row>
    <row r="203" spans="1:9" ht="15.5" x14ac:dyDescent="0.35">
      <c r="A203" s="224" t="s">
        <v>7</v>
      </c>
      <c r="B203" s="224" t="s">
        <v>34</v>
      </c>
      <c r="C203" s="224" t="s">
        <v>86</v>
      </c>
      <c r="D203" s="224" t="s">
        <v>9</v>
      </c>
      <c r="E203" s="224" t="s">
        <v>256</v>
      </c>
      <c r="F203" s="224" t="s">
        <v>249</v>
      </c>
      <c r="G203" s="223" t="str">
        <f>VLOOKUP($B203,'FRS geographical categories'!$A$2:$C$45,2,FALSE)</f>
        <v>Significantly Rural</v>
      </c>
      <c r="H203" s="223" t="str">
        <f>VLOOKUP($B203,'FRS geographical categories'!$A$2:$C$45,3,FALSE)</f>
        <v>Non-metropolitan</v>
      </c>
      <c r="I203" s="224">
        <v>1380</v>
      </c>
    </row>
    <row r="204" spans="1:9" ht="15.5" x14ac:dyDescent="0.35">
      <c r="A204" s="224" t="s">
        <v>7</v>
      </c>
      <c r="B204" s="224" t="s">
        <v>34</v>
      </c>
      <c r="C204" s="224" t="s">
        <v>86</v>
      </c>
      <c r="D204" s="224" t="s">
        <v>9</v>
      </c>
      <c r="E204" s="224" t="s">
        <v>256</v>
      </c>
      <c r="F204" s="224" t="s">
        <v>250</v>
      </c>
      <c r="G204" s="223" t="str">
        <f>VLOOKUP($B204,'FRS geographical categories'!$A$2:$C$45,2,FALSE)</f>
        <v>Significantly Rural</v>
      </c>
      <c r="H204" s="223" t="str">
        <f>VLOOKUP($B204,'FRS geographical categories'!$A$2:$C$45,3,FALSE)</f>
        <v>Non-metropolitan</v>
      </c>
      <c r="I204" s="224">
        <v>3381</v>
      </c>
    </row>
    <row r="205" spans="1:9" ht="15.5" x14ac:dyDescent="0.35">
      <c r="A205" s="224" t="s">
        <v>7</v>
      </c>
      <c r="B205" s="224" t="s">
        <v>34</v>
      </c>
      <c r="C205" s="224" t="s">
        <v>86</v>
      </c>
      <c r="D205" s="224" t="s">
        <v>9</v>
      </c>
      <c r="E205" s="224" t="s">
        <v>256</v>
      </c>
      <c r="F205" s="224" t="s">
        <v>10</v>
      </c>
      <c r="G205" s="223" t="str">
        <f>VLOOKUP($B205,'FRS geographical categories'!$A$2:$C$45,2,FALSE)</f>
        <v>Significantly Rural</v>
      </c>
      <c r="H205" s="223" t="str">
        <f>VLOOKUP($B205,'FRS geographical categories'!$A$2:$C$45,3,FALSE)</f>
        <v>Non-metropolitan</v>
      </c>
      <c r="I205" s="224">
        <v>6746</v>
      </c>
    </row>
    <row r="206" spans="1:9" ht="15.5" x14ac:dyDescent="0.35">
      <c r="A206" s="224" t="s">
        <v>7</v>
      </c>
      <c r="B206" s="224" t="s">
        <v>34</v>
      </c>
      <c r="C206" s="224" t="s">
        <v>89</v>
      </c>
      <c r="D206" s="224" t="s">
        <v>9</v>
      </c>
      <c r="E206" s="224" t="s">
        <v>256</v>
      </c>
      <c r="F206" s="224" t="s">
        <v>248</v>
      </c>
      <c r="G206" s="223" t="str">
        <f>VLOOKUP($B206,'FRS geographical categories'!$A$2:$C$45,2,FALSE)</f>
        <v>Significantly Rural</v>
      </c>
      <c r="H206" s="223" t="str">
        <f>VLOOKUP($B206,'FRS geographical categories'!$A$2:$C$45,3,FALSE)</f>
        <v>Non-metropolitan</v>
      </c>
      <c r="I206" s="224">
        <v>106</v>
      </c>
    </row>
    <row r="207" spans="1:9" ht="15.5" x14ac:dyDescent="0.35">
      <c r="A207" s="224" t="s">
        <v>7</v>
      </c>
      <c r="B207" s="224" t="s">
        <v>34</v>
      </c>
      <c r="C207" s="224" t="s">
        <v>89</v>
      </c>
      <c r="D207" s="224" t="s">
        <v>9</v>
      </c>
      <c r="E207" s="224" t="s">
        <v>256</v>
      </c>
      <c r="F207" s="224" t="s">
        <v>249</v>
      </c>
      <c r="G207" s="223" t="str">
        <f>VLOOKUP($B207,'FRS geographical categories'!$A$2:$C$45,2,FALSE)</f>
        <v>Significantly Rural</v>
      </c>
      <c r="H207" s="223" t="str">
        <f>VLOOKUP($B207,'FRS geographical categories'!$A$2:$C$45,3,FALSE)</f>
        <v>Non-metropolitan</v>
      </c>
      <c r="I207" s="224">
        <v>25</v>
      </c>
    </row>
    <row r="208" spans="1:9" ht="15.5" x14ac:dyDescent="0.35">
      <c r="A208" s="224" t="s">
        <v>7</v>
      </c>
      <c r="B208" s="224" t="s">
        <v>34</v>
      </c>
      <c r="C208" s="224" t="s">
        <v>89</v>
      </c>
      <c r="D208" s="224" t="s">
        <v>9</v>
      </c>
      <c r="E208" s="224" t="s">
        <v>256</v>
      </c>
      <c r="F208" s="224" t="s">
        <v>250</v>
      </c>
      <c r="G208" s="223" t="str">
        <f>VLOOKUP($B208,'FRS geographical categories'!$A$2:$C$45,2,FALSE)</f>
        <v>Significantly Rural</v>
      </c>
      <c r="H208" s="223" t="str">
        <f>VLOOKUP($B208,'FRS geographical categories'!$A$2:$C$45,3,FALSE)</f>
        <v>Non-metropolitan</v>
      </c>
      <c r="I208" s="224">
        <v>35</v>
      </c>
    </row>
    <row r="209" spans="1:9" ht="15.5" x14ac:dyDescent="0.35">
      <c r="A209" s="224" t="s">
        <v>7</v>
      </c>
      <c r="B209" s="224" t="s">
        <v>34</v>
      </c>
      <c r="C209" s="224" t="s">
        <v>89</v>
      </c>
      <c r="D209" s="224" t="s">
        <v>9</v>
      </c>
      <c r="E209" s="224" t="s">
        <v>256</v>
      </c>
      <c r="F209" s="224" t="s">
        <v>10</v>
      </c>
      <c r="G209" s="223" t="str">
        <f>VLOOKUP($B209,'FRS geographical categories'!$A$2:$C$45,2,FALSE)</f>
        <v>Significantly Rural</v>
      </c>
      <c r="H209" s="223" t="str">
        <f>VLOOKUP($B209,'FRS geographical categories'!$A$2:$C$45,3,FALSE)</f>
        <v>Non-metropolitan</v>
      </c>
      <c r="I209" s="224">
        <v>417</v>
      </c>
    </row>
    <row r="210" spans="1:9" ht="15.5" x14ac:dyDescent="0.35">
      <c r="A210" s="224" t="s">
        <v>7</v>
      </c>
      <c r="B210" s="224" t="s">
        <v>35</v>
      </c>
      <c r="C210" s="224" t="s">
        <v>86</v>
      </c>
      <c r="D210" s="224" t="s">
        <v>9</v>
      </c>
      <c r="E210" s="224" t="s">
        <v>256</v>
      </c>
      <c r="F210" s="224" t="s">
        <v>248</v>
      </c>
      <c r="G210" s="223" t="str">
        <f>VLOOKUP($B210,'FRS geographical categories'!$A$2:$C$45,2,FALSE)</f>
        <v>Predominantly Rural</v>
      </c>
      <c r="H210" s="223" t="str">
        <f>VLOOKUP($B210,'FRS geographical categories'!$A$2:$C$45,3,FALSE)</f>
        <v>Non-metropolitan</v>
      </c>
      <c r="I210" s="224">
        <v>655</v>
      </c>
    </row>
    <row r="211" spans="1:9" ht="15.5" x14ac:dyDescent="0.35">
      <c r="A211" s="224" t="s">
        <v>7</v>
      </c>
      <c r="B211" s="224" t="s">
        <v>35</v>
      </c>
      <c r="C211" s="224" t="s">
        <v>86</v>
      </c>
      <c r="D211" s="224" t="s">
        <v>9</v>
      </c>
      <c r="E211" s="224" t="s">
        <v>256</v>
      </c>
      <c r="F211" s="224" t="s">
        <v>249</v>
      </c>
      <c r="G211" s="223" t="str">
        <f>VLOOKUP($B211,'FRS geographical categories'!$A$2:$C$45,2,FALSE)</f>
        <v>Predominantly Rural</v>
      </c>
      <c r="H211" s="223" t="str">
        <f>VLOOKUP($B211,'FRS geographical categories'!$A$2:$C$45,3,FALSE)</f>
        <v>Non-metropolitan</v>
      </c>
      <c r="I211" s="224">
        <v>1969</v>
      </c>
    </row>
    <row r="212" spans="1:9" ht="15.5" x14ac:dyDescent="0.35">
      <c r="A212" s="224" t="s">
        <v>7</v>
      </c>
      <c r="B212" s="224" t="s">
        <v>35</v>
      </c>
      <c r="C212" s="224" t="s">
        <v>86</v>
      </c>
      <c r="D212" s="224" t="s">
        <v>9</v>
      </c>
      <c r="E212" s="224" t="s">
        <v>256</v>
      </c>
      <c r="F212" s="224" t="s">
        <v>250</v>
      </c>
      <c r="G212" s="223" t="str">
        <f>VLOOKUP($B212,'FRS geographical categories'!$A$2:$C$45,2,FALSE)</f>
        <v>Predominantly Rural</v>
      </c>
      <c r="H212" s="223" t="str">
        <f>VLOOKUP($B212,'FRS geographical categories'!$A$2:$C$45,3,FALSE)</f>
        <v>Non-metropolitan</v>
      </c>
      <c r="I212" s="224">
        <v>1288</v>
      </c>
    </row>
    <row r="213" spans="1:9" ht="15.5" x14ac:dyDescent="0.35">
      <c r="A213" s="224" t="s">
        <v>7</v>
      </c>
      <c r="B213" s="224" t="s">
        <v>35</v>
      </c>
      <c r="C213" s="224" t="s">
        <v>86</v>
      </c>
      <c r="D213" s="224" t="s">
        <v>9</v>
      </c>
      <c r="E213" s="224" t="s">
        <v>256</v>
      </c>
      <c r="F213" s="224" t="s">
        <v>10</v>
      </c>
      <c r="G213" s="223" t="str">
        <f>VLOOKUP($B213,'FRS geographical categories'!$A$2:$C$45,2,FALSE)</f>
        <v>Predominantly Rural</v>
      </c>
      <c r="H213" s="223" t="str">
        <f>VLOOKUP($B213,'FRS geographical categories'!$A$2:$C$45,3,FALSE)</f>
        <v>Non-metropolitan</v>
      </c>
      <c r="I213" s="224">
        <v>4991</v>
      </c>
    </row>
    <row r="214" spans="1:9" ht="15.5" x14ac:dyDescent="0.35">
      <c r="A214" s="224" t="s">
        <v>7</v>
      </c>
      <c r="B214" s="224" t="s">
        <v>35</v>
      </c>
      <c r="C214" s="224" t="s">
        <v>89</v>
      </c>
      <c r="D214" s="224" t="s">
        <v>9</v>
      </c>
      <c r="E214" s="224" t="s">
        <v>256</v>
      </c>
      <c r="F214" s="224" t="s">
        <v>248</v>
      </c>
      <c r="G214" s="223" t="str">
        <f>VLOOKUP($B214,'FRS geographical categories'!$A$2:$C$45,2,FALSE)</f>
        <v>Predominantly Rural</v>
      </c>
      <c r="H214" s="223" t="str">
        <f>VLOOKUP($B214,'FRS geographical categories'!$A$2:$C$45,3,FALSE)</f>
        <v>Non-metropolitan</v>
      </c>
      <c r="I214" s="224">
        <v>0</v>
      </c>
    </row>
    <row r="215" spans="1:9" ht="15.5" x14ac:dyDescent="0.35">
      <c r="A215" s="224" t="s">
        <v>7</v>
      </c>
      <c r="B215" s="224" t="s">
        <v>35</v>
      </c>
      <c r="C215" s="224" t="s">
        <v>89</v>
      </c>
      <c r="D215" s="224" t="s">
        <v>9</v>
      </c>
      <c r="E215" s="224" t="s">
        <v>256</v>
      </c>
      <c r="F215" s="224" t="s">
        <v>249</v>
      </c>
      <c r="G215" s="223" t="str">
        <f>VLOOKUP($B215,'FRS geographical categories'!$A$2:$C$45,2,FALSE)</f>
        <v>Predominantly Rural</v>
      </c>
      <c r="H215" s="223" t="str">
        <f>VLOOKUP($B215,'FRS geographical categories'!$A$2:$C$45,3,FALSE)</f>
        <v>Non-metropolitan</v>
      </c>
      <c r="I215" s="224">
        <v>0</v>
      </c>
    </row>
    <row r="216" spans="1:9" ht="15.5" x14ac:dyDescent="0.35">
      <c r="A216" s="224" t="s">
        <v>7</v>
      </c>
      <c r="B216" s="224" t="s">
        <v>35</v>
      </c>
      <c r="C216" s="224" t="s">
        <v>89</v>
      </c>
      <c r="D216" s="224" t="s">
        <v>9</v>
      </c>
      <c r="E216" s="224" t="s">
        <v>256</v>
      </c>
      <c r="F216" s="224" t="s">
        <v>250</v>
      </c>
      <c r="G216" s="223" t="str">
        <f>VLOOKUP($B216,'FRS geographical categories'!$A$2:$C$45,2,FALSE)</f>
        <v>Predominantly Rural</v>
      </c>
      <c r="H216" s="223" t="str">
        <f>VLOOKUP($B216,'FRS geographical categories'!$A$2:$C$45,3,FALSE)</f>
        <v>Non-metropolitan</v>
      </c>
      <c r="I216" s="224">
        <v>0</v>
      </c>
    </row>
    <row r="217" spans="1:9" ht="15.5" x14ac:dyDescent="0.35">
      <c r="A217" s="224" t="s">
        <v>7</v>
      </c>
      <c r="B217" s="224" t="s">
        <v>35</v>
      </c>
      <c r="C217" s="224" t="s">
        <v>89</v>
      </c>
      <c r="D217" s="224" t="s">
        <v>9</v>
      </c>
      <c r="E217" s="224" t="s">
        <v>256</v>
      </c>
      <c r="F217" s="224" t="s">
        <v>10</v>
      </c>
      <c r="G217" s="223" t="str">
        <f>VLOOKUP($B217,'FRS geographical categories'!$A$2:$C$45,2,FALSE)</f>
        <v>Predominantly Rural</v>
      </c>
      <c r="H217" s="223" t="str">
        <f>VLOOKUP($B217,'FRS geographical categories'!$A$2:$C$45,3,FALSE)</f>
        <v>Non-metropolitan</v>
      </c>
      <c r="I217" s="224">
        <v>0</v>
      </c>
    </row>
    <row r="218" spans="1:9" ht="15.5" x14ac:dyDescent="0.35">
      <c r="A218" s="224" t="s">
        <v>7</v>
      </c>
      <c r="B218" s="224" t="s">
        <v>36</v>
      </c>
      <c r="C218" s="224" t="s">
        <v>86</v>
      </c>
      <c r="D218" s="224" t="s">
        <v>9</v>
      </c>
      <c r="E218" s="224" t="s">
        <v>256</v>
      </c>
      <c r="F218" s="224" t="s">
        <v>248</v>
      </c>
      <c r="G218" s="223" t="str">
        <f>VLOOKUP($B218,'FRS geographical categories'!$A$2:$C$45,2,FALSE)</f>
        <v>Predominantly Urban</v>
      </c>
      <c r="H218" s="223" t="str">
        <f>VLOOKUP($B218,'FRS geographical categories'!$A$2:$C$45,3,FALSE)</f>
        <v>Metropolitan</v>
      </c>
      <c r="I218" s="224">
        <v>2180</v>
      </c>
    </row>
    <row r="219" spans="1:9" ht="15.5" x14ac:dyDescent="0.35">
      <c r="A219" s="224" t="s">
        <v>7</v>
      </c>
      <c r="B219" s="224" t="s">
        <v>36</v>
      </c>
      <c r="C219" s="224" t="s">
        <v>86</v>
      </c>
      <c r="D219" s="224" t="s">
        <v>9</v>
      </c>
      <c r="E219" s="224" t="s">
        <v>256</v>
      </c>
      <c r="F219" s="224" t="s">
        <v>249</v>
      </c>
      <c r="G219" s="223" t="str">
        <f>VLOOKUP($B219,'FRS geographical categories'!$A$2:$C$45,2,FALSE)</f>
        <v>Predominantly Urban</v>
      </c>
      <c r="H219" s="223" t="str">
        <f>VLOOKUP($B219,'FRS geographical categories'!$A$2:$C$45,3,FALSE)</f>
        <v>Metropolitan</v>
      </c>
      <c r="I219" s="224">
        <v>6570</v>
      </c>
    </row>
    <row r="220" spans="1:9" ht="15.5" x14ac:dyDescent="0.35">
      <c r="A220" s="224" t="s">
        <v>7</v>
      </c>
      <c r="B220" s="224" t="s">
        <v>36</v>
      </c>
      <c r="C220" s="224" t="s">
        <v>86</v>
      </c>
      <c r="D220" s="224" t="s">
        <v>9</v>
      </c>
      <c r="E220" s="224" t="s">
        <v>256</v>
      </c>
      <c r="F220" s="224" t="s">
        <v>250</v>
      </c>
      <c r="G220" s="223" t="str">
        <f>VLOOKUP($B220,'FRS geographical categories'!$A$2:$C$45,2,FALSE)</f>
        <v>Predominantly Urban</v>
      </c>
      <c r="H220" s="223" t="str">
        <f>VLOOKUP($B220,'FRS geographical categories'!$A$2:$C$45,3,FALSE)</f>
        <v>Metropolitan</v>
      </c>
      <c r="I220" s="224">
        <v>23971</v>
      </c>
    </row>
    <row r="221" spans="1:9" ht="15.5" x14ac:dyDescent="0.35">
      <c r="A221" s="224" t="s">
        <v>7</v>
      </c>
      <c r="B221" s="224" t="s">
        <v>36</v>
      </c>
      <c r="C221" s="224" t="s">
        <v>86</v>
      </c>
      <c r="D221" s="224" t="s">
        <v>9</v>
      </c>
      <c r="E221" s="224" t="s">
        <v>256</v>
      </c>
      <c r="F221" s="224" t="s">
        <v>10</v>
      </c>
      <c r="G221" s="223" t="str">
        <f>VLOOKUP($B221,'FRS geographical categories'!$A$2:$C$45,2,FALSE)</f>
        <v>Predominantly Urban</v>
      </c>
      <c r="H221" s="223" t="str">
        <f>VLOOKUP($B221,'FRS geographical categories'!$A$2:$C$45,3,FALSE)</f>
        <v>Metropolitan</v>
      </c>
      <c r="I221" s="224">
        <v>49324</v>
      </c>
    </row>
    <row r="222" spans="1:9" ht="15.5" x14ac:dyDescent="0.35">
      <c r="A222" s="224" t="s">
        <v>7</v>
      </c>
      <c r="B222" s="224" t="s">
        <v>36</v>
      </c>
      <c r="C222" s="224" t="s">
        <v>89</v>
      </c>
      <c r="D222" s="224" t="s">
        <v>9</v>
      </c>
      <c r="E222" s="224" t="s">
        <v>256</v>
      </c>
      <c r="F222" s="224" t="s">
        <v>248</v>
      </c>
      <c r="G222" s="223" t="str">
        <f>VLOOKUP($B222,'FRS geographical categories'!$A$2:$C$45,2,FALSE)</f>
        <v>Predominantly Urban</v>
      </c>
      <c r="H222" s="223" t="str">
        <f>VLOOKUP($B222,'FRS geographical categories'!$A$2:$C$45,3,FALSE)</f>
        <v>Metropolitan</v>
      </c>
      <c r="I222" s="224">
        <v>0</v>
      </c>
    </row>
    <row r="223" spans="1:9" ht="15.5" x14ac:dyDescent="0.35">
      <c r="A223" s="224" t="s">
        <v>7</v>
      </c>
      <c r="B223" s="224" t="s">
        <v>36</v>
      </c>
      <c r="C223" s="224" t="s">
        <v>89</v>
      </c>
      <c r="D223" s="224" t="s">
        <v>9</v>
      </c>
      <c r="E223" s="224" t="s">
        <v>256</v>
      </c>
      <c r="F223" s="224" t="s">
        <v>249</v>
      </c>
      <c r="G223" s="223" t="str">
        <f>VLOOKUP($B223,'FRS geographical categories'!$A$2:$C$45,2,FALSE)</f>
        <v>Predominantly Urban</v>
      </c>
      <c r="H223" s="223" t="str">
        <f>VLOOKUP($B223,'FRS geographical categories'!$A$2:$C$45,3,FALSE)</f>
        <v>Metropolitan</v>
      </c>
      <c r="I223" s="224">
        <v>0</v>
      </c>
    </row>
    <row r="224" spans="1:9" ht="15.5" x14ac:dyDescent="0.35">
      <c r="A224" s="224" t="s">
        <v>7</v>
      </c>
      <c r="B224" s="224" t="s">
        <v>36</v>
      </c>
      <c r="C224" s="224" t="s">
        <v>89</v>
      </c>
      <c r="D224" s="224" t="s">
        <v>9</v>
      </c>
      <c r="E224" s="224" t="s">
        <v>256</v>
      </c>
      <c r="F224" s="224" t="s">
        <v>250</v>
      </c>
      <c r="G224" s="223" t="str">
        <f>VLOOKUP($B224,'FRS geographical categories'!$A$2:$C$45,2,FALSE)</f>
        <v>Predominantly Urban</v>
      </c>
      <c r="H224" s="223" t="str">
        <f>VLOOKUP($B224,'FRS geographical categories'!$A$2:$C$45,3,FALSE)</f>
        <v>Metropolitan</v>
      </c>
      <c r="I224" s="224">
        <v>0</v>
      </c>
    </row>
    <row r="225" spans="1:9" ht="15.5" x14ac:dyDescent="0.35">
      <c r="A225" s="224" t="s">
        <v>7</v>
      </c>
      <c r="B225" s="224" t="s">
        <v>36</v>
      </c>
      <c r="C225" s="224" t="s">
        <v>89</v>
      </c>
      <c r="D225" s="224" t="s">
        <v>9</v>
      </c>
      <c r="E225" s="224" t="s">
        <v>256</v>
      </c>
      <c r="F225" s="224" t="s">
        <v>10</v>
      </c>
      <c r="G225" s="223" t="str">
        <f>VLOOKUP($B225,'FRS geographical categories'!$A$2:$C$45,2,FALSE)</f>
        <v>Predominantly Urban</v>
      </c>
      <c r="H225" s="223" t="str">
        <f>VLOOKUP($B225,'FRS geographical categories'!$A$2:$C$45,3,FALSE)</f>
        <v>Metropolitan</v>
      </c>
      <c r="I225" s="224">
        <v>0</v>
      </c>
    </row>
    <row r="226" spans="1:9" ht="15.5" x14ac:dyDescent="0.35">
      <c r="A226" s="224" t="s">
        <v>7</v>
      </c>
      <c r="B226" s="224" t="s">
        <v>37</v>
      </c>
      <c r="C226" s="224" t="s">
        <v>86</v>
      </c>
      <c r="D226" s="224" t="s">
        <v>9</v>
      </c>
      <c r="E226" s="224" t="s">
        <v>256</v>
      </c>
      <c r="F226" s="224" t="s">
        <v>248</v>
      </c>
      <c r="G226" s="223" t="str">
        <f>VLOOKUP($B226,'FRS geographical categories'!$A$2:$C$45,2,FALSE)</f>
        <v>Predominantly Rural</v>
      </c>
      <c r="H226" s="223" t="str">
        <f>VLOOKUP($B226,'FRS geographical categories'!$A$2:$C$45,3,FALSE)</f>
        <v>Non-metropolitan</v>
      </c>
      <c r="I226" s="224">
        <v>0</v>
      </c>
    </row>
    <row r="227" spans="1:9" ht="15.5" x14ac:dyDescent="0.35">
      <c r="A227" s="224" t="s">
        <v>7</v>
      </c>
      <c r="B227" s="224" t="s">
        <v>37</v>
      </c>
      <c r="C227" s="224" t="s">
        <v>86</v>
      </c>
      <c r="D227" s="224" t="s">
        <v>9</v>
      </c>
      <c r="E227" s="224" t="s">
        <v>256</v>
      </c>
      <c r="F227" s="224" t="s">
        <v>249</v>
      </c>
      <c r="G227" s="223" t="str">
        <f>VLOOKUP($B227,'FRS geographical categories'!$A$2:$C$45,2,FALSE)</f>
        <v>Predominantly Rural</v>
      </c>
      <c r="H227" s="223" t="str">
        <f>VLOOKUP($B227,'FRS geographical categories'!$A$2:$C$45,3,FALSE)</f>
        <v>Non-metropolitan</v>
      </c>
      <c r="I227" s="224">
        <v>0</v>
      </c>
    </row>
    <row r="228" spans="1:9" ht="15.5" x14ac:dyDescent="0.35">
      <c r="A228" s="224" t="s">
        <v>7</v>
      </c>
      <c r="B228" s="224" t="s">
        <v>37</v>
      </c>
      <c r="C228" s="224" t="s">
        <v>86</v>
      </c>
      <c r="D228" s="224" t="s">
        <v>9</v>
      </c>
      <c r="E228" s="224" t="s">
        <v>256</v>
      </c>
      <c r="F228" s="224" t="s">
        <v>250</v>
      </c>
      <c r="G228" s="223" t="str">
        <f>VLOOKUP($B228,'FRS geographical categories'!$A$2:$C$45,2,FALSE)</f>
        <v>Predominantly Rural</v>
      </c>
      <c r="H228" s="223" t="str">
        <f>VLOOKUP($B228,'FRS geographical categories'!$A$2:$C$45,3,FALSE)</f>
        <v>Non-metropolitan</v>
      </c>
      <c r="I228" s="224">
        <v>2532</v>
      </c>
    </row>
    <row r="229" spans="1:9" ht="15.5" x14ac:dyDescent="0.35">
      <c r="A229" s="224" t="s">
        <v>7</v>
      </c>
      <c r="B229" s="224" t="s">
        <v>37</v>
      </c>
      <c r="C229" s="224" t="s">
        <v>86</v>
      </c>
      <c r="D229" s="224" t="s">
        <v>9</v>
      </c>
      <c r="E229" s="224" t="s">
        <v>256</v>
      </c>
      <c r="F229" s="224" t="s">
        <v>10</v>
      </c>
      <c r="G229" s="223" t="str">
        <f>VLOOKUP($B229,'FRS geographical categories'!$A$2:$C$45,2,FALSE)</f>
        <v>Predominantly Rural</v>
      </c>
      <c r="H229" s="223" t="str">
        <f>VLOOKUP($B229,'FRS geographical categories'!$A$2:$C$45,3,FALSE)</f>
        <v>Non-metropolitan</v>
      </c>
      <c r="I229" s="224">
        <v>4048</v>
      </c>
    </row>
    <row r="230" spans="1:9" ht="15.5" x14ac:dyDescent="0.35">
      <c r="A230" s="224" t="s">
        <v>7</v>
      </c>
      <c r="B230" s="224" t="s">
        <v>37</v>
      </c>
      <c r="C230" s="224" t="s">
        <v>89</v>
      </c>
      <c r="D230" s="224" t="s">
        <v>9</v>
      </c>
      <c r="E230" s="224" t="s">
        <v>256</v>
      </c>
      <c r="F230" s="224" t="s">
        <v>248</v>
      </c>
      <c r="G230" s="223" t="str">
        <f>VLOOKUP($B230,'FRS geographical categories'!$A$2:$C$45,2,FALSE)</f>
        <v>Predominantly Rural</v>
      </c>
      <c r="H230" s="223" t="str">
        <f>VLOOKUP($B230,'FRS geographical categories'!$A$2:$C$45,3,FALSE)</f>
        <v>Non-metropolitan</v>
      </c>
      <c r="I230" s="224">
        <v>0</v>
      </c>
    </row>
    <row r="231" spans="1:9" ht="15.5" x14ac:dyDescent="0.35">
      <c r="A231" s="224" t="s">
        <v>7</v>
      </c>
      <c r="B231" s="224" t="s">
        <v>37</v>
      </c>
      <c r="C231" s="224" t="s">
        <v>89</v>
      </c>
      <c r="D231" s="224" t="s">
        <v>9</v>
      </c>
      <c r="E231" s="224" t="s">
        <v>256</v>
      </c>
      <c r="F231" s="224" t="s">
        <v>249</v>
      </c>
      <c r="G231" s="223" t="str">
        <f>VLOOKUP($B231,'FRS geographical categories'!$A$2:$C$45,2,FALSE)</f>
        <v>Predominantly Rural</v>
      </c>
      <c r="H231" s="223" t="str">
        <f>VLOOKUP($B231,'FRS geographical categories'!$A$2:$C$45,3,FALSE)</f>
        <v>Non-metropolitan</v>
      </c>
      <c r="I231" s="224">
        <v>0</v>
      </c>
    </row>
    <row r="232" spans="1:9" ht="15.5" x14ac:dyDescent="0.35">
      <c r="A232" s="224" t="s">
        <v>7</v>
      </c>
      <c r="B232" s="224" t="s">
        <v>37</v>
      </c>
      <c r="C232" s="224" t="s">
        <v>89</v>
      </c>
      <c r="D232" s="224" t="s">
        <v>9</v>
      </c>
      <c r="E232" s="224" t="s">
        <v>256</v>
      </c>
      <c r="F232" s="224" t="s">
        <v>250</v>
      </c>
      <c r="G232" s="223" t="str">
        <f>VLOOKUP($B232,'FRS geographical categories'!$A$2:$C$45,2,FALSE)</f>
        <v>Predominantly Rural</v>
      </c>
      <c r="H232" s="223" t="str">
        <f>VLOOKUP($B232,'FRS geographical categories'!$A$2:$C$45,3,FALSE)</f>
        <v>Non-metropolitan</v>
      </c>
      <c r="I232" s="224">
        <v>0</v>
      </c>
    </row>
    <row r="233" spans="1:9" ht="15.5" x14ac:dyDescent="0.35">
      <c r="A233" s="224" t="s">
        <v>7</v>
      </c>
      <c r="B233" s="224" t="s">
        <v>37</v>
      </c>
      <c r="C233" s="224" t="s">
        <v>89</v>
      </c>
      <c r="D233" s="224" t="s">
        <v>9</v>
      </c>
      <c r="E233" s="224" t="s">
        <v>256</v>
      </c>
      <c r="F233" s="224" t="s">
        <v>10</v>
      </c>
      <c r="G233" s="223" t="str">
        <f>VLOOKUP($B233,'FRS geographical categories'!$A$2:$C$45,2,FALSE)</f>
        <v>Predominantly Rural</v>
      </c>
      <c r="H233" s="223" t="str">
        <f>VLOOKUP($B233,'FRS geographical categories'!$A$2:$C$45,3,FALSE)</f>
        <v>Non-metropolitan</v>
      </c>
      <c r="I233" s="224">
        <v>0</v>
      </c>
    </row>
    <row r="234" spans="1:9" ht="15.5" x14ac:dyDescent="0.35">
      <c r="A234" s="224" t="s">
        <v>7</v>
      </c>
      <c r="B234" s="224" t="s">
        <v>38</v>
      </c>
      <c r="C234" s="224" t="s">
        <v>86</v>
      </c>
      <c r="D234" s="224" t="s">
        <v>9</v>
      </c>
      <c r="E234" s="224" t="s">
        <v>256</v>
      </c>
      <c r="F234" s="224" t="s">
        <v>248</v>
      </c>
      <c r="G234" s="223" t="str">
        <f>VLOOKUP($B234,'FRS geographical categories'!$A$2:$C$45,2,FALSE)</f>
        <v>Predominantly Rural</v>
      </c>
      <c r="H234" s="223" t="str">
        <f>VLOOKUP($B234,'FRS geographical categories'!$A$2:$C$45,3,FALSE)</f>
        <v>Non-metropolitan</v>
      </c>
      <c r="I234" s="224">
        <v>0</v>
      </c>
    </row>
    <row r="235" spans="1:9" ht="15.5" x14ac:dyDescent="0.35">
      <c r="A235" s="224" t="s">
        <v>7</v>
      </c>
      <c r="B235" s="224" t="s">
        <v>38</v>
      </c>
      <c r="C235" s="224" t="s">
        <v>86</v>
      </c>
      <c r="D235" s="224" t="s">
        <v>9</v>
      </c>
      <c r="E235" s="224" t="s">
        <v>256</v>
      </c>
      <c r="F235" s="224" t="s">
        <v>249</v>
      </c>
      <c r="G235" s="223" t="str">
        <f>VLOOKUP($B235,'FRS geographical categories'!$A$2:$C$45,2,FALSE)</f>
        <v>Predominantly Rural</v>
      </c>
      <c r="H235" s="223" t="str">
        <f>VLOOKUP($B235,'FRS geographical categories'!$A$2:$C$45,3,FALSE)</f>
        <v>Non-metropolitan</v>
      </c>
      <c r="I235" s="224">
        <v>0</v>
      </c>
    </row>
    <row r="236" spans="1:9" ht="15.5" x14ac:dyDescent="0.35">
      <c r="A236" s="224" t="s">
        <v>7</v>
      </c>
      <c r="B236" s="224" t="s">
        <v>38</v>
      </c>
      <c r="C236" s="224" t="s">
        <v>86</v>
      </c>
      <c r="D236" s="224" t="s">
        <v>9</v>
      </c>
      <c r="E236" s="224" t="s">
        <v>256</v>
      </c>
      <c r="F236" s="224" t="s">
        <v>250</v>
      </c>
      <c r="G236" s="223" t="str">
        <f>VLOOKUP($B236,'FRS geographical categories'!$A$2:$C$45,2,FALSE)</f>
        <v>Predominantly Rural</v>
      </c>
      <c r="H236" s="223" t="str">
        <f>VLOOKUP($B236,'FRS geographical categories'!$A$2:$C$45,3,FALSE)</f>
        <v>Non-metropolitan</v>
      </c>
      <c r="I236" s="224">
        <v>1314</v>
      </c>
    </row>
    <row r="237" spans="1:9" ht="15.5" x14ac:dyDescent="0.35">
      <c r="A237" s="224" t="s">
        <v>7</v>
      </c>
      <c r="B237" s="224" t="s">
        <v>38</v>
      </c>
      <c r="C237" s="224" t="s">
        <v>86</v>
      </c>
      <c r="D237" s="224" t="s">
        <v>9</v>
      </c>
      <c r="E237" s="224" t="s">
        <v>256</v>
      </c>
      <c r="F237" s="224" t="s">
        <v>10</v>
      </c>
      <c r="G237" s="223" t="str">
        <f>VLOOKUP($B237,'FRS geographical categories'!$A$2:$C$45,2,FALSE)</f>
        <v>Predominantly Rural</v>
      </c>
      <c r="H237" s="223" t="str">
        <f>VLOOKUP($B237,'FRS geographical categories'!$A$2:$C$45,3,FALSE)</f>
        <v>Non-metropolitan</v>
      </c>
      <c r="I237" s="224">
        <v>2090</v>
      </c>
    </row>
    <row r="238" spans="1:9" ht="15.5" x14ac:dyDescent="0.35">
      <c r="A238" s="224" t="s">
        <v>7</v>
      </c>
      <c r="B238" s="224" t="s">
        <v>38</v>
      </c>
      <c r="C238" s="224" t="s">
        <v>89</v>
      </c>
      <c r="D238" s="224" t="s">
        <v>9</v>
      </c>
      <c r="E238" s="224" t="s">
        <v>256</v>
      </c>
      <c r="F238" s="224" t="s">
        <v>248</v>
      </c>
      <c r="G238" s="223" t="str">
        <f>VLOOKUP($B238,'FRS geographical categories'!$A$2:$C$45,2,FALSE)</f>
        <v>Predominantly Rural</v>
      </c>
      <c r="H238" s="223" t="str">
        <f>VLOOKUP($B238,'FRS geographical categories'!$A$2:$C$45,3,FALSE)</f>
        <v>Non-metropolitan</v>
      </c>
      <c r="I238" s="224">
        <v>0</v>
      </c>
    </row>
    <row r="239" spans="1:9" ht="15.5" x14ac:dyDescent="0.35">
      <c r="A239" s="224" t="s">
        <v>7</v>
      </c>
      <c r="B239" s="224" t="s">
        <v>38</v>
      </c>
      <c r="C239" s="224" t="s">
        <v>89</v>
      </c>
      <c r="D239" s="224" t="s">
        <v>9</v>
      </c>
      <c r="E239" s="224" t="s">
        <v>256</v>
      </c>
      <c r="F239" s="224" t="s">
        <v>249</v>
      </c>
      <c r="G239" s="223" t="str">
        <f>VLOOKUP($B239,'FRS geographical categories'!$A$2:$C$45,2,FALSE)</f>
        <v>Predominantly Rural</v>
      </c>
      <c r="H239" s="223" t="str">
        <f>VLOOKUP($B239,'FRS geographical categories'!$A$2:$C$45,3,FALSE)</f>
        <v>Non-metropolitan</v>
      </c>
      <c r="I239" s="224">
        <v>0</v>
      </c>
    </row>
    <row r="240" spans="1:9" ht="15.5" x14ac:dyDescent="0.35">
      <c r="A240" s="224" t="s">
        <v>7</v>
      </c>
      <c r="B240" s="224" t="s">
        <v>38</v>
      </c>
      <c r="C240" s="224" t="s">
        <v>89</v>
      </c>
      <c r="D240" s="224" t="s">
        <v>9</v>
      </c>
      <c r="E240" s="224" t="s">
        <v>256</v>
      </c>
      <c r="F240" s="224" t="s">
        <v>250</v>
      </c>
      <c r="G240" s="223" t="str">
        <f>VLOOKUP($B240,'FRS geographical categories'!$A$2:$C$45,2,FALSE)</f>
        <v>Predominantly Rural</v>
      </c>
      <c r="H240" s="223" t="str">
        <f>VLOOKUP($B240,'FRS geographical categories'!$A$2:$C$45,3,FALSE)</f>
        <v>Non-metropolitan</v>
      </c>
      <c r="I240" s="224">
        <v>0</v>
      </c>
    </row>
    <row r="241" spans="1:9" ht="15.5" x14ac:dyDescent="0.35">
      <c r="A241" s="224" t="s">
        <v>7</v>
      </c>
      <c r="B241" s="224" t="s">
        <v>38</v>
      </c>
      <c r="C241" s="224" t="s">
        <v>89</v>
      </c>
      <c r="D241" s="224" t="s">
        <v>9</v>
      </c>
      <c r="E241" s="224" t="s">
        <v>256</v>
      </c>
      <c r="F241" s="224" t="s">
        <v>10</v>
      </c>
      <c r="G241" s="223" t="str">
        <f>VLOOKUP($B241,'FRS geographical categories'!$A$2:$C$45,2,FALSE)</f>
        <v>Predominantly Rural</v>
      </c>
      <c r="H241" s="223" t="str">
        <f>VLOOKUP($B241,'FRS geographical categories'!$A$2:$C$45,3,FALSE)</f>
        <v>Non-metropolitan</v>
      </c>
      <c r="I241" s="224">
        <v>0</v>
      </c>
    </row>
    <row r="242" spans="1:9" ht="15.5" x14ac:dyDescent="0.35">
      <c r="A242" s="224" t="s">
        <v>7</v>
      </c>
      <c r="B242" s="224" t="s">
        <v>39</v>
      </c>
      <c r="C242" s="224" t="s">
        <v>86</v>
      </c>
      <c r="D242" s="224" t="s">
        <v>9</v>
      </c>
      <c r="E242" s="224" t="s">
        <v>256</v>
      </c>
      <c r="F242" s="224" t="s">
        <v>248</v>
      </c>
      <c r="G242" s="223" t="str">
        <f>VLOOKUP($B242,'FRS geographical categories'!$A$2:$C$45,2,FALSE)</f>
        <v>Significantly Rural</v>
      </c>
      <c r="H242" s="223" t="str">
        <f>VLOOKUP($B242,'FRS geographical categories'!$A$2:$C$45,3,FALSE)</f>
        <v>Non-metropolitan</v>
      </c>
      <c r="I242" s="224">
        <v>172</v>
      </c>
    </row>
    <row r="243" spans="1:9" ht="15.5" x14ac:dyDescent="0.35">
      <c r="A243" s="224" t="s">
        <v>7</v>
      </c>
      <c r="B243" s="224" t="s">
        <v>39</v>
      </c>
      <c r="C243" s="224" t="s">
        <v>86</v>
      </c>
      <c r="D243" s="224" t="s">
        <v>9</v>
      </c>
      <c r="E243" s="224" t="s">
        <v>256</v>
      </c>
      <c r="F243" s="224" t="s">
        <v>249</v>
      </c>
      <c r="G243" s="223" t="str">
        <f>VLOOKUP($B243,'FRS geographical categories'!$A$2:$C$45,2,FALSE)</f>
        <v>Significantly Rural</v>
      </c>
      <c r="H243" s="223" t="str">
        <f>VLOOKUP($B243,'FRS geographical categories'!$A$2:$C$45,3,FALSE)</f>
        <v>Non-metropolitan</v>
      </c>
      <c r="I243" s="224">
        <v>592</v>
      </c>
    </row>
    <row r="244" spans="1:9" ht="15.5" x14ac:dyDescent="0.35">
      <c r="A244" s="224" t="s">
        <v>7</v>
      </c>
      <c r="B244" s="224" t="s">
        <v>39</v>
      </c>
      <c r="C244" s="224" t="s">
        <v>86</v>
      </c>
      <c r="D244" s="224" t="s">
        <v>9</v>
      </c>
      <c r="E244" s="224" t="s">
        <v>256</v>
      </c>
      <c r="F244" s="224" t="s">
        <v>250</v>
      </c>
      <c r="G244" s="223" t="str">
        <f>VLOOKUP($B244,'FRS geographical categories'!$A$2:$C$45,2,FALSE)</f>
        <v>Significantly Rural</v>
      </c>
      <c r="H244" s="223" t="str">
        <f>VLOOKUP($B244,'FRS geographical categories'!$A$2:$C$45,3,FALSE)</f>
        <v>Non-metropolitan</v>
      </c>
      <c r="I244" s="224">
        <v>1350</v>
      </c>
    </row>
    <row r="245" spans="1:9" ht="15.5" x14ac:dyDescent="0.35">
      <c r="A245" s="224" t="s">
        <v>7</v>
      </c>
      <c r="B245" s="224" t="s">
        <v>39</v>
      </c>
      <c r="C245" s="224" t="s">
        <v>86</v>
      </c>
      <c r="D245" s="224" t="s">
        <v>9</v>
      </c>
      <c r="E245" s="224" t="s">
        <v>256</v>
      </c>
      <c r="F245" s="224" t="s">
        <v>10</v>
      </c>
      <c r="G245" s="223" t="str">
        <f>VLOOKUP($B245,'FRS geographical categories'!$A$2:$C$45,2,FALSE)</f>
        <v>Significantly Rural</v>
      </c>
      <c r="H245" s="223" t="str">
        <f>VLOOKUP($B245,'FRS geographical categories'!$A$2:$C$45,3,FALSE)</f>
        <v>Non-metropolitan</v>
      </c>
      <c r="I245" s="224">
        <v>2520</v>
      </c>
    </row>
    <row r="246" spans="1:9" ht="15.5" x14ac:dyDescent="0.35">
      <c r="A246" s="224" t="s">
        <v>7</v>
      </c>
      <c r="B246" s="224" t="s">
        <v>39</v>
      </c>
      <c r="C246" s="224" t="s">
        <v>89</v>
      </c>
      <c r="D246" s="224" t="s">
        <v>9</v>
      </c>
      <c r="E246" s="224" t="s">
        <v>256</v>
      </c>
      <c r="F246" s="224" t="s">
        <v>248</v>
      </c>
      <c r="G246" s="223" t="str">
        <f>VLOOKUP($B246,'FRS geographical categories'!$A$2:$C$45,2,FALSE)</f>
        <v>Significantly Rural</v>
      </c>
      <c r="H246" s="223" t="str">
        <f>VLOOKUP($B246,'FRS geographical categories'!$A$2:$C$45,3,FALSE)</f>
        <v>Non-metropolitan</v>
      </c>
      <c r="I246" s="224">
        <v>1</v>
      </c>
    </row>
    <row r="247" spans="1:9" ht="15.5" x14ac:dyDescent="0.35">
      <c r="A247" s="224" t="s">
        <v>7</v>
      </c>
      <c r="B247" s="224" t="s">
        <v>39</v>
      </c>
      <c r="C247" s="224" t="s">
        <v>89</v>
      </c>
      <c r="D247" s="224" t="s">
        <v>9</v>
      </c>
      <c r="E247" s="224" t="s">
        <v>256</v>
      </c>
      <c r="F247" s="224" t="s">
        <v>249</v>
      </c>
      <c r="G247" s="223" t="str">
        <f>VLOOKUP($B247,'FRS geographical categories'!$A$2:$C$45,2,FALSE)</f>
        <v>Significantly Rural</v>
      </c>
      <c r="H247" s="223" t="str">
        <f>VLOOKUP($B247,'FRS geographical categories'!$A$2:$C$45,3,FALSE)</f>
        <v>Non-metropolitan</v>
      </c>
      <c r="I247" s="224">
        <v>3</v>
      </c>
    </row>
    <row r="248" spans="1:9" ht="15.5" x14ac:dyDescent="0.35">
      <c r="A248" s="224" t="s">
        <v>7</v>
      </c>
      <c r="B248" s="224" t="s">
        <v>39</v>
      </c>
      <c r="C248" s="224" t="s">
        <v>89</v>
      </c>
      <c r="D248" s="224" t="s">
        <v>9</v>
      </c>
      <c r="E248" s="224" t="s">
        <v>256</v>
      </c>
      <c r="F248" s="224" t="s">
        <v>250</v>
      </c>
      <c r="G248" s="223" t="str">
        <f>VLOOKUP($B248,'FRS geographical categories'!$A$2:$C$45,2,FALSE)</f>
        <v>Significantly Rural</v>
      </c>
      <c r="H248" s="223" t="str">
        <f>VLOOKUP($B248,'FRS geographical categories'!$A$2:$C$45,3,FALSE)</f>
        <v>Non-metropolitan</v>
      </c>
      <c r="I248" s="224">
        <v>3</v>
      </c>
    </row>
    <row r="249" spans="1:9" ht="15.5" x14ac:dyDescent="0.35">
      <c r="A249" s="224" t="s">
        <v>7</v>
      </c>
      <c r="B249" s="224" t="s">
        <v>39</v>
      </c>
      <c r="C249" s="224" t="s">
        <v>89</v>
      </c>
      <c r="D249" s="224" t="s">
        <v>9</v>
      </c>
      <c r="E249" s="224" t="s">
        <v>256</v>
      </c>
      <c r="F249" s="224" t="s">
        <v>10</v>
      </c>
      <c r="G249" s="223" t="str">
        <f>VLOOKUP($B249,'FRS geographical categories'!$A$2:$C$45,2,FALSE)</f>
        <v>Significantly Rural</v>
      </c>
      <c r="H249" s="223" t="str">
        <f>VLOOKUP($B249,'FRS geographical categories'!$A$2:$C$45,3,FALSE)</f>
        <v>Non-metropolitan</v>
      </c>
      <c r="I249" s="224">
        <v>7</v>
      </c>
    </row>
    <row r="250" spans="1:9" ht="15.5" x14ac:dyDescent="0.35">
      <c r="A250" s="224" t="s">
        <v>7</v>
      </c>
      <c r="B250" s="224" t="s">
        <v>40</v>
      </c>
      <c r="C250" s="224" t="s">
        <v>86</v>
      </c>
      <c r="D250" s="224" t="s">
        <v>9</v>
      </c>
      <c r="E250" s="224" t="s">
        <v>256</v>
      </c>
      <c r="F250" s="224" t="s">
        <v>248</v>
      </c>
      <c r="G250" s="223" t="str">
        <f>VLOOKUP($B250,'FRS geographical categories'!$A$2:$C$45,2,FALSE)</f>
        <v>Predominantly Rural</v>
      </c>
      <c r="H250" s="223" t="str">
        <f>VLOOKUP($B250,'FRS geographical categories'!$A$2:$C$45,3,FALSE)</f>
        <v>Non-metropolitan</v>
      </c>
      <c r="I250" s="224">
        <v>289</v>
      </c>
    </row>
    <row r="251" spans="1:9" ht="15.5" x14ac:dyDescent="0.35">
      <c r="A251" s="224" t="s">
        <v>7</v>
      </c>
      <c r="B251" s="224" t="s">
        <v>40</v>
      </c>
      <c r="C251" s="224" t="s">
        <v>86</v>
      </c>
      <c r="D251" s="224" t="s">
        <v>9</v>
      </c>
      <c r="E251" s="224" t="s">
        <v>256</v>
      </c>
      <c r="F251" s="224" t="s">
        <v>249</v>
      </c>
      <c r="G251" s="223" t="str">
        <f>VLOOKUP($B251,'FRS geographical categories'!$A$2:$C$45,2,FALSE)</f>
        <v>Predominantly Rural</v>
      </c>
      <c r="H251" s="223" t="str">
        <f>VLOOKUP($B251,'FRS geographical categories'!$A$2:$C$45,3,FALSE)</f>
        <v>Non-metropolitan</v>
      </c>
      <c r="I251" s="224">
        <v>892</v>
      </c>
    </row>
    <row r="252" spans="1:9" ht="15.5" x14ac:dyDescent="0.35">
      <c r="A252" s="224" t="s">
        <v>7</v>
      </c>
      <c r="B252" s="224" t="s">
        <v>40</v>
      </c>
      <c r="C252" s="224" t="s">
        <v>86</v>
      </c>
      <c r="D252" s="224" t="s">
        <v>9</v>
      </c>
      <c r="E252" s="224" t="s">
        <v>256</v>
      </c>
      <c r="F252" s="224" t="s">
        <v>250</v>
      </c>
      <c r="G252" s="223" t="str">
        <f>VLOOKUP($B252,'FRS geographical categories'!$A$2:$C$45,2,FALSE)</f>
        <v>Predominantly Rural</v>
      </c>
      <c r="H252" s="223" t="str">
        <f>VLOOKUP($B252,'FRS geographical categories'!$A$2:$C$45,3,FALSE)</f>
        <v>Non-metropolitan</v>
      </c>
      <c r="I252" s="224">
        <v>4354</v>
      </c>
    </row>
    <row r="253" spans="1:9" ht="15.5" x14ac:dyDescent="0.35">
      <c r="A253" s="224" t="s">
        <v>7</v>
      </c>
      <c r="B253" s="224" t="s">
        <v>40</v>
      </c>
      <c r="C253" s="224" t="s">
        <v>86</v>
      </c>
      <c r="D253" s="224" t="s">
        <v>9</v>
      </c>
      <c r="E253" s="224" t="s">
        <v>256</v>
      </c>
      <c r="F253" s="224" t="s">
        <v>10</v>
      </c>
      <c r="G253" s="223" t="str">
        <f>VLOOKUP($B253,'FRS geographical categories'!$A$2:$C$45,2,FALSE)</f>
        <v>Predominantly Rural</v>
      </c>
      <c r="H253" s="223" t="str">
        <f>VLOOKUP($B253,'FRS geographical categories'!$A$2:$C$45,3,FALSE)</f>
        <v>Non-metropolitan</v>
      </c>
      <c r="I253" s="224">
        <v>8215</v>
      </c>
    </row>
    <row r="254" spans="1:9" ht="15.5" x14ac:dyDescent="0.35">
      <c r="A254" s="224" t="s">
        <v>7</v>
      </c>
      <c r="B254" s="224" t="s">
        <v>40</v>
      </c>
      <c r="C254" s="224" t="s">
        <v>89</v>
      </c>
      <c r="D254" s="224" t="s">
        <v>9</v>
      </c>
      <c r="E254" s="224" t="s">
        <v>256</v>
      </c>
      <c r="F254" s="224" t="s">
        <v>248</v>
      </c>
      <c r="G254" s="223" t="str">
        <f>VLOOKUP($B254,'FRS geographical categories'!$A$2:$C$45,2,FALSE)</f>
        <v>Predominantly Rural</v>
      </c>
      <c r="H254" s="223" t="str">
        <f>VLOOKUP($B254,'FRS geographical categories'!$A$2:$C$45,3,FALSE)</f>
        <v>Non-metropolitan</v>
      </c>
      <c r="I254" s="224">
        <v>0</v>
      </c>
    </row>
    <row r="255" spans="1:9" ht="15.5" x14ac:dyDescent="0.35">
      <c r="A255" s="224" t="s">
        <v>7</v>
      </c>
      <c r="B255" s="224" t="s">
        <v>40</v>
      </c>
      <c r="C255" s="224" t="s">
        <v>89</v>
      </c>
      <c r="D255" s="224" t="s">
        <v>9</v>
      </c>
      <c r="E255" s="224" t="s">
        <v>256</v>
      </c>
      <c r="F255" s="224" t="s">
        <v>249</v>
      </c>
      <c r="G255" s="223" t="str">
        <f>VLOOKUP($B255,'FRS geographical categories'!$A$2:$C$45,2,FALSE)</f>
        <v>Predominantly Rural</v>
      </c>
      <c r="H255" s="223" t="str">
        <f>VLOOKUP($B255,'FRS geographical categories'!$A$2:$C$45,3,FALSE)</f>
        <v>Non-metropolitan</v>
      </c>
      <c r="I255" s="224">
        <v>0</v>
      </c>
    </row>
    <row r="256" spans="1:9" ht="15.5" x14ac:dyDescent="0.35">
      <c r="A256" s="224" t="s">
        <v>7</v>
      </c>
      <c r="B256" s="224" t="s">
        <v>40</v>
      </c>
      <c r="C256" s="224" t="s">
        <v>89</v>
      </c>
      <c r="D256" s="224" t="s">
        <v>9</v>
      </c>
      <c r="E256" s="224" t="s">
        <v>256</v>
      </c>
      <c r="F256" s="224" t="s">
        <v>250</v>
      </c>
      <c r="G256" s="223" t="str">
        <f>VLOOKUP($B256,'FRS geographical categories'!$A$2:$C$45,2,FALSE)</f>
        <v>Predominantly Rural</v>
      </c>
      <c r="H256" s="223" t="str">
        <f>VLOOKUP($B256,'FRS geographical categories'!$A$2:$C$45,3,FALSE)</f>
        <v>Non-metropolitan</v>
      </c>
      <c r="I256" s="224">
        <v>0</v>
      </c>
    </row>
    <row r="257" spans="1:9" ht="15.5" x14ac:dyDescent="0.35">
      <c r="A257" s="224" t="s">
        <v>7</v>
      </c>
      <c r="B257" s="224" t="s">
        <v>40</v>
      </c>
      <c r="C257" s="224" t="s">
        <v>89</v>
      </c>
      <c r="D257" s="224" t="s">
        <v>9</v>
      </c>
      <c r="E257" s="224" t="s">
        <v>256</v>
      </c>
      <c r="F257" s="224" t="s">
        <v>10</v>
      </c>
      <c r="G257" s="223" t="str">
        <f>VLOOKUP($B257,'FRS geographical categories'!$A$2:$C$45,2,FALSE)</f>
        <v>Predominantly Rural</v>
      </c>
      <c r="H257" s="223" t="str">
        <f>VLOOKUP($B257,'FRS geographical categories'!$A$2:$C$45,3,FALSE)</f>
        <v>Non-metropolitan</v>
      </c>
      <c r="I257" s="224">
        <v>0</v>
      </c>
    </row>
    <row r="258" spans="1:9" ht="15.5" x14ac:dyDescent="0.35">
      <c r="A258" s="224" t="s">
        <v>7</v>
      </c>
      <c r="B258" s="224" t="s">
        <v>41</v>
      </c>
      <c r="C258" s="224" t="s">
        <v>86</v>
      </c>
      <c r="D258" s="224" t="s">
        <v>9</v>
      </c>
      <c r="E258" s="224" t="s">
        <v>256</v>
      </c>
      <c r="F258" s="224" t="s">
        <v>248</v>
      </c>
      <c r="G258" s="223" t="str">
        <f>VLOOKUP($B258,'FRS geographical categories'!$A$2:$C$45,2,FALSE)</f>
        <v>Predominantly Urban</v>
      </c>
      <c r="H258" s="223" t="str">
        <f>VLOOKUP($B258,'FRS geographical categories'!$A$2:$C$45,3,FALSE)</f>
        <v>Non-metropolitan</v>
      </c>
      <c r="I258" s="224">
        <v>497</v>
      </c>
    </row>
    <row r="259" spans="1:9" ht="15.5" x14ac:dyDescent="0.35">
      <c r="A259" s="224" t="s">
        <v>7</v>
      </c>
      <c r="B259" s="224" t="s">
        <v>41</v>
      </c>
      <c r="C259" s="224" t="s">
        <v>86</v>
      </c>
      <c r="D259" s="224" t="s">
        <v>9</v>
      </c>
      <c r="E259" s="224" t="s">
        <v>256</v>
      </c>
      <c r="F259" s="224" t="s">
        <v>249</v>
      </c>
      <c r="G259" s="223" t="str">
        <f>VLOOKUP($B259,'FRS geographical categories'!$A$2:$C$45,2,FALSE)</f>
        <v>Predominantly Urban</v>
      </c>
      <c r="H259" s="223" t="str">
        <f>VLOOKUP($B259,'FRS geographical categories'!$A$2:$C$45,3,FALSE)</f>
        <v>Non-metropolitan</v>
      </c>
      <c r="I259" s="224">
        <v>795</v>
      </c>
    </row>
    <row r="260" spans="1:9" ht="15.5" x14ac:dyDescent="0.35">
      <c r="A260" s="224" t="s">
        <v>7</v>
      </c>
      <c r="B260" s="224" t="s">
        <v>41</v>
      </c>
      <c r="C260" s="224" t="s">
        <v>86</v>
      </c>
      <c r="D260" s="224" t="s">
        <v>9</v>
      </c>
      <c r="E260" s="224" t="s">
        <v>256</v>
      </c>
      <c r="F260" s="224" t="s">
        <v>250</v>
      </c>
      <c r="G260" s="223" t="str">
        <f>VLOOKUP($B260,'FRS geographical categories'!$A$2:$C$45,2,FALSE)</f>
        <v>Predominantly Urban</v>
      </c>
      <c r="H260" s="223" t="str">
        <f>VLOOKUP($B260,'FRS geographical categories'!$A$2:$C$45,3,FALSE)</f>
        <v>Non-metropolitan</v>
      </c>
      <c r="I260" s="224">
        <v>1337</v>
      </c>
    </row>
    <row r="261" spans="1:9" ht="15.5" x14ac:dyDescent="0.35">
      <c r="A261" s="224" t="s">
        <v>7</v>
      </c>
      <c r="B261" s="224" t="s">
        <v>41</v>
      </c>
      <c r="C261" s="224" t="s">
        <v>86</v>
      </c>
      <c r="D261" s="224" t="s">
        <v>9</v>
      </c>
      <c r="E261" s="224" t="s">
        <v>256</v>
      </c>
      <c r="F261" s="224" t="s">
        <v>10</v>
      </c>
      <c r="G261" s="223" t="str">
        <f>VLOOKUP($B261,'FRS geographical categories'!$A$2:$C$45,2,FALSE)</f>
        <v>Predominantly Urban</v>
      </c>
      <c r="H261" s="223" t="str">
        <f>VLOOKUP($B261,'FRS geographical categories'!$A$2:$C$45,3,FALSE)</f>
        <v>Non-metropolitan</v>
      </c>
      <c r="I261" s="224">
        <v>4219</v>
      </c>
    </row>
    <row r="262" spans="1:9" ht="15.5" x14ac:dyDescent="0.35">
      <c r="A262" s="224" t="s">
        <v>7</v>
      </c>
      <c r="B262" s="224" t="s">
        <v>41</v>
      </c>
      <c r="C262" s="224" t="s">
        <v>89</v>
      </c>
      <c r="D262" s="224" t="s">
        <v>9</v>
      </c>
      <c r="E262" s="224" t="s">
        <v>256</v>
      </c>
      <c r="F262" s="224" t="s">
        <v>248</v>
      </c>
      <c r="G262" s="223" t="str">
        <f>VLOOKUP($B262,'FRS geographical categories'!$A$2:$C$45,2,FALSE)</f>
        <v>Predominantly Urban</v>
      </c>
      <c r="H262" s="223" t="str">
        <f>VLOOKUP($B262,'FRS geographical categories'!$A$2:$C$45,3,FALSE)</f>
        <v>Non-metropolitan</v>
      </c>
      <c r="I262" s="224">
        <v>125</v>
      </c>
    </row>
    <row r="263" spans="1:9" ht="15.5" x14ac:dyDescent="0.35">
      <c r="A263" s="224" t="s">
        <v>7</v>
      </c>
      <c r="B263" s="224" t="s">
        <v>41</v>
      </c>
      <c r="C263" s="224" t="s">
        <v>89</v>
      </c>
      <c r="D263" s="224" t="s">
        <v>9</v>
      </c>
      <c r="E263" s="224" t="s">
        <v>256</v>
      </c>
      <c r="F263" s="224" t="s">
        <v>249</v>
      </c>
      <c r="G263" s="223" t="str">
        <f>VLOOKUP($B263,'FRS geographical categories'!$A$2:$C$45,2,FALSE)</f>
        <v>Predominantly Urban</v>
      </c>
      <c r="H263" s="223" t="str">
        <f>VLOOKUP($B263,'FRS geographical categories'!$A$2:$C$45,3,FALSE)</f>
        <v>Non-metropolitan</v>
      </c>
      <c r="I263" s="224">
        <v>149</v>
      </c>
    </row>
    <row r="264" spans="1:9" ht="15.5" x14ac:dyDescent="0.35">
      <c r="A264" s="224" t="s">
        <v>7</v>
      </c>
      <c r="B264" s="224" t="s">
        <v>41</v>
      </c>
      <c r="C264" s="224" t="s">
        <v>89</v>
      </c>
      <c r="D264" s="224" t="s">
        <v>9</v>
      </c>
      <c r="E264" s="224" t="s">
        <v>256</v>
      </c>
      <c r="F264" s="224" t="s">
        <v>250</v>
      </c>
      <c r="G264" s="223" t="str">
        <f>VLOOKUP($B264,'FRS geographical categories'!$A$2:$C$45,2,FALSE)</f>
        <v>Predominantly Urban</v>
      </c>
      <c r="H264" s="223" t="str">
        <f>VLOOKUP($B264,'FRS geographical categories'!$A$2:$C$45,3,FALSE)</f>
        <v>Non-metropolitan</v>
      </c>
      <c r="I264" s="224">
        <v>164</v>
      </c>
    </row>
    <row r="265" spans="1:9" ht="15.5" x14ac:dyDescent="0.35">
      <c r="A265" s="224" t="s">
        <v>7</v>
      </c>
      <c r="B265" s="224" t="s">
        <v>41</v>
      </c>
      <c r="C265" s="224" t="s">
        <v>89</v>
      </c>
      <c r="D265" s="224" t="s">
        <v>9</v>
      </c>
      <c r="E265" s="224" t="s">
        <v>256</v>
      </c>
      <c r="F265" s="224" t="s">
        <v>10</v>
      </c>
      <c r="G265" s="223" t="str">
        <f>VLOOKUP($B265,'FRS geographical categories'!$A$2:$C$45,2,FALSE)</f>
        <v>Predominantly Urban</v>
      </c>
      <c r="H265" s="223" t="str">
        <f>VLOOKUP($B265,'FRS geographical categories'!$A$2:$C$45,3,FALSE)</f>
        <v>Non-metropolitan</v>
      </c>
      <c r="I265" s="224">
        <v>519</v>
      </c>
    </row>
    <row r="266" spans="1:9" ht="15.5" x14ac:dyDescent="0.35">
      <c r="A266" s="224" t="s">
        <v>7</v>
      </c>
      <c r="B266" s="224" t="s">
        <v>42</v>
      </c>
      <c r="C266" s="224" t="s">
        <v>86</v>
      </c>
      <c r="D266" s="224" t="s">
        <v>9</v>
      </c>
      <c r="E266" s="224" t="s">
        <v>256</v>
      </c>
      <c r="F266" s="224" t="s">
        <v>248</v>
      </c>
      <c r="G266" s="223" t="str">
        <f>VLOOKUP($B266,'FRS geographical categories'!$A$2:$C$45,2,FALSE)</f>
        <v>Predominantly Rural</v>
      </c>
      <c r="H266" s="223" t="str">
        <f>VLOOKUP($B266,'FRS geographical categories'!$A$2:$C$45,3,FALSE)</f>
        <v>Non-metropolitan</v>
      </c>
      <c r="I266" s="224">
        <v>0</v>
      </c>
    </row>
    <row r="267" spans="1:9" ht="15.5" x14ac:dyDescent="0.35">
      <c r="A267" s="224" t="s">
        <v>7</v>
      </c>
      <c r="B267" s="224" t="s">
        <v>42</v>
      </c>
      <c r="C267" s="224" t="s">
        <v>86</v>
      </c>
      <c r="D267" s="224" t="s">
        <v>9</v>
      </c>
      <c r="E267" s="224" t="s">
        <v>256</v>
      </c>
      <c r="F267" s="224" t="s">
        <v>249</v>
      </c>
      <c r="G267" s="223" t="str">
        <f>VLOOKUP($B267,'FRS geographical categories'!$A$2:$C$45,2,FALSE)</f>
        <v>Predominantly Rural</v>
      </c>
      <c r="H267" s="223" t="str">
        <f>VLOOKUP($B267,'FRS geographical categories'!$A$2:$C$45,3,FALSE)</f>
        <v>Non-metropolitan</v>
      </c>
      <c r="I267" s="224">
        <v>0</v>
      </c>
    </row>
    <row r="268" spans="1:9" ht="15.5" x14ac:dyDescent="0.35">
      <c r="A268" s="224" t="s">
        <v>7</v>
      </c>
      <c r="B268" s="224" t="s">
        <v>42</v>
      </c>
      <c r="C268" s="224" t="s">
        <v>86</v>
      </c>
      <c r="D268" s="224" t="s">
        <v>9</v>
      </c>
      <c r="E268" s="224" t="s">
        <v>256</v>
      </c>
      <c r="F268" s="224" t="s">
        <v>250</v>
      </c>
      <c r="G268" s="223" t="str">
        <f>VLOOKUP($B268,'FRS geographical categories'!$A$2:$C$45,2,FALSE)</f>
        <v>Predominantly Rural</v>
      </c>
      <c r="H268" s="223" t="str">
        <f>VLOOKUP($B268,'FRS geographical categories'!$A$2:$C$45,3,FALSE)</f>
        <v>Non-metropolitan</v>
      </c>
      <c r="I268" s="224">
        <v>1552</v>
      </c>
    </row>
    <row r="269" spans="1:9" ht="15.5" x14ac:dyDescent="0.35">
      <c r="A269" s="224" t="s">
        <v>7</v>
      </c>
      <c r="B269" s="224" t="s">
        <v>42</v>
      </c>
      <c r="C269" s="224" t="s">
        <v>86</v>
      </c>
      <c r="D269" s="224" t="s">
        <v>9</v>
      </c>
      <c r="E269" s="224" t="s">
        <v>256</v>
      </c>
      <c r="F269" s="224" t="s">
        <v>10</v>
      </c>
      <c r="G269" s="223" t="str">
        <f>VLOOKUP($B269,'FRS geographical categories'!$A$2:$C$45,2,FALSE)</f>
        <v>Predominantly Rural</v>
      </c>
      <c r="H269" s="223" t="str">
        <f>VLOOKUP($B269,'FRS geographical categories'!$A$2:$C$45,3,FALSE)</f>
        <v>Non-metropolitan</v>
      </c>
      <c r="I269" s="224">
        <v>3098</v>
      </c>
    </row>
    <row r="270" spans="1:9" ht="15.5" x14ac:dyDescent="0.35">
      <c r="A270" s="224" t="s">
        <v>7</v>
      </c>
      <c r="B270" s="224" t="s">
        <v>42</v>
      </c>
      <c r="C270" s="224" t="s">
        <v>89</v>
      </c>
      <c r="D270" s="224" t="s">
        <v>9</v>
      </c>
      <c r="E270" s="224" t="s">
        <v>256</v>
      </c>
      <c r="F270" s="224" t="s">
        <v>248</v>
      </c>
      <c r="G270" s="223" t="str">
        <f>VLOOKUP($B270,'FRS geographical categories'!$A$2:$C$45,2,FALSE)</f>
        <v>Predominantly Rural</v>
      </c>
      <c r="H270" s="223" t="str">
        <f>VLOOKUP($B270,'FRS geographical categories'!$A$2:$C$45,3,FALSE)</f>
        <v>Non-metropolitan</v>
      </c>
      <c r="I270" s="224">
        <v>0</v>
      </c>
    </row>
    <row r="271" spans="1:9" ht="15.5" x14ac:dyDescent="0.35">
      <c r="A271" s="224" t="s">
        <v>7</v>
      </c>
      <c r="B271" s="224" t="s">
        <v>42</v>
      </c>
      <c r="C271" s="224" t="s">
        <v>89</v>
      </c>
      <c r="D271" s="224" t="s">
        <v>9</v>
      </c>
      <c r="E271" s="224" t="s">
        <v>256</v>
      </c>
      <c r="F271" s="224" t="s">
        <v>249</v>
      </c>
      <c r="G271" s="223" t="str">
        <f>VLOOKUP($B271,'FRS geographical categories'!$A$2:$C$45,2,FALSE)</f>
        <v>Predominantly Rural</v>
      </c>
      <c r="H271" s="223" t="str">
        <f>VLOOKUP($B271,'FRS geographical categories'!$A$2:$C$45,3,FALSE)</f>
        <v>Non-metropolitan</v>
      </c>
      <c r="I271" s="224">
        <v>0</v>
      </c>
    </row>
    <row r="272" spans="1:9" ht="15.5" x14ac:dyDescent="0.35">
      <c r="A272" s="224" t="s">
        <v>7</v>
      </c>
      <c r="B272" s="224" t="s">
        <v>42</v>
      </c>
      <c r="C272" s="224" t="s">
        <v>89</v>
      </c>
      <c r="D272" s="224" t="s">
        <v>9</v>
      </c>
      <c r="E272" s="224" t="s">
        <v>256</v>
      </c>
      <c r="F272" s="224" t="s">
        <v>250</v>
      </c>
      <c r="G272" s="223" t="str">
        <f>VLOOKUP($B272,'FRS geographical categories'!$A$2:$C$45,2,FALSE)</f>
        <v>Predominantly Rural</v>
      </c>
      <c r="H272" s="223" t="str">
        <f>VLOOKUP($B272,'FRS geographical categories'!$A$2:$C$45,3,FALSE)</f>
        <v>Non-metropolitan</v>
      </c>
      <c r="I272" s="224">
        <v>0</v>
      </c>
    </row>
    <row r="273" spans="1:9" ht="15.5" x14ac:dyDescent="0.35">
      <c r="A273" s="224" t="s">
        <v>7</v>
      </c>
      <c r="B273" s="224" t="s">
        <v>42</v>
      </c>
      <c r="C273" s="224" t="s">
        <v>89</v>
      </c>
      <c r="D273" s="224" t="s">
        <v>9</v>
      </c>
      <c r="E273" s="224" t="s">
        <v>256</v>
      </c>
      <c r="F273" s="224" t="s">
        <v>10</v>
      </c>
      <c r="G273" s="223" t="str">
        <f>VLOOKUP($B273,'FRS geographical categories'!$A$2:$C$45,2,FALSE)</f>
        <v>Predominantly Rural</v>
      </c>
      <c r="H273" s="223" t="str">
        <f>VLOOKUP($B273,'FRS geographical categories'!$A$2:$C$45,3,FALSE)</f>
        <v>Non-metropolitan</v>
      </c>
      <c r="I273" s="224">
        <v>0</v>
      </c>
    </row>
    <row r="274" spans="1:9" ht="15.5" x14ac:dyDescent="0.35">
      <c r="A274" s="224" t="s">
        <v>7</v>
      </c>
      <c r="B274" s="224" t="s">
        <v>43</v>
      </c>
      <c r="C274" s="224" t="s">
        <v>86</v>
      </c>
      <c r="D274" s="224" t="s">
        <v>9</v>
      </c>
      <c r="E274" s="224" t="s">
        <v>256</v>
      </c>
      <c r="F274" s="224" t="s">
        <v>248</v>
      </c>
      <c r="G274" s="223" t="str">
        <f>VLOOKUP($B274,'FRS geographical categories'!$A$2:$C$45,2,FALSE)</f>
        <v>Predominantly Rural</v>
      </c>
      <c r="H274" s="223" t="str">
        <f>VLOOKUP($B274,'FRS geographical categories'!$A$2:$C$45,3,FALSE)</f>
        <v>Non-metropolitan</v>
      </c>
      <c r="I274" s="224">
        <v>546</v>
      </c>
    </row>
    <row r="275" spans="1:9" ht="15.5" x14ac:dyDescent="0.35">
      <c r="A275" s="224" t="s">
        <v>7</v>
      </c>
      <c r="B275" s="224" t="s">
        <v>43</v>
      </c>
      <c r="C275" s="224" t="s">
        <v>86</v>
      </c>
      <c r="D275" s="224" t="s">
        <v>9</v>
      </c>
      <c r="E275" s="224" t="s">
        <v>256</v>
      </c>
      <c r="F275" s="224" t="s">
        <v>249</v>
      </c>
      <c r="G275" s="223" t="str">
        <f>VLOOKUP($B275,'FRS geographical categories'!$A$2:$C$45,2,FALSE)</f>
        <v>Predominantly Rural</v>
      </c>
      <c r="H275" s="223" t="str">
        <f>VLOOKUP($B275,'FRS geographical categories'!$A$2:$C$45,3,FALSE)</f>
        <v>Non-metropolitan</v>
      </c>
      <c r="I275" s="224">
        <v>564</v>
      </c>
    </row>
    <row r="276" spans="1:9" ht="15.5" x14ac:dyDescent="0.35">
      <c r="A276" s="224" t="s">
        <v>7</v>
      </c>
      <c r="B276" s="224" t="s">
        <v>43</v>
      </c>
      <c r="C276" s="224" t="s">
        <v>86</v>
      </c>
      <c r="D276" s="224" t="s">
        <v>9</v>
      </c>
      <c r="E276" s="224" t="s">
        <v>256</v>
      </c>
      <c r="F276" s="224" t="s">
        <v>250</v>
      </c>
      <c r="G276" s="223" t="str">
        <f>VLOOKUP($B276,'FRS geographical categories'!$A$2:$C$45,2,FALSE)</f>
        <v>Predominantly Rural</v>
      </c>
      <c r="H276" s="223" t="str">
        <f>VLOOKUP($B276,'FRS geographical categories'!$A$2:$C$45,3,FALSE)</f>
        <v>Non-metropolitan</v>
      </c>
      <c r="I276" s="224">
        <v>2340</v>
      </c>
    </row>
    <row r="277" spans="1:9" ht="15.5" x14ac:dyDescent="0.35">
      <c r="A277" s="224" t="s">
        <v>7</v>
      </c>
      <c r="B277" s="224" t="s">
        <v>43</v>
      </c>
      <c r="C277" s="224" t="s">
        <v>86</v>
      </c>
      <c r="D277" s="224" t="s">
        <v>9</v>
      </c>
      <c r="E277" s="224" t="s">
        <v>256</v>
      </c>
      <c r="F277" s="224" t="s">
        <v>10</v>
      </c>
      <c r="G277" s="223" t="str">
        <f>VLOOKUP($B277,'FRS geographical categories'!$A$2:$C$45,2,FALSE)</f>
        <v>Predominantly Rural</v>
      </c>
      <c r="H277" s="223" t="str">
        <f>VLOOKUP($B277,'FRS geographical categories'!$A$2:$C$45,3,FALSE)</f>
        <v>Non-metropolitan</v>
      </c>
      <c r="I277" s="224">
        <v>4262</v>
      </c>
    </row>
    <row r="278" spans="1:9" ht="15.5" x14ac:dyDescent="0.35">
      <c r="A278" s="224" t="s">
        <v>7</v>
      </c>
      <c r="B278" s="224" t="s">
        <v>43</v>
      </c>
      <c r="C278" s="224" t="s">
        <v>89</v>
      </c>
      <c r="D278" s="224" t="s">
        <v>9</v>
      </c>
      <c r="E278" s="224" t="s">
        <v>256</v>
      </c>
      <c r="F278" s="224" t="s">
        <v>248</v>
      </c>
      <c r="G278" s="223" t="str">
        <f>VLOOKUP($B278,'FRS geographical categories'!$A$2:$C$45,2,FALSE)</f>
        <v>Predominantly Rural</v>
      </c>
      <c r="H278" s="223" t="str">
        <f>VLOOKUP($B278,'FRS geographical categories'!$A$2:$C$45,3,FALSE)</f>
        <v>Non-metropolitan</v>
      </c>
      <c r="I278" s="224">
        <v>0</v>
      </c>
    </row>
    <row r="279" spans="1:9" ht="15.5" x14ac:dyDescent="0.35">
      <c r="A279" s="224" t="s">
        <v>7</v>
      </c>
      <c r="B279" s="224" t="s">
        <v>43</v>
      </c>
      <c r="C279" s="224" t="s">
        <v>89</v>
      </c>
      <c r="D279" s="224" t="s">
        <v>9</v>
      </c>
      <c r="E279" s="224" t="s">
        <v>256</v>
      </c>
      <c r="F279" s="224" t="s">
        <v>249</v>
      </c>
      <c r="G279" s="223" t="str">
        <f>VLOOKUP($B279,'FRS geographical categories'!$A$2:$C$45,2,FALSE)</f>
        <v>Predominantly Rural</v>
      </c>
      <c r="H279" s="223" t="str">
        <f>VLOOKUP($B279,'FRS geographical categories'!$A$2:$C$45,3,FALSE)</f>
        <v>Non-metropolitan</v>
      </c>
      <c r="I279" s="224">
        <v>0</v>
      </c>
    </row>
    <row r="280" spans="1:9" ht="15.5" x14ac:dyDescent="0.35">
      <c r="A280" s="224" t="s">
        <v>7</v>
      </c>
      <c r="B280" s="224" t="s">
        <v>43</v>
      </c>
      <c r="C280" s="224" t="s">
        <v>89</v>
      </c>
      <c r="D280" s="224" t="s">
        <v>9</v>
      </c>
      <c r="E280" s="224" t="s">
        <v>256</v>
      </c>
      <c r="F280" s="224" t="s">
        <v>250</v>
      </c>
      <c r="G280" s="223" t="str">
        <f>VLOOKUP($B280,'FRS geographical categories'!$A$2:$C$45,2,FALSE)</f>
        <v>Predominantly Rural</v>
      </c>
      <c r="H280" s="223" t="str">
        <f>VLOOKUP($B280,'FRS geographical categories'!$A$2:$C$45,3,FALSE)</f>
        <v>Non-metropolitan</v>
      </c>
      <c r="I280" s="224">
        <v>0</v>
      </c>
    </row>
    <row r="281" spans="1:9" ht="15.5" x14ac:dyDescent="0.35">
      <c r="A281" s="224" t="s">
        <v>7</v>
      </c>
      <c r="B281" s="224" t="s">
        <v>43</v>
      </c>
      <c r="C281" s="224" t="s">
        <v>89</v>
      </c>
      <c r="D281" s="224" t="s">
        <v>9</v>
      </c>
      <c r="E281" s="224" t="s">
        <v>256</v>
      </c>
      <c r="F281" s="224" t="s">
        <v>10</v>
      </c>
      <c r="G281" s="223" t="str">
        <f>VLOOKUP($B281,'FRS geographical categories'!$A$2:$C$45,2,FALSE)</f>
        <v>Predominantly Rural</v>
      </c>
      <c r="H281" s="223" t="str">
        <f>VLOOKUP($B281,'FRS geographical categories'!$A$2:$C$45,3,FALSE)</f>
        <v>Non-metropolitan</v>
      </c>
      <c r="I281" s="224">
        <v>594</v>
      </c>
    </row>
    <row r="282" spans="1:9" ht="15.5" x14ac:dyDescent="0.35">
      <c r="A282" s="224" t="s">
        <v>7</v>
      </c>
      <c r="B282" s="224" t="s">
        <v>44</v>
      </c>
      <c r="C282" s="224" t="s">
        <v>86</v>
      </c>
      <c r="D282" s="224" t="s">
        <v>9</v>
      </c>
      <c r="E282" s="224" t="s">
        <v>256</v>
      </c>
      <c r="F282" s="224" t="s">
        <v>248</v>
      </c>
      <c r="G282" s="223" t="str">
        <f>VLOOKUP($B282,'FRS geographical categories'!$A$2:$C$45,2,FALSE)</f>
        <v>Predominantly Urban</v>
      </c>
      <c r="H282" s="223" t="str">
        <f>VLOOKUP($B282,'FRS geographical categories'!$A$2:$C$45,3,FALSE)</f>
        <v>Metropolitan</v>
      </c>
      <c r="I282" s="224">
        <v>1484</v>
      </c>
    </row>
    <row r="283" spans="1:9" ht="15.5" x14ac:dyDescent="0.35">
      <c r="A283" s="224" t="s">
        <v>7</v>
      </c>
      <c r="B283" s="224" t="s">
        <v>44</v>
      </c>
      <c r="C283" s="224" t="s">
        <v>86</v>
      </c>
      <c r="D283" s="224" t="s">
        <v>9</v>
      </c>
      <c r="E283" s="224" t="s">
        <v>256</v>
      </c>
      <c r="F283" s="224" t="s">
        <v>249</v>
      </c>
      <c r="G283" s="223" t="str">
        <f>VLOOKUP($B283,'FRS geographical categories'!$A$2:$C$45,2,FALSE)</f>
        <v>Predominantly Urban</v>
      </c>
      <c r="H283" s="223" t="str">
        <f>VLOOKUP($B283,'FRS geographical categories'!$A$2:$C$45,3,FALSE)</f>
        <v>Metropolitan</v>
      </c>
      <c r="I283" s="224">
        <v>2631</v>
      </c>
    </row>
    <row r="284" spans="1:9" ht="15.5" x14ac:dyDescent="0.35">
      <c r="A284" s="224" t="s">
        <v>7</v>
      </c>
      <c r="B284" s="224" t="s">
        <v>44</v>
      </c>
      <c r="C284" s="224" t="s">
        <v>86</v>
      </c>
      <c r="D284" s="224" t="s">
        <v>9</v>
      </c>
      <c r="E284" s="224" t="s">
        <v>256</v>
      </c>
      <c r="F284" s="224" t="s">
        <v>250</v>
      </c>
      <c r="G284" s="223" t="str">
        <f>VLOOKUP($B284,'FRS geographical categories'!$A$2:$C$45,2,FALSE)</f>
        <v>Predominantly Urban</v>
      </c>
      <c r="H284" s="223" t="str">
        <f>VLOOKUP($B284,'FRS geographical categories'!$A$2:$C$45,3,FALSE)</f>
        <v>Metropolitan</v>
      </c>
      <c r="I284" s="224">
        <v>3534</v>
      </c>
    </row>
    <row r="285" spans="1:9" ht="15.5" x14ac:dyDescent="0.35">
      <c r="A285" s="224" t="s">
        <v>7</v>
      </c>
      <c r="B285" s="224" t="s">
        <v>44</v>
      </c>
      <c r="C285" s="224" t="s">
        <v>86</v>
      </c>
      <c r="D285" s="224" t="s">
        <v>9</v>
      </c>
      <c r="E285" s="224" t="s">
        <v>256</v>
      </c>
      <c r="F285" s="224" t="s">
        <v>10</v>
      </c>
      <c r="G285" s="223" t="str">
        <f>VLOOKUP($B285,'FRS geographical categories'!$A$2:$C$45,2,FALSE)</f>
        <v>Predominantly Urban</v>
      </c>
      <c r="H285" s="223" t="str">
        <f>VLOOKUP($B285,'FRS geographical categories'!$A$2:$C$45,3,FALSE)</f>
        <v>Metropolitan</v>
      </c>
      <c r="I285" s="224">
        <v>14705</v>
      </c>
    </row>
    <row r="286" spans="1:9" ht="15.5" x14ac:dyDescent="0.35">
      <c r="A286" s="224" t="s">
        <v>7</v>
      </c>
      <c r="B286" s="224" t="s">
        <v>44</v>
      </c>
      <c r="C286" s="224" t="s">
        <v>89</v>
      </c>
      <c r="D286" s="224" t="s">
        <v>9</v>
      </c>
      <c r="E286" s="224" t="s">
        <v>256</v>
      </c>
      <c r="F286" s="224" t="s">
        <v>248</v>
      </c>
      <c r="G286" s="223" t="str">
        <f>VLOOKUP($B286,'FRS geographical categories'!$A$2:$C$45,2,FALSE)</f>
        <v>Predominantly Urban</v>
      </c>
      <c r="H286" s="223" t="str">
        <f>VLOOKUP($B286,'FRS geographical categories'!$A$2:$C$45,3,FALSE)</f>
        <v>Metropolitan</v>
      </c>
      <c r="I286" s="224">
        <v>2</v>
      </c>
    </row>
    <row r="287" spans="1:9" ht="15.5" x14ac:dyDescent="0.35">
      <c r="A287" s="224" t="s">
        <v>7</v>
      </c>
      <c r="B287" s="224" t="s">
        <v>44</v>
      </c>
      <c r="C287" s="224" t="s">
        <v>89</v>
      </c>
      <c r="D287" s="224" t="s">
        <v>9</v>
      </c>
      <c r="E287" s="224" t="s">
        <v>256</v>
      </c>
      <c r="F287" s="224" t="s">
        <v>249</v>
      </c>
      <c r="G287" s="223" t="str">
        <f>VLOOKUP($B287,'FRS geographical categories'!$A$2:$C$45,2,FALSE)</f>
        <v>Predominantly Urban</v>
      </c>
      <c r="H287" s="223" t="str">
        <f>VLOOKUP($B287,'FRS geographical categories'!$A$2:$C$45,3,FALSE)</f>
        <v>Metropolitan</v>
      </c>
      <c r="I287" s="224">
        <v>4</v>
      </c>
    </row>
    <row r="288" spans="1:9" ht="15.5" x14ac:dyDescent="0.35">
      <c r="A288" s="224" t="s">
        <v>7</v>
      </c>
      <c r="B288" s="224" t="s">
        <v>44</v>
      </c>
      <c r="C288" s="224" t="s">
        <v>89</v>
      </c>
      <c r="D288" s="224" t="s">
        <v>9</v>
      </c>
      <c r="E288" s="224" t="s">
        <v>256</v>
      </c>
      <c r="F288" s="224" t="s">
        <v>250</v>
      </c>
      <c r="G288" s="223" t="str">
        <f>VLOOKUP($B288,'FRS geographical categories'!$A$2:$C$45,2,FALSE)</f>
        <v>Predominantly Urban</v>
      </c>
      <c r="H288" s="223" t="str">
        <f>VLOOKUP($B288,'FRS geographical categories'!$A$2:$C$45,3,FALSE)</f>
        <v>Metropolitan</v>
      </c>
      <c r="I288" s="224">
        <v>11</v>
      </c>
    </row>
    <row r="289" spans="1:9" ht="15.5" x14ac:dyDescent="0.35">
      <c r="A289" s="224" t="s">
        <v>7</v>
      </c>
      <c r="B289" s="224" t="s">
        <v>44</v>
      </c>
      <c r="C289" s="224" t="s">
        <v>89</v>
      </c>
      <c r="D289" s="224" t="s">
        <v>9</v>
      </c>
      <c r="E289" s="224" t="s">
        <v>256</v>
      </c>
      <c r="F289" s="224" t="s">
        <v>10</v>
      </c>
      <c r="G289" s="223" t="str">
        <f>VLOOKUP($B289,'FRS geographical categories'!$A$2:$C$45,2,FALSE)</f>
        <v>Predominantly Urban</v>
      </c>
      <c r="H289" s="223" t="str">
        <f>VLOOKUP($B289,'FRS geographical categories'!$A$2:$C$45,3,FALSE)</f>
        <v>Metropolitan</v>
      </c>
      <c r="I289" s="224">
        <v>66</v>
      </c>
    </row>
    <row r="290" spans="1:9" ht="15.5" x14ac:dyDescent="0.35">
      <c r="A290" s="224" t="s">
        <v>7</v>
      </c>
      <c r="B290" s="224" t="s">
        <v>45</v>
      </c>
      <c r="C290" s="224" t="s">
        <v>86</v>
      </c>
      <c r="D290" s="224" t="s">
        <v>9</v>
      </c>
      <c r="E290" s="224" t="s">
        <v>256</v>
      </c>
      <c r="F290" s="224" t="s">
        <v>248</v>
      </c>
      <c r="G290" s="223" t="str">
        <f>VLOOKUP($B290,'FRS geographical categories'!$A$2:$C$45,2,FALSE)</f>
        <v>Significantly Rural</v>
      </c>
      <c r="H290" s="223" t="str">
        <f>VLOOKUP($B290,'FRS geographical categories'!$A$2:$C$45,3,FALSE)</f>
        <v>Non-metropolitan</v>
      </c>
      <c r="I290" s="224">
        <v>1364</v>
      </c>
    </row>
    <row r="291" spans="1:9" ht="15.5" x14ac:dyDescent="0.35">
      <c r="A291" s="224" t="s">
        <v>7</v>
      </c>
      <c r="B291" s="224" t="s">
        <v>45</v>
      </c>
      <c r="C291" s="224" t="s">
        <v>86</v>
      </c>
      <c r="D291" s="224" t="s">
        <v>9</v>
      </c>
      <c r="E291" s="224" t="s">
        <v>256</v>
      </c>
      <c r="F291" s="224" t="s">
        <v>249</v>
      </c>
      <c r="G291" s="223" t="str">
        <f>VLOOKUP($B291,'FRS geographical categories'!$A$2:$C$45,2,FALSE)</f>
        <v>Significantly Rural</v>
      </c>
      <c r="H291" s="223" t="str">
        <f>VLOOKUP($B291,'FRS geographical categories'!$A$2:$C$45,3,FALSE)</f>
        <v>Non-metropolitan</v>
      </c>
      <c r="I291" s="224">
        <v>6309</v>
      </c>
    </row>
    <row r="292" spans="1:9" ht="15.5" x14ac:dyDescent="0.35">
      <c r="A292" s="224" t="s">
        <v>7</v>
      </c>
      <c r="B292" s="224" t="s">
        <v>45</v>
      </c>
      <c r="C292" s="224" t="s">
        <v>86</v>
      </c>
      <c r="D292" s="224" t="s">
        <v>9</v>
      </c>
      <c r="E292" s="224" t="s">
        <v>256</v>
      </c>
      <c r="F292" s="224" t="s">
        <v>250</v>
      </c>
      <c r="G292" s="223" t="str">
        <f>VLOOKUP($B292,'FRS geographical categories'!$A$2:$C$45,2,FALSE)</f>
        <v>Significantly Rural</v>
      </c>
      <c r="H292" s="223" t="str">
        <f>VLOOKUP($B292,'FRS geographical categories'!$A$2:$C$45,3,FALSE)</f>
        <v>Non-metropolitan</v>
      </c>
      <c r="I292" s="224">
        <v>8417</v>
      </c>
    </row>
    <row r="293" spans="1:9" ht="15.5" x14ac:dyDescent="0.35">
      <c r="A293" s="224" t="s">
        <v>7</v>
      </c>
      <c r="B293" s="224" t="s">
        <v>45</v>
      </c>
      <c r="C293" s="224" t="s">
        <v>86</v>
      </c>
      <c r="D293" s="224" t="s">
        <v>9</v>
      </c>
      <c r="E293" s="224" t="s">
        <v>256</v>
      </c>
      <c r="F293" s="224" t="s">
        <v>10</v>
      </c>
      <c r="G293" s="223" t="str">
        <f>VLOOKUP($B293,'FRS geographical categories'!$A$2:$C$45,2,FALSE)</f>
        <v>Significantly Rural</v>
      </c>
      <c r="H293" s="223" t="str">
        <f>VLOOKUP($B293,'FRS geographical categories'!$A$2:$C$45,3,FALSE)</f>
        <v>Non-metropolitan</v>
      </c>
      <c r="I293" s="224">
        <v>24444</v>
      </c>
    </row>
    <row r="294" spans="1:9" ht="15.5" x14ac:dyDescent="0.35">
      <c r="A294" s="224" t="s">
        <v>7</v>
      </c>
      <c r="B294" s="224" t="s">
        <v>45</v>
      </c>
      <c r="C294" s="224" t="s">
        <v>89</v>
      </c>
      <c r="D294" s="224" t="s">
        <v>9</v>
      </c>
      <c r="E294" s="224" t="s">
        <v>256</v>
      </c>
      <c r="F294" s="224" t="s">
        <v>248</v>
      </c>
      <c r="G294" s="223" t="str">
        <f>VLOOKUP($B294,'FRS geographical categories'!$A$2:$C$45,2,FALSE)</f>
        <v>Significantly Rural</v>
      </c>
      <c r="H294" s="223" t="str">
        <f>VLOOKUP($B294,'FRS geographical categories'!$A$2:$C$45,3,FALSE)</f>
        <v>Non-metropolitan</v>
      </c>
      <c r="I294" s="224">
        <v>42</v>
      </c>
    </row>
    <row r="295" spans="1:9" ht="15.5" x14ac:dyDescent="0.35">
      <c r="A295" s="224" t="s">
        <v>7</v>
      </c>
      <c r="B295" s="224" t="s">
        <v>45</v>
      </c>
      <c r="C295" s="224" t="s">
        <v>89</v>
      </c>
      <c r="D295" s="224" t="s">
        <v>9</v>
      </c>
      <c r="E295" s="224" t="s">
        <v>256</v>
      </c>
      <c r="F295" s="224" t="s">
        <v>249</v>
      </c>
      <c r="G295" s="223" t="str">
        <f>VLOOKUP($B295,'FRS geographical categories'!$A$2:$C$45,2,FALSE)</f>
        <v>Significantly Rural</v>
      </c>
      <c r="H295" s="223" t="str">
        <f>VLOOKUP($B295,'FRS geographical categories'!$A$2:$C$45,3,FALSE)</f>
        <v>Non-metropolitan</v>
      </c>
      <c r="I295" s="224">
        <v>160</v>
      </c>
    </row>
    <row r="296" spans="1:9" ht="15.5" x14ac:dyDescent="0.35">
      <c r="A296" s="224" t="s">
        <v>7</v>
      </c>
      <c r="B296" s="224" t="s">
        <v>45</v>
      </c>
      <c r="C296" s="224" t="s">
        <v>89</v>
      </c>
      <c r="D296" s="224" t="s">
        <v>9</v>
      </c>
      <c r="E296" s="224" t="s">
        <v>256</v>
      </c>
      <c r="F296" s="224" t="s">
        <v>250</v>
      </c>
      <c r="G296" s="223" t="str">
        <f>VLOOKUP($B296,'FRS geographical categories'!$A$2:$C$45,2,FALSE)</f>
        <v>Significantly Rural</v>
      </c>
      <c r="H296" s="223" t="str">
        <f>VLOOKUP($B296,'FRS geographical categories'!$A$2:$C$45,3,FALSE)</f>
        <v>Non-metropolitan</v>
      </c>
      <c r="I296" s="224">
        <v>40</v>
      </c>
    </row>
    <row r="297" spans="1:9" ht="15.5" x14ac:dyDescent="0.35">
      <c r="A297" s="224" t="s">
        <v>7</v>
      </c>
      <c r="B297" s="224" t="s">
        <v>45</v>
      </c>
      <c r="C297" s="224" t="s">
        <v>89</v>
      </c>
      <c r="D297" s="224" t="s">
        <v>9</v>
      </c>
      <c r="E297" s="224" t="s">
        <v>256</v>
      </c>
      <c r="F297" s="224" t="s">
        <v>10</v>
      </c>
      <c r="G297" s="223" t="str">
        <f>VLOOKUP($B297,'FRS geographical categories'!$A$2:$C$45,2,FALSE)</f>
        <v>Significantly Rural</v>
      </c>
      <c r="H297" s="223" t="str">
        <f>VLOOKUP($B297,'FRS geographical categories'!$A$2:$C$45,3,FALSE)</f>
        <v>Non-metropolitan</v>
      </c>
      <c r="I297" s="224">
        <v>259</v>
      </c>
    </row>
    <row r="298" spans="1:9" ht="15.5" x14ac:dyDescent="0.35">
      <c r="A298" s="224" t="s">
        <v>7</v>
      </c>
      <c r="B298" s="224" t="s">
        <v>46</v>
      </c>
      <c r="C298" s="224" t="s">
        <v>86</v>
      </c>
      <c r="D298" s="224" t="s">
        <v>9</v>
      </c>
      <c r="E298" s="224" t="s">
        <v>256</v>
      </c>
      <c r="F298" s="224" t="s">
        <v>248</v>
      </c>
      <c r="G298" s="223" t="str">
        <f>VLOOKUP($B298,'FRS geographical categories'!$A$2:$C$45,2,FALSE)</f>
        <v>Predominantly Rural</v>
      </c>
      <c r="H298" s="223" t="str">
        <f>VLOOKUP($B298,'FRS geographical categories'!$A$2:$C$45,3,FALSE)</f>
        <v>Non-metropolitan</v>
      </c>
      <c r="I298" s="224">
        <v>43</v>
      </c>
    </row>
    <row r="299" spans="1:9" ht="15.5" x14ac:dyDescent="0.35">
      <c r="A299" s="224" t="s">
        <v>7</v>
      </c>
      <c r="B299" s="224" t="s">
        <v>46</v>
      </c>
      <c r="C299" s="224" t="s">
        <v>86</v>
      </c>
      <c r="D299" s="224" t="s">
        <v>9</v>
      </c>
      <c r="E299" s="224" t="s">
        <v>256</v>
      </c>
      <c r="F299" s="224" t="s">
        <v>249</v>
      </c>
      <c r="G299" s="223" t="str">
        <f>VLOOKUP($B299,'FRS geographical categories'!$A$2:$C$45,2,FALSE)</f>
        <v>Predominantly Rural</v>
      </c>
      <c r="H299" s="223" t="str">
        <f>VLOOKUP($B299,'FRS geographical categories'!$A$2:$C$45,3,FALSE)</f>
        <v>Non-metropolitan</v>
      </c>
      <c r="I299" s="224">
        <v>242</v>
      </c>
    </row>
    <row r="300" spans="1:9" ht="15.5" x14ac:dyDescent="0.35">
      <c r="A300" s="224" t="s">
        <v>7</v>
      </c>
      <c r="B300" s="224" t="s">
        <v>46</v>
      </c>
      <c r="C300" s="224" t="s">
        <v>86</v>
      </c>
      <c r="D300" s="224" t="s">
        <v>9</v>
      </c>
      <c r="E300" s="224" t="s">
        <v>256</v>
      </c>
      <c r="F300" s="224" t="s">
        <v>250</v>
      </c>
      <c r="G300" s="223" t="str">
        <f>VLOOKUP($B300,'FRS geographical categories'!$A$2:$C$45,2,FALSE)</f>
        <v>Predominantly Rural</v>
      </c>
      <c r="H300" s="223" t="str">
        <f>VLOOKUP($B300,'FRS geographical categories'!$A$2:$C$45,3,FALSE)</f>
        <v>Non-metropolitan</v>
      </c>
      <c r="I300" s="224">
        <v>268</v>
      </c>
    </row>
    <row r="301" spans="1:9" ht="15.5" x14ac:dyDescent="0.35">
      <c r="A301" s="224" t="s">
        <v>7</v>
      </c>
      <c r="B301" s="224" t="s">
        <v>46</v>
      </c>
      <c r="C301" s="224" t="s">
        <v>86</v>
      </c>
      <c r="D301" s="224" t="s">
        <v>9</v>
      </c>
      <c r="E301" s="224" t="s">
        <v>256</v>
      </c>
      <c r="F301" s="224" t="s">
        <v>10</v>
      </c>
      <c r="G301" s="223" t="str">
        <f>VLOOKUP($B301,'FRS geographical categories'!$A$2:$C$45,2,FALSE)</f>
        <v>Predominantly Rural</v>
      </c>
      <c r="H301" s="223" t="str">
        <f>VLOOKUP($B301,'FRS geographical categories'!$A$2:$C$45,3,FALSE)</f>
        <v>Non-metropolitan</v>
      </c>
      <c r="I301" s="224">
        <v>1470</v>
      </c>
    </row>
    <row r="302" spans="1:9" ht="15.5" x14ac:dyDescent="0.35">
      <c r="A302" s="224" t="s">
        <v>7</v>
      </c>
      <c r="B302" s="224" t="s">
        <v>46</v>
      </c>
      <c r="C302" s="224" t="s">
        <v>89</v>
      </c>
      <c r="D302" s="224" t="s">
        <v>9</v>
      </c>
      <c r="E302" s="224" t="s">
        <v>256</v>
      </c>
      <c r="F302" s="224" t="s">
        <v>248</v>
      </c>
      <c r="G302" s="223" t="str">
        <f>VLOOKUP($B302,'FRS geographical categories'!$A$2:$C$45,2,FALSE)</f>
        <v>Predominantly Rural</v>
      </c>
      <c r="H302" s="223" t="str">
        <f>VLOOKUP($B302,'FRS geographical categories'!$A$2:$C$45,3,FALSE)</f>
        <v>Non-metropolitan</v>
      </c>
      <c r="I302" s="224">
        <v>0</v>
      </c>
    </row>
    <row r="303" spans="1:9" ht="15.5" x14ac:dyDescent="0.35">
      <c r="A303" s="224" t="s">
        <v>7</v>
      </c>
      <c r="B303" s="224" t="s">
        <v>46</v>
      </c>
      <c r="C303" s="224" t="s">
        <v>89</v>
      </c>
      <c r="D303" s="224" t="s">
        <v>9</v>
      </c>
      <c r="E303" s="224" t="s">
        <v>256</v>
      </c>
      <c r="F303" s="224" t="s">
        <v>249</v>
      </c>
      <c r="G303" s="223" t="str">
        <f>VLOOKUP($B303,'FRS geographical categories'!$A$2:$C$45,2,FALSE)</f>
        <v>Predominantly Rural</v>
      </c>
      <c r="H303" s="223" t="str">
        <f>VLOOKUP($B303,'FRS geographical categories'!$A$2:$C$45,3,FALSE)</f>
        <v>Non-metropolitan</v>
      </c>
      <c r="I303" s="224">
        <v>0</v>
      </c>
    </row>
    <row r="304" spans="1:9" ht="15.5" x14ac:dyDescent="0.35">
      <c r="A304" s="224" t="s">
        <v>7</v>
      </c>
      <c r="B304" s="224" t="s">
        <v>46</v>
      </c>
      <c r="C304" s="224" t="s">
        <v>89</v>
      </c>
      <c r="D304" s="224" t="s">
        <v>9</v>
      </c>
      <c r="E304" s="224" t="s">
        <v>256</v>
      </c>
      <c r="F304" s="224" t="s">
        <v>250</v>
      </c>
      <c r="G304" s="223" t="str">
        <f>VLOOKUP($B304,'FRS geographical categories'!$A$2:$C$45,2,FALSE)</f>
        <v>Predominantly Rural</v>
      </c>
      <c r="H304" s="223" t="str">
        <f>VLOOKUP($B304,'FRS geographical categories'!$A$2:$C$45,3,FALSE)</f>
        <v>Non-metropolitan</v>
      </c>
      <c r="I304" s="224">
        <v>0</v>
      </c>
    </row>
    <row r="305" spans="1:9" ht="15.5" x14ac:dyDescent="0.35">
      <c r="A305" s="224" t="s">
        <v>7</v>
      </c>
      <c r="B305" s="224" t="s">
        <v>46</v>
      </c>
      <c r="C305" s="224" t="s">
        <v>89</v>
      </c>
      <c r="D305" s="224" t="s">
        <v>9</v>
      </c>
      <c r="E305" s="224" t="s">
        <v>256</v>
      </c>
      <c r="F305" s="224" t="s">
        <v>10</v>
      </c>
      <c r="G305" s="223" t="str">
        <f>VLOOKUP($B305,'FRS geographical categories'!$A$2:$C$45,2,FALSE)</f>
        <v>Predominantly Rural</v>
      </c>
      <c r="H305" s="223" t="str">
        <f>VLOOKUP($B305,'FRS geographical categories'!$A$2:$C$45,3,FALSE)</f>
        <v>Non-metropolitan</v>
      </c>
      <c r="I305" s="224">
        <v>78</v>
      </c>
    </row>
    <row r="306" spans="1:9" ht="15.5" x14ac:dyDescent="0.35">
      <c r="A306" s="224" t="s">
        <v>7</v>
      </c>
      <c r="B306" s="224" t="s">
        <v>47</v>
      </c>
      <c r="C306" s="224" t="s">
        <v>86</v>
      </c>
      <c r="D306" s="224" t="s">
        <v>9</v>
      </c>
      <c r="E306" s="224" t="s">
        <v>256</v>
      </c>
      <c r="F306" s="224" t="s">
        <v>248</v>
      </c>
      <c r="G306" s="223" t="str">
        <f>VLOOKUP($B306,'FRS geographical categories'!$A$2:$C$45,2,FALSE)</f>
        <v>Predominantly Urban</v>
      </c>
      <c r="H306" s="223" t="str">
        <f>VLOOKUP($B306,'FRS geographical categories'!$A$2:$C$45,3,FALSE)</f>
        <v>Non-metropolitan</v>
      </c>
      <c r="I306" s="224">
        <v>299</v>
      </c>
    </row>
    <row r="307" spans="1:9" ht="15.5" x14ac:dyDescent="0.35">
      <c r="A307" s="224" t="s">
        <v>7</v>
      </c>
      <c r="B307" s="224" t="s">
        <v>47</v>
      </c>
      <c r="C307" s="224" t="s">
        <v>86</v>
      </c>
      <c r="D307" s="224" t="s">
        <v>9</v>
      </c>
      <c r="E307" s="224" t="s">
        <v>256</v>
      </c>
      <c r="F307" s="224" t="s">
        <v>249</v>
      </c>
      <c r="G307" s="223" t="str">
        <f>VLOOKUP($B307,'FRS geographical categories'!$A$2:$C$45,2,FALSE)</f>
        <v>Predominantly Urban</v>
      </c>
      <c r="H307" s="223" t="str">
        <f>VLOOKUP($B307,'FRS geographical categories'!$A$2:$C$45,3,FALSE)</f>
        <v>Non-metropolitan</v>
      </c>
      <c r="I307" s="224">
        <v>1707</v>
      </c>
    </row>
    <row r="308" spans="1:9" ht="15.5" x14ac:dyDescent="0.35">
      <c r="A308" s="224" t="s">
        <v>7</v>
      </c>
      <c r="B308" s="224" t="s">
        <v>47</v>
      </c>
      <c r="C308" s="224" t="s">
        <v>86</v>
      </c>
      <c r="D308" s="224" t="s">
        <v>9</v>
      </c>
      <c r="E308" s="224" t="s">
        <v>256</v>
      </c>
      <c r="F308" s="224" t="s">
        <v>250</v>
      </c>
      <c r="G308" s="223" t="str">
        <f>VLOOKUP($B308,'FRS geographical categories'!$A$2:$C$45,2,FALSE)</f>
        <v>Predominantly Urban</v>
      </c>
      <c r="H308" s="223" t="str">
        <f>VLOOKUP($B308,'FRS geographical categories'!$A$2:$C$45,3,FALSE)</f>
        <v>Non-metropolitan</v>
      </c>
      <c r="I308" s="224">
        <v>1408</v>
      </c>
    </row>
    <row r="309" spans="1:9" ht="15.5" x14ac:dyDescent="0.35">
      <c r="A309" s="224" t="s">
        <v>7</v>
      </c>
      <c r="B309" s="224" t="s">
        <v>47</v>
      </c>
      <c r="C309" s="224" t="s">
        <v>86</v>
      </c>
      <c r="D309" s="224" t="s">
        <v>9</v>
      </c>
      <c r="E309" s="224" t="s">
        <v>256</v>
      </c>
      <c r="F309" s="224" t="s">
        <v>10</v>
      </c>
      <c r="G309" s="223" t="str">
        <f>VLOOKUP($B309,'FRS geographical categories'!$A$2:$C$45,2,FALSE)</f>
        <v>Predominantly Urban</v>
      </c>
      <c r="H309" s="223" t="str">
        <f>VLOOKUP($B309,'FRS geographical categories'!$A$2:$C$45,3,FALSE)</f>
        <v>Non-metropolitan</v>
      </c>
      <c r="I309" s="224">
        <v>4700</v>
      </c>
    </row>
    <row r="310" spans="1:9" ht="15.5" x14ac:dyDescent="0.35">
      <c r="A310" s="224" t="s">
        <v>7</v>
      </c>
      <c r="B310" s="224" t="s">
        <v>47</v>
      </c>
      <c r="C310" s="224" t="s">
        <v>89</v>
      </c>
      <c r="D310" s="224" t="s">
        <v>9</v>
      </c>
      <c r="E310" s="224" t="s">
        <v>256</v>
      </c>
      <c r="F310" s="224" t="s">
        <v>248</v>
      </c>
      <c r="G310" s="223" t="str">
        <f>VLOOKUP($B310,'FRS geographical categories'!$A$2:$C$45,2,FALSE)</f>
        <v>Predominantly Urban</v>
      </c>
      <c r="H310" s="223" t="str">
        <f>VLOOKUP($B310,'FRS geographical categories'!$A$2:$C$45,3,FALSE)</f>
        <v>Non-metropolitan</v>
      </c>
      <c r="I310" s="224">
        <v>0</v>
      </c>
    </row>
    <row r="311" spans="1:9" ht="15.5" x14ac:dyDescent="0.35">
      <c r="A311" s="224" t="s">
        <v>7</v>
      </c>
      <c r="B311" s="224" t="s">
        <v>47</v>
      </c>
      <c r="C311" s="224" t="s">
        <v>89</v>
      </c>
      <c r="D311" s="224" t="s">
        <v>9</v>
      </c>
      <c r="E311" s="224" t="s">
        <v>256</v>
      </c>
      <c r="F311" s="224" t="s">
        <v>249</v>
      </c>
      <c r="G311" s="223" t="str">
        <f>VLOOKUP($B311,'FRS geographical categories'!$A$2:$C$45,2,FALSE)</f>
        <v>Predominantly Urban</v>
      </c>
      <c r="H311" s="223" t="str">
        <f>VLOOKUP($B311,'FRS geographical categories'!$A$2:$C$45,3,FALSE)</f>
        <v>Non-metropolitan</v>
      </c>
      <c r="I311" s="224">
        <v>0</v>
      </c>
    </row>
    <row r="312" spans="1:9" ht="15.5" x14ac:dyDescent="0.35">
      <c r="A312" s="224" t="s">
        <v>7</v>
      </c>
      <c r="B312" s="224" t="s">
        <v>47</v>
      </c>
      <c r="C312" s="224" t="s">
        <v>89</v>
      </c>
      <c r="D312" s="224" t="s">
        <v>9</v>
      </c>
      <c r="E312" s="224" t="s">
        <v>256</v>
      </c>
      <c r="F312" s="224" t="s">
        <v>250</v>
      </c>
      <c r="G312" s="223" t="str">
        <f>VLOOKUP($B312,'FRS geographical categories'!$A$2:$C$45,2,FALSE)</f>
        <v>Predominantly Urban</v>
      </c>
      <c r="H312" s="223" t="str">
        <f>VLOOKUP($B312,'FRS geographical categories'!$A$2:$C$45,3,FALSE)</f>
        <v>Non-metropolitan</v>
      </c>
      <c r="I312" s="224">
        <v>0</v>
      </c>
    </row>
    <row r="313" spans="1:9" ht="15.5" x14ac:dyDescent="0.35">
      <c r="A313" s="224" t="s">
        <v>7</v>
      </c>
      <c r="B313" s="224" t="s">
        <v>47</v>
      </c>
      <c r="C313" s="224" t="s">
        <v>89</v>
      </c>
      <c r="D313" s="224" t="s">
        <v>9</v>
      </c>
      <c r="E313" s="224" t="s">
        <v>256</v>
      </c>
      <c r="F313" s="224" t="s">
        <v>10</v>
      </c>
      <c r="G313" s="223" t="str">
        <f>VLOOKUP($B313,'FRS geographical categories'!$A$2:$C$45,2,FALSE)</f>
        <v>Predominantly Urban</v>
      </c>
      <c r="H313" s="223" t="str">
        <f>VLOOKUP($B313,'FRS geographical categories'!$A$2:$C$45,3,FALSE)</f>
        <v>Non-metropolitan</v>
      </c>
      <c r="I313" s="224">
        <v>0</v>
      </c>
    </row>
    <row r="314" spans="1:9" ht="15.5" x14ac:dyDescent="0.35">
      <c r="A314" s="224" t="s">
        <v>7</v>
      </c>
      <c r="B314" s="224" t="s">
        <v>48</v>
      </c>
      <c r="C314" s="224" t="s">
        <v>86</v>
      </c>
      <c r="D314" s="224" t="s">
        <v>9</v>
      </c>
      <c r="E314" s="224" t="s">
        <v>256</v>
      </c>
      <c r="F314" s="224" t="s">
        <v>248</v>
      </c>
      <c r="G314" s="223" t="str">
        <f>VLOOKUP($B314,'FRS geographical categories'!$A$2:$C$45,2,FALSE)</f>
        <v>Predominantly Urban</v>
      </c>
      <c r="H314" s="223" t="str">
        <f>VLOOKUP($B314,'FRS geographical categories'!$A$2:$C$45,3,FALSE)</f>
        <v>Metropolitan</v>
      </c>
      <c r="I314" s="224">
        <v>1169</v>
      </c>
    </row>
    <row r="315" spans="1:9" ht="15.5" x14ac:dyDescent="0.35">
      <c r="A315" s="224" t="s">
        <v>7</v>
      </c>
      <c r="B315" s="224" t="s">
        <v>48</v>
      </c>
      <c r="C315" s="224" t="s">
        <v>86</v>
      </c>
      <c r="D315" s="224" t="s">
        <v>9</v>
      </c>
      <c r="E315" s="224" t="s">
        <v>256</v>
      </c>
      <c r="F315" s="224" t="s">
        <v>249</v>
      </c>
      <c r="G315" s="223" t="str">
        <f>VLOOKUP($B315,'FRS geographical categories'!$A$2:$C$45,2,FALSE)</f>
        <v>Predominantly Urban</v>
      </c>
      <c r="H315" s="223" t="str">
        <f>VLOOKUP($B315,'FRS geographical categories'!$A$2:$C$45,3,FALSE)</f>
        <v>Metropolitan</v>
      </c>
      <c r="I315" s="224">
        <v>4879</v>
      </c>
    </row>
    <row r="316" spans="1:9" ht="15.5" x14ac:dyDescent="0.35">
      <c r="A316" s="224" t="s">
        <v>7</v>
      </c>
      <c r="B316" s="224" t="s">
        <v>48</v>
      </c>
      <c r="C316" s="224" t="s">
        <v>86</v>
      </c>
      <c r="D316" s="224" t="s">
        <v>9</v>
      </c>
      <c r="E316" s="224" t="s">
        <v>256</v>
      </c>
      <c r="F316" s="224" t="s">
        <v>250</v>
      </c>
      <c r="G316" s="223" t="str">
        <f>VLOOKUP($B316,'FRS geographical categories'!$A$2:$C$45,2,FALSE)</f>
        <v>Predominantly Urban</v>
      </c>
      <c r="H316" s="223" t="str">
        <f>VLOOKUP($B316,'FRS geographical categories'!$A$2:$C$45,3,FALSE)</f>
        <v>Metropolitan</v>
      </c>
      <c r="I316" s="224">
        <v>7097</v>
      </c>
    </row>
    <row r="317" spans="1:9" ht="15.5" x14ac:dyDescent="0.35">
      <c r="A317" s="224" t="s">
        <v>7</v>
      </c>
      <c r="B317" s="224" t="s">
        <v>48</v>
      </c>
      <c r="C317" s="224" t="s">
        <v>86</v>
      </c>
      <c r="D317" s="224" t="s">
        <v>9</v>
      </c>
      <c r="E317" s="224" t="s">
        <v>256</v>
      </c>
      <c r="F317" s="224" t="s">
        <v>10</v>
      </c>
      <c r="G317" s="223" t="str">
        <f>VLOOKUP($B317,'FRS geographical categories'!$A$2:$C$45,2,FALSE)</f>
        <v>Predominantly Urban</v>
      </c>
      <c r="H317" s="223" t="str">
        <f>VLOOKUP($B317,'FRS geographical categories'!$A$2:$C$45,3,FALSE)</f>
        <v>Metropolitan</v>
      </c>
      <c r="I317" s="224">
        <v>24638</v>
      </c>
    </row>
    <row r="318" spans="1:9" ht="15.5" x14ac:dyDescent="0.35">
      <c r="A318" s="224" t="s">
        <v>7</v>
      </c>
      <c r="B318" s="224" t="s">
        <v>48</v>
      </c>
      <c r="C318" s="224" t="s">
        <v>89</v>
      </c>
      <c r="D318" s="224" t="s">
        <v>9</v>
      </c>
      <c r="E318" s="224" t="s">
        <v>256</v>
      </c>
      <c r="F318" s="224" t="s">
        <v>248</v>
      </c>
      <c r="G318" s="223" t="str">
        <f>VLOOKUP($B318,'FRS geographical categories'!$A$2:$C$45,2,FALSE)</f>
        <v>Predominantly Urban</v>
      </c>
      <c r="H318" s="223" t="str">
        <f>VLOOKUP($B318,'FRS geographical categories'!$A$2:$C$45,3,FALSE)</f>
        <v>Metropolitan</v>
      </c>
      <c r="I318" s="224">
        <v>337</v>
      </c>
    </row>
    <row r="319" spans="1:9" ht="15.5" x14ac:dyDescent="0.35">
      <c r="A319" s="224" t="s">
        <v>7</v>
      </c>
      <c r="B319" s="224" t="s">
        <v>48</v>
      </c>
      <c r="C319" s="224" t="s">
        <v>89</v>
      </c>
      <c r="D319" s="224" t="s">
        <v>9</v>
      </c>
      <c r="E319" s="224" t="s">
        <v>256</v>
      </c>
      <c r="F319" s="224" t="s">
        <v>249</v>
      </c>
      <c r="G319" s="223" t="str">
        <f>VLOOKUP($B319,'FRS geographical categories'!$A$2:$C$45,2,FALSE)</f>
        <v>Predominantly Urban</v>
      </c>
      <c r="H319" s="223" t="str">
        <f>VLOOKUP($B319,'FRS geographical categories'!$A$2:$C$45,3,FALSE)</f>
        <v>Metropolitan</v>
      </c>
      <c r="I319" s="224">
        <v>999</v>
      </c>
    </row>
    <row r="320" spans="1:9" ht="15.5" x14ac:dyDescent="0.35">
      <c r="A320" s="224" t="s">
        <v>7</v>
      </c>
      <c r="B320" s="224" t="s">
        <v>48</v>
      </c>
      <c r="C320" s="224" t="s">
        <v>89</v>
      </c>
      <c r="D320" s="224" t="s">
        <v>9</v>
      </c>
      <c r="E320" s="224" t="s">
        <v>256</v>
      </c>
      <c r="F320" s="224" t="s">
        <v>250</v>
      </c>
      <c r="G320" s="223" t="str">
        <f>VLOOKUP($B320,'FRS geographical categories'!$A$2:$C$45,2,FALSE)</f>
        <v>Predominantly Urban</v>
      </c>
      <c r="H320" s="223" t="str">
        <f>VLOOKUP($B320,'FRS geographical categories'!$A$2:$C$45,3,FALSE)</f>
        <v>Metropolitan</v>
      </c>
      <c r="I320" s="224">
        <v>1289</v>
      </c>
    </row>
    <row r="321" spans="1:9" ht="15.5" x14ac:dyDescent="0.35">
      <c r="A321" s="224" t="s">
        <v>7</v>
      </c>
      <c r="B321" s="224" t="s">
        <v>48</v>
      </c>
      <c r="C321" s="224" t="s">
        <v>89</v>
      </c>
      <c r="D321" s="224" t="s">
        <v>9</v>
      </c>
      <c r="E321" s="224" t="s">
        <v>256</v>
      </c>
      <c r="F321" s="224" t="s">
        <v>10</v>
      </c>
      <c r="G321" s="223" t="str">
        <f>VLOOKUP($B321,'FRS geographical categories'!$A$2:$C$45,2,FALSE)</f>
        <v>Predominantly Urban</v>
      </c>
      <c r="H321" s="223" t="str">
        <f>VLOOKUP($B321,'FRS geographical categories'!$A$2:$C$45,3,FALSE)</f>
        <v>Metropolitan</v>
      </c>
      <c r="I321" s="224">
        <v>3617</v>
      </c>
    </row>
    <row r="322" spans="1:9" ht="15.5" x14ac:dyDescent="0.35">
      <c r="A322" s="224" t="s">
        <v>7</v>
      </c>
      <c r="B322" s="224" t="s">
        <v>49</v>
      </c>
      <c r="C322" s="224" t="s">
        <v>86</v>
      </c>
      <c r="D322" s="224" t="s">
        <v>9</v>
      </c>
      <c r="E322" s="224" t="s">
        <v>256</v>
      </c>
      <c r="F322" s="224" t="s">
        <v>248</v>
      </c>
      <c r="G322" s="223" t="str">
        <f>VLOOKUP($B322,'FRS geographical categories'!$A$2:$C$45,2,FALSE)</f>
        <v>Significantly Rural</v>
      </c>
      <c r="H322" s="223" t="str">
        <f>VLOOKUP($B322,'FRS geographical categories'!$A$2:$C$45,3,FALSE)</f>
        <v>Non-metropolitan</v>
      </c>
      <c r="I322" s="224">
        <v>420</v>
      </c>
    </row>
    <row r="323" spans="1:9" ht="15.5" x14ac:dyDescent="0.35">
      <c r="A323" s="224" t="s">
        <v>7</v>
      </c>
      <c r="B323" s="224" t="s">
        <v>49</v>
      </c>
      <c r="C323" s="224" t="s">
        <v>86</v>
      </c>
      <c r="D323" s="224" t="s">
        <v>9</v>
      </c>
      <c r="E323" s="224" t="s">
        <v>256</v>
      </c>
      <c r="F323" s="224" t="s">
        <v>249</v>
      </c>
      <c r="G323" s="223" t="str">
        <f>VLOOKUP($B323,'FRS geographical categories'!$A$2:$C$45,2,FALSE)</f>
        <v>Significantly Rural</v>
      </c>
      <c r="H323" s="223" t="str">
        <f>VLOOKUP($B323,'FRS geographical categories'!$A$2:$C$45,3,FALSE)</f>
        <v>Non-metropolitan</v>
      </c>
      <c r="I323" s="224">
        <v>1469</v>
      </c>
    </row>
    <row r="324" spans="1:9" ht="15.5" x14ac:dyDescent="0.35">
      <c r="A324" s="224" t="s">
        <v>7</v>
      </c>
      <c r="B324" s="224" t="s">
        <v>49</v>
      </c>
      <c r="C324" s="224" t="s">
        <v>86</v>
      </c>
      <c r="D324" s="224" t="s">
        <v>9</v>
      </c>
      <c r="E324" s="224" t="s">
        <v>256</v>
      </c>
      <c r="F324" s="224" t="s">
        <v>250</v>
      </c>
      <c r="G324" s="223" t="str">
        <f>VLOOKUP($B324,'FRS geographical categories'!$A$2:$C$45,2,FALSE)</f>
        <v>Significantly Rural</v>
      </c>
      <c r="H324" s="223" t="str">
        <f>VLOOKUP($B324,'FRS geographical categories'!$A$2:$C$45,3,FALSE)</f>
        <v>Non-metropolitan</v>
      </c>
      <c r="I324" s="224">
        <v>4024</v>
      </c>
    </row>
    <row r="325" spans="1:9" ht="15.5" x14ac:dyDescent="0.35">
      <c r="A325" s="224" t="s">
        <v>7</v>
      </c>
      <c r="B325" s="224" t="s">
        <v>49</v>
      </c>
      <c r="C325" s="224" t="s">
        <v>86</v>
      </c>
      <c r="D325" s="224" t="s">
        <v>9</v>
      </c>
      <c r="E325" s="224" t="s">
        <v>256</v>
      </c>
      <c r="F325" s="224" t="s">
        <v>10</v>
      </c>
      <c r="G325" s="223" t="str">
        <f>VLOOKUP($B325,'FRS geographical categories'!$A$2:$C$45,2,FALSE)</f>
        <v>Significantly Rural</v>
      </c>
      <c r="H325" s="223" t="str">
        <f>VLOOKUP($B325,'FRS geographical categories'!$A$2:$C$45,3,FALSE)</f>
        <v>Non-metropolitan</v>
      </c>
      <c r="I325" s="224">
        <v>5913</v>
      </c>
    </row>
    <row r="326" spans="1:9" ht="15.5" x14ac:dyDescent="0.35">
      <c r="A326" s="224" t="s">
        <v>7</v>
      </c>
      <c r="B326" s="224" t="s">
        <v>49</v>
      </c>
      <c r="C326" s="224" t="s">
        <v>89</v>
      </c>
      <c r="D326" s="224" t="s">
        <v>9</v>
      </c>
      <c r="E326" s="224" t="s">
        <v>256</v>
      </c>
      <c r="F326" s="224" t="s">
        <v>248</v>
      </c>
      <c r="G326" s="223" t="str">
        <f>VLOOKUP($B326,'FRS geographical categories'!$A$2:$C$45,2,FALSE)</f>
        <v>Significantly Rural</v>
      </c>
      <c r="H326" s="223" t="str">
        <f>VLOOKUP($B326,'FRS geographical categories'!$A$2:$C$45,3,FALSE)</f>
        <v>Non-metropolitan</v>
      </c>
      <c r="I326" s="224">
        <v>0</v>
      </c>
    </row>
    <row r="327" spans="1:9" ht="15.5" x14ac:dyDescent="0.35">
      <c r="A327" s="224" t="s">
        <v>7</v>
      </c>
      <c r="B327" s="224" t="s">
        <v>49</v>
      </c>
      <c r="C327" s="224" t="s">
        <v>89</v>
      </c>
      <c r="D327" s="224" t="s">
        <v>9</v>
      </c>
      <c r="E327" s="224" t="s">
        <v>256</v>
      </c>
      <c r="F327" s="224" t="s">
        <v>249</v>
      </c>
      <c r="G327" s="223" t="str">
        <f>VLOOKUP($B327,'FRS geographical categories'!$A$2:$C$45,2,FALSE)</f>
        <v>Significantly Rural</v>
      </c>
      <c r="H327" s="223" t="str">
        <f>VLOOKUP($B327,'FRS geographical categories'!$A$2:$C$45,3,FALSE)</f>
        <v>Non-metropolitan</v>
      </c>
      <c r="I327" s="224">
        <v>0</v>
      </c>
    </row>
    <row r="328" spans="1:9" ht="15.5" x14ac:dyDescent="0.35">
      <c r="A328" s="224" t="s">
        <v>7</v>
      </c>
      <c r="B328" s="224" t="s">
        <v>49</v>
      </c>
      <c r="C328" s="224" t="s">
        <v>89</v>
      </c>
      <c r="D328" s="224" t="s">
        <v>9</v>
      </c>
      <c r="E328" s="224" t="s">
        <v>256</v>
      </c>
      <c r="F328" s="224" t="s">
        <v>250</v>
      </c>
      <c r="G328" s="223" t="str">
        <f>VLOOKUP($B328,'FRS geographical categories'!$A$2:$C$45,2,FALSE)</f>
        <v>Significantly Rural</v>
      </c>
      <c r="H328" s="223" t="str">
        <f>VLOOKUP($B328,'FRS geographical categories'!$A$2:$C$45,3,FALSE)</f>
        <v>Non-metropolitan</v>
      </c>
      <c r="I328" s="224">
        <v>0</v>
      </c>
    </row>
    <row r="329" spans="1:9" ht="15.5" x14ac:dyDescent="0.35">
      <c r="A329" s="224" t="s">
        <v>7</v>
      </c>
      <c r="B329" s="224" t="s">
        <v>49</v>
      </c>
      <c r="C329" s="224" t="s">
        <v>89</v>
      </c>
      <c r="D329" s="224" t="s">
        <v>9</v>
      </c>
      <c r="E329" s="224" t="s">
        <v>256</v>
      </c>
      <c r="F329" s="224" t="s">
        <v>10</v>
      </c>
      <c r="G329" s="223" t="str">
        <f>VLOOKUP($B329,'FRS geographical categories'!$A$2:$C$45,2,FALSE)</f>
        <v>Significantly Rural</v>
      </c>
      <c r="H329" s="223" t="str">
        <f>VLOOKUP($B329,'FRS geographical categories'!$A$2:$C$45,3,FALSE)</f>
        <v>Non-metropolitan</v>
      </c>
      <c r="I329" s="224">
        <v>0</v>
      </c>
    </row>
    <row r="330" spans="1:9" ht="15.5" x14ac:dyDescent="0.35">
      <c r="A330" s="224" t="s">
        <v>7</v>
      </c>
      <c r="B330" s="224" t="s">
        <v>50</v>
      </c>
      <c r="C330" s="224" t="s">
        <v>86</v>
      </c>
      <c r="D330" s="224" t="s">
        <v>9</v>
      </c>
      <c r="E330" s="224" t="s">
        <v>256</v>
      </c>
      <c r="F330" s="224" t="s">
        <v>248</v>
      </c>
      <c r="G330" s="223" t="str">
        <f>VLOOKUP($B330,'FRS geographical categories'!$A$2:$C$45,2,FALSE)</f>
        <v>Predominantly Urban</v>
      </c>
      <c r="H330" s="223" t="str">
        <f>VLOOKUP($B330,'FRS geographical categories'!$A$2:$C$45,3,FALSE)</f>
        <v>Metropolitan</v>
      </c>
      <c r="I330" s="224">
        <v>6061</v>
      </c>
    </row>
    <row r="331" spans="1:9" ht="15.5" x14ac:dyDescent="0.35">
      <c r="A331" s="224" t="s">
        <v>7</v>
      </c>
      <c r="B331" s="224" t="s">
        <v>50</v>
      </c>
      <c r="C331" s="224" t="s">
        <v>86</v>
      </c>
      <c r="D331" s="224" t="s">
        <v>9</v>
      </c>
      <c r="E331" s="224" t="s">
        <v>256</v>
      </c>
      <c r="F331" s="224" t="s">
        <v>249</v>
      </c>
      <c r="G331" s="223" t="str">
        <f>VLOOKUP($B331,'FRS geographical categories'!$A$2:$C$45,2,FALSE)</f>
        <v>Predominantly Urban</v>
      </c>
      <c r="H331" s="223" t="str">
        <f>VLOOKUP($B331,'FRS geographical categories'!$A$2:$C$45,3,FALSE)</f>
        <v>Metropolitan</v>
      </c>
      <c r="I331" s="224">
        <v>16895</v>
      </c>
    </row>
    <row r="332" spans="1:9" ht="15.5" x14ac:dyDescent="0.35">
      <c r="A332" s="224" t="s">
        <v>7</v>
      </c>
      <c r="B332" s="224" t="s">
        <v>50</v>
      </c>
      <c r="C332" s="224" t="s">
        <v>86</v>
      </c>
      <c r="D332" s="224" t="s">
        <v>9</v>
      </c>
      <c r="E332" s="224" t="s">
        <v>256</v>
      </c>
      <c r="F332" s="224" t="s">
        <v>250</v>
      </c>
      <c r="G332" s="223" t="str">
        <f>VLOOKUP($B332,'FRS geographical categories'!$A$2:$C$45,2,FALSE)</f>
        <v>Predominantly Urban</v>
      </c>
      <c r="H332" s="223" t="str">
        <f>VLOOKUP($B332,'FRS geographical categories'!$A$2:$C$45,3,FALSE)</f>
        <v>Metropolitan</v>
      </c>
      <c r="I332" s="224">
        <v>5300</v>
      </c>
    </row>
    <row r="333" spans="1:9" ht="15.5" x14ac:dyDescent="0.35">
      <c r="A333" s="224" t="s">
        <v>7</v>
      </c>
      <c r="B333" s="224" t="s">
        <v>50</v>
      </c>
      <c r="C333" s="224" t="s">
        <v>86</v>
      </c>
      <c r="D333" s="224" t="s">
        <v>9</v>
      </c>
      <c r="E333" s="224" t="s">
        <v>256</v>
      </c>
      <c r="F333" s="224" t="s">
        <v>10</v>
      </c>
      <c r="G333" s="223" t="str">
        <f>VLOOKUP($B333,'FRS geographical categories'!$A$2:$C$45,2,FALSE)</f>
        <v>Predominantly Urban</v>
      </c>
      <c r="H333" s="223" t="str">
        <f>VLOOKUP($B333,'FRS geographical categories'!$A$2:$C$45,3,FALSE)</f>
        <v>Metropolitan</v>
      </c>
      <c r="I333" s="224">
        <v>40537</v>
      </c>
    </row>
    <row r="334" spans="1:9" ht="15.5" x14ac:dyDescent="0.35">
      <c r="A334" s="224" t="s">
        <v>7</v>
      </c>
      <c r="B334" s="224" t="s">
        <v>50</v>
      </c>
      <c r="C334" s="224" t="s">
        <v>89</v>
      </c>
      <c r="D334" s="224" t="s">
        <v>9</v>
      </c>
      <c r="E334" s="224" t="s">
        <v>256</v>
      </c>
      <c r="F334" s="224" t="s">
        <v>248</v>
      </c>
      <c r="G334" s="223" t="str">
        <f>VLOOKUP($B334,'FRS geographical categories'!$A$2:$C$45,2,FALSE)</f>
        <v>Predominantly Urban</v>
      </c>
      <c r="H334" s="223" t="str">
        <f>VLOOKUP($B334,'FRS geographical categories'!$A$2:$C$45,3,FALSE)</f>
        <v>Metropolitan</v>
      </c>
      <c r="I334" s="224">
        <v>0</v>
      </c>
    </row>
    <row r="335" spans="1:9" ht="15.5" x14ac:dyDescent="0.35">
      <c r="A335" s="224" t="s">
        <v>7</v>
      </c>
      <c r="B335" s="224" t="s">
        <v>50</v>
      </c>
      <c r="C335" s="224" t="s">
        <v>89</v>
      </c>
      <c r="D335" s="224" t="s">
        <v>9</v>
      </c>
      <c r="E335" s="224" t="s">
        <v>256</v>
      </c>
      <c r="F335" s="224" t="s">
        <v>249</v>
      </c>
      <c r="G335" s="223" t="str">
        <f>VLOOKUP($B335,'FRS geographical categories'!$A$2:$C$45,2,FALSE)</f>
        <v>Predominantly Urban</v>
      </c>
      <c r="H335" s="223" t="str">
        <f>VLOOKUP($B335,'FRS geographical categories'!$A$2:$C$45,3,FALSE)</f>
        <v>Metropolitan</v>
      </c>
      <c r="I335" s="224">
        <v>0</v>
      </c>
    </row>
    <row r="336" spans="1:9" ht="15.5" x14ac:dyDescent="0.35">
      <c r="A336" s="224" t="s">
        <v>7</v>
      </c>
      <c r="B336" s="224" t="s">
        <v>50</v>
      </c>
      <c r="C336" s="224" t="s">
        <v>89</v>
      </c>
      <c r="D336" s="224" t="s">
        <v>9</v>
      </c>
      <c r="E336" s="224" t="s">
        <v>256</v>
      </c>
      <c r="F336" s="224" t="s">
        <v>250</v>
      </c>
      <c r="G336" s="223" t="str">
        <f>VLOOKUP($B336,'FRS geographical categories'!$A$2:$C$45,2,FALSE)</f>
        <v>Predominantly Urban</v>
      </c>
      <c r="H336" s="223" t="str">
        <f>VLOOKUP($B336,'FRS geographical categories'!$A$2:$C$45,3,FALSE)</f>
        <v>Metropolitan</v>
      </c>
      <c r="I336" s="224">
        <v>0</v>
      </c>
    </row>
    <row r="337" spans="1:9" ht="15.5" x14ac:dyDescent="0.35">
      <c r="A337" s="224" t="s">
        <v>7</v>
      </c>
      <c r="B337" s="224" t="s">
        <v>50</v>
      </c>
      <c r="C337" s="224" t="s">
        <v>89</v>
      </c>
      <c r="D337" s="224" t="s">
        <v>9</v>
      </c>
      <c r="E337" s="224" t="s">
        <v>256</v>
      </c>
      <c r="F337" s="224" t="s">
        <v>10</v>
      </c>
      <c r="G337" s="223" t="str">
        <f>VLOOKUP($B337,'FRS geographical categories'!$A$2:$C$45,2,FALSE)</f>
        <v>Predominantly Urban</v>
      </c>
      <c r="H337" s="223" t="str">
        <f>VLOOKUP($B337,'FRS geographical categories'!$A$2:$C$45,3,FALSE)</f>
        <v>Metropolitan</v>
      </c>
      <c r="I337" s="224">
        <v>0</v>
      </c>
    </row>
    <row r="338" spans="1:9" ht="15.5" x14ac:dyDescent="0.35">
      <c r="A338" s="224" t="s">
        <v>7</v>
      </c>
      <c r="B338" s="224" t="s">
        <v>51</v>
      </c>
      <c r="C338" s="224" t="s">
        <v>86</v>
      </c>
      <c r="D338" s="224" t="s">
        <v>9</v>
      </c>
      <c r="E338" s="224" t="s">
        <v>256</v>
      </c>
      <c r="F338" s="224" t="s">
        <v>248</v>
      </c>
      <c r="G338" s="223" t="str">
        <f>VLOOKUP($B338,'FRS geographical categories'!$A$2:$C$45,2,FALSE)</f>
        <v>Significantly Rural</v>
      </c>
      <c r="H338" s="223" t="str">
        <f>VLOOKUP($B338,'FRS geographical categories'!$A$2:$C$45,3,FALSE)</f>
        <v>Non-metropolitan</v>
      </c>
      <c r="I338" s="224">
        <v>725</v>
      </c>
    </row>
    <row r="339" spans="1:9" ht="15.5" x14ac:dyDescent="0.35">
      <c r="A339" s="224" t="s">
        <v>7</v>
      </c>
      <c r="B339" s="224" t="s">
        <v>51</v>
      </c>
      <c r="C339" s="224" t="s">
        <v>86</v>
      </c>
      <c r="D339" s="224" t="s">
        <v>9</v>
      </c>
      <c r="E339" s="224" t="s">
        <v>256</v>
      </c>
      <c r="F339" s="224" t="s">
        <v>249</v>
      </c>
      <c r="G339" s="223" t="str">
        <f>VLOOKUP($B339,'FRS geographical categories'!$A$2:$C$45,2,FALSE)</f>
        <v>Significantly Rural</v>
      </c>
      <c r="H339" s="223" t="str">
        <f>VLOOKUP($B339,'FRS geographical categories'!$A$2:$C$45,3,FALSE)</f>
        <v>Non-metropolitan</v>
      </c>
      <c r="I339" s="224">
        <v>1120</v>
      </c>
    </row>
    <row r="340" spans="1:9" ht="15.5" x14ac:dyDescent="0.35">
      <c r="A340" s="224" t="s">
        <v>7</v>
      </c>
      <c r="B340" s="224" t="s">
        <v>51</v>
      </c>
      <c r="C340" s="224" t="s">
        <v>86</v>
      </c>
      <c r="D340" s="224" t="s">
        <v>9</v>
      </c>
      <c r="E340" s="224" t="s">
        <v>256</v>
      </c>
      <c r="F340" s="224" t="s">
        <v>250</v>
      </c>
      <c r="G340" s="223" t="str">
        <f>VLOOKUP($B340,'FRS geographical categories'!$A$2:$C$45,2,FALSE)</f>
        <v>Significantly Rural</v>
      </c>
      <c r="H340" s="223" t="str">
        <f>VLOOKUP($B340,'FRS geographical categories'!$A$2:$C$45,3,FALSE)</f>
        <v>Non-metropolitan</v>
      </c>
      <c r="I340" s="224">
        <v>3463</v>
      </c>
    </row>
    <row r="341" spans="1:9" ht="15.5" x14ac:dyDescent="0.35">
      <c r="A341" s="224" t="s">
        <v>7</v>
      </c>
      <c r="B341" s="224" t="s">
        <v>51</v>
      </c>
      <c r="C341" s="224" t="s">
        <v>86</v>
      </c>
      <c r="D341" s="224" t="s">
        <v>9</v>
      </c>
      <c r="E341" s="224" t="s">
        <v>256</v>
      </c>
      <c r="F341" s="224" t="s">
        <v>10</v>
      </c>
      <c r="G341" s="223" t="str">
        <f>VLOOKUP($B341,'FRS geographical categories'!$A$2:$C$45,2,FALSE)</f>
        <v>Significantly Rural</v>
      </c>
      <c r="H341" s="223" t="str">
        <f>VLOOKUP($B341,'FRS geographical categories'!$A$2:$C$45,3,FALSE)</f>
        <v>Non-metropolitan</v>
      </c>
      <c r="I341" s="224">
        <v>5308</v>
      </c>
    </row>
    <row r="342" spans="1:9" ht="15.5" x14ac:dyDescent="0.35">
      <c r="A342" s="224" t="s">
        <v>7</v>
      </c>
      <c r="B342" s="224" t="s">
        <v>51</v>
      </c>
      <c r="C342" s="224" t="s">
        <v>89</v>
      </c>
      <c r="D342" s="224" t="s">
        <v>9</v>
      </c>
      <c r="E342" s="224" t="s">
        <v>256</v>
      </c>
      <c r="F342" s="224" t="s">
        <v>248</v>
      </c>
      <c r="G342" s="223" t="str">
        <f>VLOOKUP($B342,'FRS geographical categories'!$A$2:$C$45,2,FALSE)</f>
        <v>Significantly Rural</v>
      </c>
      <c r="H342" s="223" t="str">
        <f>VLOOKUP($B342,'FRS geographical categories'!$A$2:$C$45,3,FALSE)</f>
        <v>Non-metropolitan</v>
      </c>
      <c r="I342" s="224">
        <v>0</v>
      </c>
    </row>
    <row r="343" spans="1:9" ht="15.5" x14ac:dyDescent="0.35">
      <c r="A343" s="224" t="s">
        <v>7</v>
      </c>
      <c r="B343" s="224" t="s">
        <v>51</v>
      </c>
      <c r="C343" s="224" t="s">
        <v>89</v>
      </c>
      <c r="D343" s="224" t="s">
        <v>9</v>
      </c>
      <c r="E343" s="224" t="s">
        <v>256</v>
      </c>
      <c r="F343" s="224" t="s">
        <v>249</v>
      </c>
      <c r="G343" s="223" t="str">
        <f>VLOOKUP($B343,'FRS geographical categories'!$A$2:$C$45,2,FALSE)</f>
        <v>Significantly Rural</v>
      </c>
      <c r="H343" s="223" t="str">
        <f>VLOOKUP($B343,'FRS geographical categories'!$A$2:$C$45,3,FALSE)</f>
        <v>Non-metropolitan</v>
      </c>
      <c r="I343" s="224">
        <v>0</v>
      </c>
    </row>
    <row r="344" spans="1:9" ht="15.5" x14ac:dyDescent="0.35">
      <c r="A344" s="224" t="s">
        <v>7</v>
      </c>
      <c r="B344" s="224" t="s">
        <v>51</v>
      </c>
      <c r="C344" s="224" t="s">
        <v>89</v>
      </c>
      <c r="D344" s="224" t="s">
        <v>9</v>
      </c>
      <c r="E344" s="224" t="s">
        <v>256</v>
      </c>
      <c r="F344" s="224" t="s">
        <v>250</v>
      </c>
      <c r="G344" s="223" t="str">
        <f>VLOOKUP($B344,'FRS geographical categories'!$A$2:$C$45,2,FALSE)</f>
        <v>Significantly Rural</v>
      </c>
      <c r="H344" s="223" t="str">
        <f>VLOOKUP($B344,'FRS geographical categories'!$A$2:$C$45,3,FALSE)</f>
        <v>Non-metropolitan</v>
      </c>
      <c r="I344" s="224">
        <v>0</v>
      </c>
    </row>
    <row r="345" spans="1:9" ht="15.5" x14ac:dyDescent="0.35">
      <c r="A345" s="224" t="s">
        <v>7</v>
      </c>
      <c r="B345" s="224" t="s">
        <v>51</v>
      </c>
      <c r="C345" s="224" t="s">
        <v>89</v>
      </c>
      <c r="D345" s="224" t="s">
        <v>9</v>
      </c>
      <c r="E345" s="224" t="s">
        <v>256</v>
      </c>
      <c r="F345" s="224" t="s">
        <v>10</v>
      </c>
      <c r="G345" s="223" t="str">
        <f>VLOOKUP($B345,'FRS geographical categories'!$A$2:$C$45,2,FALSE)</f>
        <v>Significantly Rural</v>
      </c>
      <c r="H345" s="223" t="str">
        <f>VLOOKUP($B345,'FRS geographical categories'!$A$2:$C$45,3,FALSE)</f>
        <v>Non-metropolitan</v>
      </c>
      <c r="I345" s="224">
        <v>0</v>
      </c>
    </row>
    <row r="346" spans="1:9" ht="15.5" x14ac:dyDescent="0.35">
      <c r="A346" s="224" t="s">
        <v>7</v>
      </c>
      <c r="B346" s="224" t="s">
        <v>52</v>
      </c>
      <c r="C346" s="224" t="s">
        <v>86</v>
      </c>
      <c r="D346" s="224" t="s">
        <v>9</v>
      </c>
      <c r="E346" s="224" t="s">
        <v>256</v>
      </c>
      <c r="F346" s="224" t="s">
        <v>248</v>
      </c>
      <c r="G346" s="223" t="str">
        <f>VLOOKUP($B346,'FRS geographical categories'!$A$2:$C$45,2,FALSE)</f>
        <v>Predominantly Urban</v>
      </c>
      <c r="H346" s="223" t="str">
        <f>VLOOKUP($B346,'FRS geographical categories'!$A$2:$C$45,3,FALSE)</f>
        <v>Metropolitan</v>
      </c>
      <c r="I346" s="224">
        <v>1759</v>
      </c>
    </row>
    <row r="347" spans="1:9" ht="15.5" x14ac:dyDescent="0.35">
      <c r="A347" s="224" t="s">
        <v>7</v>
      </c>
      <c r="B347" s="224" t="s">
        <v>52</v>
      </c>
      <c r="C347" s="224" t="s">
        <v>86</v>
      </c>
      <c r="D347" s="224" t="s">
        <v>9</v>
      </c>
      <c r="E347" s="224" t="s">
        <v>256</v>
      </c>
      <c r="F347" s="224" t="s">
        <v>249</v>
      </c>
      <c r="G347" s="223" t="str">
        <f>VLOOKUP($B347,'FRS geographical categories'!$A$2:$C$45,2,FALSE)</f>
        <v>Predominantly Urban</v>
      </c>
      <c r="H347" s="223" t="str">
        <f>VLOOKUP($B347,'FRS geographical categories'!$A$2:$C$45,3,FALSE)</f>
        <v>Metropolitan</v>
      </c>
      <c r="I347" s="224">
        <v>6216</v>
      </c>
    </row>
    <row r="348" spans="1:9" ht="15.5" x14ac:dyDescent="0.35">
      <c r="A348" s="224" t="s">
        <v>7</v>
      </c>
      <c r="B348" s="224" t="s">
        <v>52</v>
      </c>
      <c r="C348" s="224" t="s">
        <v>86</v>
      </c>
      <c r="D348" s="224" t="s">
        <v>9</v>
      </c>
      <c r="E348" s="224" t="s">
        <v>256</v>
      </c>
      <c r="F348" s="224" t="s">
        <v>250</v>
      </c>
      <c r="G348" s="223" t="str">
        <f>VLOOKUP($B348,'FRS geographical categories'!$A$2:$C$45,2,FALSE)</f>
        <v>Predominantly Urban</v>
      </c>
      <c r="H348" s="223" t="str">
        <f>VLOOKUP($B348,'FRS geographical categories'!$A$2:$C$45,3,FALSE)</f>
        <v>Metropolitan</v>
      </c>
      <c r="I348" s="224">
        <v>4038</v>
      </c>
    </row>
    <row r="349" spans="1:9" ht="15.5" x14ac:dyDescent="0.35">
      <c r="A349" s="224" t="s">
        <v>7</v>
      </c>
      <c r="B349" s="224" t="s">
        <v>52</v>
      </c>
      <c r="C349" s="224" t="s">
        <v>86</v>
      </c>
      <c r="D349" s="224" t="s">
        <v>9</v>
      </c>
      <c r="E349" s="224" t="s">
        <v>256</v>
      </c>
      <c r="F349" s="224" t="s">
        <v>10</v>
      </c>
      <c r="G349" s="223" t="str">
        <f>VLOOKUP($B349,'FRS geographical categories'!$A$2:$C$45,2,FALSE)</f>
        <v>Predominantly Urban</v>
      </c>
      <c r="H349" s="223" t="str">
        <f>VLOOKUP($B349,'FRS geographical categories'!$A$2:$C$45,3,FALSE)</f>
        <v>Metropolitan</v>
      </c>
      <c r="I349" s="224">
        <v>16350</v>
      </c>
    </row>
    <row r="350" spans="1:9" ht="15.5" x14ac:dyDescent="0.35">
      <c r="A350" s="224" t="s">
        <v>7</v>
      </c>
      <c r="B350" s="224" t="s">
        <v>52</v>
      </c>
      <c r="C350" s="224" t="s">
        <v>89</v>
      </c>
      <c r="D350" s="224" t="s">
        <v>9</v>
      </c>
      <c r="E350" s="224" t="s">
        <v>256</v>
      </c>
      <c r="F350" s="224" t="s">
        <v>248</v>
      </c>
      <c r="G350" s="223" t="str">
        <f>VLOOKUP($B350,'FRS geographical categories'!$A$2:$C$45,2,FALSE)</f>
        <v>Predominantly Urban</v>
      </c>
      <c r="H350" s="223" t="str">
        <f>VLOOKUP($B350,'FRS geographical categories'!$A$2:$C$45,3,FALSE)</f>
        <v>Metropolitan</v>
      </c>
      <c r="I350" s="224">
        <v>0</v>
      </c>
    </row>
    <row r="351" spans="1:9" ht="15.5" x14ac:dyDescent="0.35">
      <c r="A351" s="224" t="s">
        <v>7</v>
      </c>
      <c r="B351" s="224" t="s">
        <v>52</v>
      </c>
      <c r="C351" s="224" t="s">
        <v>89</v>
      </c>
      <c r="D351" s="224" t="s">
        <v>9</v>
      </c>
      <c r="E351" s="224" t="s">
        <v>256</v>
      </c>
      <c r="F351" s="224" t="s">
        <v>249</v>
      </c>
      <c r="G351" s="223" t="str">
        <f>VLOOKUP($B351,'FRS geographical categories'!$A$2:$C$45,2,FALSE)</f>
        <v>Predominantly Urban</v>
      </c>
      <c r="H351" s="223" t="str">
        <f>VLOOKUP($B351,'FRS geographical categories'!$A$2:$C$45,3,FALSE)</f>
        <v>Metropolitan</v>
      </c>
      <c r="I351" s="224">
        <v>0</v>
      </c>
    </row>
    <row r="352" spans="1:9" ht="15.5" x14ac:dyDescent="0.35">
      <c r="A352" s="224" t="s">
        <v>7</v>
      </c>
      <c r="B352" s="224" t="s">
        <v>52</v>
      </c>
      <c r="C352" s="224" t="s">
        <v>89</v>
      </c>
      <c r="D352" s="224" t="s">
        <v>9</v>
      </c>
      <c r="E352" s="224" t="s">
        <v>256</v>
      </c>
      <c r="F352" s="224" t="s">
        <v>250</v>
      </c>
      <c r="G352" s="223" t="str">
        <f>VLOOKUP($B352,'FRS geographical categories'!$A$2:$C$45,2,FALSE)</f>
        <v>Predominantly Urban</v>
      </c>
      <c r="H352" s="223" t="str">
        <f>VLOOKUP($B352,'FRS geographical categories'!$A$2:$C$45,3,FALSE)</f>
        <v>Metropolitan</v>
      </c>
      <c r="I352" s="224">
        <v>0</v>
      </c>
    </row>
    <row r="353" spans="1:9" ht="15.5" x14ac:dyDescent="0.35">
      <c r="A353" s="224" t="s">
        <v>7</v>
      </c>
      <c r="B353" s="224" t="s">
        <v>52</v>
      </c>
      <c r="C353" s="224" t="s">
        <v>89</v>
      </c>
      <c r="D353" s="224" t="s">
        <v>9</v>
      </c>
      <c r="E353" s="224" t="s">
        <v>256</v>
      </c>
      <c r="F353" s="224" t="s">
        <v>10</v>
      </c>
      <c r="G353" s="223" t="str">
        <f>VLOOKUP($B353,'FRS geographical categories'!$A$2:$C$45,2,FALSE)</f>
        <v>Predominantly Urban</v>
      </c>
      <c r="H353" s="223" t="str">
        <f>VLOOKUP($B353,'FRS geographical categories'!$A$2:$C$45,3,FALSE)</f>
        <v>Metropolitan</v>
      </c>
      <c r="I353" s="224">
        <v>0</v>
      </c>
    </row>
    <row r="354" spans="1:9" ht="15.5" x14ac:dyDescent="0.35">
      <c r="A354" s="224" t="s">
        <v>53</v>
      </c>
      <c r="B354" s="224" t="s">
        <v>8</v>
      </c>
      <c r="C354" s="224" t="s">
        <v>86</v>
      </c>
      <c r="D354" s="224" t="s">
        <v>9</v>
      </c>
      <c r="E354" s="224" t="s">
        <v>256</v>
      </c>
      <c r="F354" s="224" t="s">
        <v>248</v>
      </c>
      <c r="G354" s="223" t="str">
        <f>VLOOKUP($B354,'FRS geographical categories'!$A$2:$C$45,2,FALSE)</f>
        <v>Predominantly Urban</v>
      </c>
      <c r="H354" s="223" t="str">
        <f>VLOOKUP($B354,'FRS geographical categories'!$A$2:$C$45,3,FALSE)</f>
        <v>Non-metropolitan</v>
      </c>
      <c r="I354" s="224">
        <v>560</v>
      </c>
    </row>
    <row r="355" spans="1:9" ht="15.5" x14ac:dyDescent="0.35">
      <c r="A355" s="224" t="s">
        <v>53</v>
      </c>
      <c r="B355" s="224" t="s">
        <v>8</v>
      </c>
      <c r="C355" s="224" t="s">
        <v>86</v>
      </c>
      <c r="D355" s="224" t="s">
        <v>9</v>
      </c>
      <c r="E355" s="224" t="s">
        <v>256</v>
      </c>
      <c r="F355" s="224" t="s">
        <v>249</v>
      </c>
      <c r="G355" s="223" t="str">
        <f>VLOOKUP($B355,'FRS geographical categories'!$A$2:$C$45,2,FALSE)</f>
        <v>Predominantly Urban</v>
      </c>
      <c r="H355" s="223" t="str">
        <f>VLOOKUP($B355,'FRS geographical categories'!$A$2:$C$45,3,FALSE)</f>
        <v>Non-metropolitan</v>
      </c>
      <c r="I355" s="224">
        <v>2616</v>
      </c>
    </row>
    <row r="356" spans="1:9" ht="15.5" x14ac:dyDescent="0.35">
      <c r="A356" s="224" t="s">
        <v>53</v>
      </c>
      <c r="B356" s="224" t="s">
        <v>8</v>
      </c>
      <c r="C356" s="224" t="s">
        <v>86</v>
      </c>
      <c r="D356" s="224" t="s">
        <v>9</v>
      </c>
      <c r="E356" s="224" t="s">
        <v>256</v>
      </c>
      <c r="F356" s="224" t="s">
        <v>250</v>
      </c>
      <c r="G356" s="223" t="str">
        <f>VLOOKUP($B356,'FRS geographical categories'!$A$2:$C$45,2,FALSE)</f>
        <v>Predominantly Urban</v>
      </c>
      <c r="H356" s="223" t="str">
        <f>VLOOKUP($B356,'FRS geographical categories'!$A$2:$C$45,3,FALSE)</f>
        <v>Non-metropolitan</v>
      </c>
      <c r="I356" s="224">
        <v>1983</v>
      </c>
    </row>
    <row r="357" spans="1:9" ht="15.5" x14ac:dyDescent="0.35">
      <c r="A357" s="224" t="s">
        <v>53</v>
      </c>
      <c r="B357" s="224" t="s">
        <v>8</v>
      </c>
      <c r="C357" s="224" t="s">
        <v>86</v>
      </c>
      <c r="D357" s="224" t="s">
        <v>9</v>
      </c>
      <c r="E357" s="224" t="s">
        <v>256</v>
      </c>
      <c r="F357" s="224" t="s">
        <v>10</v>
      </c>
      <c r="G357" s="223" t="str">
        <f>VLOOKUP($B357,'FRS geographical categories'!$A$2:$C$45,2,FALSE)</f>
        <v>Predominantly Urban</v>
      </c>
      <c r="H357" s="223" t="str">
        <f>VLOOKUP($B357,'FRS geographical categories'!$A$2:$C$45,3,FALSE)</f>
        <v>Non-metropolitan</v>
      </c>
      <c r="I357" s="224">
        <v>6413</v>
      </c>
    </row>
    <row r="358" spans="1:9" ht="15.5" x14ac:dyDescent="0.35">
      <c r="A358" s="224" t="s">
        <v>53</v>
      </c>
      <c r="B358" s="224" t="s">
        <v>8</v>
      </c>
      <c r="C358" s="224" t="s">
        <v>89</v>
      </c>
      <c r="D358" s="224" t="s">
        <v>9</v>
      </c>
      <c r="E358" s="224" t="s">
        <v>256</v>
      </c>
      <c r="F358" s="224" t="s">
        <v>248</v>
      </c>
      <c r="G358" s="223" t="str">
        <f>VLOOKUP($B358,'FRS geographical categories'!$A$2:$C$45,2,FALSE)</f>
        <v>Predominantly Urban</v>
      </c>
      <c r="H358" s="223" t="str">
        <f>VLOOKUP($B358,'FRS geographical categories'!$A$2:$C$45,3,FALSE)</f>
        <v>Non-metropolitan</v>
      </c>
      <c r="I358" s="224">
        <v>21</v>
      </c>
    </row>
    <row r="359" spans="1:9" ht="15.5" x14ac:dyDescent="0.35">
      <c r="A359" s="224" t="s">
        <v>53</v>
      </c>
      <c r="B359" s="224" t="s">
        <v>8</v>
      </c>
      <c r="C359" s="224" t="s">
        <v>89</v>
      </c>
      <c r="D359" s="224" t="s">
        <v>9</v>
      </c>
      <c r="E359" s="224" t="s">
        <v>256</v>
      </c>
      <c r="F359" s="224" t="s">
        <v>249</v>
      </c>
      <c r="G359" s="223" t="str">
        <f>VLOOKUP($B359,'FRS geographical categories'!$A$2:$C$45,2,FALSE)</f>
        <v>Predominantly Urban</v>
      </c>
      <c r="H359" s="223" t="str">
        <f>VLOOKUP($B359,'FRS geographical categories'!$A$2:$C$45,3,FALSE)</f>
        <v>Non-metropolitan</v>
      </c>
      <c r="I359" s="224">
        <v>8</v>
      </c>
    </row>
    <row r="360" spans="1:9" ht="15.5" x14ac:dyDescent="0.35">
      <c r="A360" s="224" t="s">
        <v>53</v>
      </c>
      <c r="B360" s="224" t="s">
        <v>8</v>
      </c>
      <c r="C360" s="224" t="s">
        <v>89</v>
      </c>
      <c r="D360" s="224" t="s">
        <v>9</v>
      </c>
      <c r="E360" s="224" t="s">
        <v>256</v>
      </c>
      <c r="F360" s="224" t="s">
        <v>250</v>
      </c>
      <c r="G360" s="223" t="str">
        <f>VLOOKUP($B360,'FRS geographical categories'!$A$2:$C$45,2,FALSE)</f>
        <v>Predominantly Urban</v>
      </c>
      <c r="H360" s="223" t="str">
        <f>VLOOKUP($B360,'FRS geographical categories'!$A$2:$C$45,3,FALSE)</f>
        <v>Non-metropolitan</v>
      </c>
      <c r="I360" s="224">
        <v>5</v>
      </c>
    </row>
    <row r="361" spans="1:9" ht="15.5" x14ac:dyDescent="0.35">
      <c r="A361" s="224" t="s">
        <v>53</v>
      </c>
      <c r="B361" s="224" t="s">
        <v>8</v>
      </c>
      <c r="C361" s="224" t="s">
        <v>89</v>
      </c>
      <c r="D361" s="224" t="s">
        <v>9</v>
      </c>
      <c r="E361" s="224" t="s">
        <v>256</v>
      </c>
      <c r="F361" s="224" t="s">
        <v>10</v>
      </c>
      <c r="G361" s="223" t="str">
        <f>VLOOKUP($B361,'FRS geographical categories'!$A$2:$C$45,2,FALSE)</f>
        <v>Predominantly Urban</v>
      </c>
      <c r="H361" s="223" t="str">
        <f>VLOOKUP($B361,'FRS geographical categories'!$A$2:$C$45,3,FALSE)</f>
        <v>Non-metropolitan</v>
      </c>
      <c r="I361" s="224">
        <v>45</v>
      </c>
    </row>
    <row r="362" spans="1:9" ht="15.5" x14ac:dyDescent="0.35">
      <c r="A362" s="224" t="s">
        <v>53</v>
      </c>
      <c r="B362" s="224" t="s">
        <v>11</v>
      </c>
      <c r="C362" s="224" t="s">
        <v>86</v>
      </c>
      <c r="D362" s="224" t="s">
        <v>9</v>
      </c>
      <c r="E362" s="224" t="s">
        <v>256</v>
      </c>
      <c r="F362" s="224" t="s">
        <v>248</v>
      </c>
      <c r="G362" s="223" t="str">
        <f>VLOOKUP($B362,'FRS geographical categories'!$A$2:$C$45,2,FALSE)</f>
        <v>Significantly Rural</v>
      </c>
      <c r="H362" s="223" t="str">
        <f>VLOOKUP($B362,'FRS geographical categories'!$A$2:$C$45,3,FALSE)</f>
        <v>Non-metropolitan</v>
      </c>
      <c r="I362" s="224">
        <v>107</v>
      </c>
    </row>
    <row r="363" spans="1:9" ht="15.5" x14ac:dyDescent="0.35">
      <c r="A363" s="224" t="s">
        <v>53</v>
      </c>
      <c r="B363" s="224" t="s">
        <v>11</v>
      </c>
      <c r="C363" s="224" t="s">
        <v>86</v>
      </c>
      <c r="D363" s="224" t="s">
        <v>9</v>
      </c>
      <c r="E363" s="224" t="s">
        <v>256</v>
      </c>
      <c r="F363" s="224" t="s">
        <v>249</v>
      </c>
      <c r="G363" s="223" t="str">
        <f>VLOOKUP($B363,'FRS geographical categories'!$A$2:$C$45,2,FALSE)</f>
        <v>Significantly Rural</v>
      </c>
      <c r="H363" s="223" t="str">
        <f>VLOOKUP($B363,'FRS geographical categories'!$A$2:$C$45,3,FALSE)</f>
        <v>Non-metropolitan</v>
      </c>
      <c r="I363" s="224">
        <v>404</v>
      </c>
    </row>
    <row r="364" spans="1:9" ht="15.5" x14ac:dyDescent="0.35">
      <c r="A364" s="224" t="s">
        <v>53</v>
      </c>
      <c r="B364" s="224" t="s">
        <v>11</v>
      </c>
      <c r="C364" s="224" t="s">
        <v>86</v>
      </c>
      <c r="D364" s="224" t="s">
        <v>9</v>
      </c>
      <c r="E364" s="224" t="s">
        <v>256</v>
      </c>
      <c r="F364" s="224" t="s">
        <v>250</v>
      </c>
      <c r="G364" s="223" t="str">
        <f>VLOOKUP($B364,'FRS geographical categories'!$A$2:$C$45,2,FALSE)</f>
        <v>Significantly Rural</v>
      </c>
      <c r="H364" s="223" t="str">
        <f>VLOOKUP($B364,'FRS geographical categories'!$A$2:$C$45,3,FALSE)</f>
        <v>Non-metropolitan</v>
      </c>
      <c r="I364" s="224">
        <v>2727</v>
      </c>
    </row>
    <row r="365" spans="1:9" ht="15.5" x14ac:dyDescent="0.35">
      <c r="A365" s="224" t="s">
        <v>53</v>
      </c>
      <c r="B365" s="224" t="s">
        <v>11</v>
      </c>
      <c r="C365" s="224" t="s">
        <v>86</v>
      </c>
      <c r="D365" s="224" t="s">
        <v>9</v>
      </c>
      <c r="E365" s="224" t="s">
        <v>256</v>
      </c>
      <c r="F365" s="224" t="s">
        <v>10</v>
      </c>
      <c r="G365" s="223" t="str">
        <f>VLOOKUP($B365,'FRS geographical categories'!$A$2:$C$45,2,FALSE)</f>
        <v>Significantly Rural</v>
      </c>
      <c r="H365" s="223" t="str">
        <f>VLOOKUP($B365,'FRS geographical categories'!$A$2:$C$45,3,FALSE)</f>
        <v>Non-metropolitan</v>
      </c>
      <c r="I365" s="224">
        <v>5701</v>
      </c>
    </row>
    <row r="366" spans="1:9" ht="15.5" x14ac:dyDescent="0.35">
      <c r="A366" s="224" t="s">
        <v>53</v>
      </c>
      <c r="B366" s="224" t="s">
        <v>11</v>
      </c>
      <c r="C366" s="224" t="s">
        <v>89</v>
      </c>
      <c r="D366" s="224" t="s">
        <v>9</v>
      </c>
      <c r="E366" s="224" t="s">
        <v>256</v>
      </c>
      <c r="F366" s="224" t="s">
        <v>248</v>
      </c>
      <c r="G366" s="223" t="str">
        <f>VLOOKUP($B366,'FRS geographical categories'!$A$2:$C$45,2,FALSE)</f>
        <v>Significantly Rural</v>
      </c>
      <c r="H366" s="223" t="str">
        <f>VLOOKUP($B366,'FRS geographical categories'!$A$2:$C$45,3,FALSE)</f>
        <v>Non-metropolitan</v>
      </c>
      <c r="I366" s="224">
        <v>0</v>
      </c>
    </row>
    <row r="367" spans="1:9" ht="15.5" x14ac:dyDescent="0.35">
      <c r="A367" s="224" t="s">
        <v>53</v>
      </c>
      <c r="B367" s="224" t="s">
        <v>11</v>
      </c>
      <c r="C367" s="224" t="s">
        <v>89</v>
      </c>
      <c r="D367" s="224" t="s">
        <v>9</v>
      </c>
      <c r="E367" s="224" t="s">
        <v>256</v>
      </c>
      <c r="F367" s="224" t="s">
        <v>249</v>
      </c>
      <c r="G367" s="223" t="str">
        <f>VLOOKUP($B367,'FRS geographical categories'!$A$2:$C$45,2,FALSE)</f>
        <v>Significantly Rural</v>
      </c>
      <c r="H367" s="223" t="str">
        <f>VLOOKUP($B367,'FRS geographical categories'!$A$2:$C$45,3,FALSE)</f>
        <v>Non-metropolitan</v>
      </c>
      <c r="I367" s="224">
        <v>1</v>
      </c>
    </row>
    <row r="368" spans="1:9" ht="15.5" x14ac:dyDescent="0.35">
      <c r="A368" s="224" t="s">
        <v>53</v>
      </c>
      <c r="B368" s="224" t="s">
        <v>11</v>
      </c>
      <c r="C368" s="224" t="s">
        <v>89</v>
      </c>
      <c r="D368" s="224" t="s">
        <v>9</v>
      </c>
      <c r="E368" s="224" t="s">
        <v>256</v>
      </c>
      <c r="F368" s="224" t="s">
        <v>250</v>
      </c>
      <c r="G368" s="223" t="str">
        <f>VLOOKUP($B368,'FRS geographical categories'!$A$2:$C$45,2,FALSE)</f>
        <v>Significantly Rural</v>
      </c>
      <c r="H368" s="223" t="str">
        <f>VLOOKUP($B368,'FRS geographical categories'!$A$2:$C$45,3,FALSE)</f>
        <v>Non-metropolitan</v>
      </c>
      <c r="I368" s="224">
        <v>69</v>
      </c>
    </row>
    <row r="369" spans="1:9" ht="15.5" x14ac:dyDescent="0.35">
      <c r="A369" s="224" t="s">
        <v>53</v>
      </c>
      <c r="B369" s="224" t="s">
        <v>11</v>
      </c>
      <c r="C369" s="224" t="s">
        <v>89</v>
      </c>
      <c r="D369" s="224" t="s">
        <v>9</v>
      </c>
      <c r="E369" s="224" t="s">
        <v>256</v>
      </c>
      <c r="F369" s="224" t="s">
        <v>10</v>
      </c>
      <c r="G369" s="223" t="str">
        <f>VLOOKUP($B369,'FRS geographical categories'!$A$2:$C$45,2,FALSE)</f>
        <v>Significantly Rural</v>
      </c>
      <c r="H369" s="223" t="str">
        <f>VLOOKUP($B369,'FRS geographical categories'!$A$2:$C$45,3,FALSE)</f>
        <v>Non-metropolitan</v>
      </c>
      <c r="I369" s="224">
        <v>105</v>
      </c>
    </row>
    <row r="370" spans="1:9" ht="15.5" x14ac:dyDescent="0.35">
      <c r="A370" s="224" t="s">
        <v>53</v>
      </c>
      <c r="B370" s="224" t="s">
        <v>12</v>
      </c>
      <c r="C370" s="224" t="s">
        <v>86</v>
      </c>
      <c r="D370" s="224" t="s">
        <v>9</v>
      </c>
      <c r="E370" s="224" t="s">
        <v>256</v>
      </c>
      <c r="F370" s="224" t="s">
        <v>248</v>
      </c>
      <c r="G370" s="223" t="str">
        <f>VLOOKUP($B370,'FRS geographical categories'!$A$2:$C$45,2,FALSE)</f>
        <v>Predominantly Urban</v>
      </c>
      <c r="H370" s="223" t="str">
        <f>VLOOKUP($B370,'FRS geographical categories'!$A$2:$C$45,3,FALSE)</f>
        <v>Non-metropolitan</v>
      </c>
      <c r="I370" s="224">
        <v>326</v>
      </c>
    </row>
    <row r="371" spans="1:9" ht="15.5" x14ac:dyDescent="0.35">
      <c r="A371" s="224" t="s">
        <v>53</v>
      </c>
      <c r="B371" s="224" t="s">
        <v>12</v>
      </c>
      <c r="C371" s="224" t="s">
        <v>86</v>
      </c>
      <c r="D371" s="224" t="s">
        <v>9</v>
      </c>
      <c r="E371" s="224" t="s">
        <v>256</v>
      </c>
      <c r="F371" s="224" t="s">
        <v>249</v>
      </c>
      <c r="G371" s="223" t="str">
        <f>VLOOKUP($B371,'FRS geographical categories'!$A$2:$C$45,2,FALSE)</f>
        <v>Predominantly Urban</v>
      </c>
      <c r="H371" s="223" t="str">
        <f>VLOOKUP($B371,'FRS geographical categories'!$A$2:$C$45,3,FALSE)</f>
        <v>Non-metropolitan</v>
      </c>
      <c r="I371" s="224">
        <v>1740</v>
      </c>
    </row>
    <row r="372" spans="1:9" ht="15.5" x14ac:dyDescent="0.35">
      <c r="A372" s="224" t="s">
        <v>53</v>
      </c>
      <c r="B372" s="224" t="s">
        <v>12</v>
      </c>
      <c r="C372" s="224" t="s">
        <v>86</v>
      </c>
      <c r="D372" s="224" t="s">
        <v>9</v>
      </c>
      <c r="E372" s="224" t="s">
        <v>256</v>
      </c>
      <c r="F372" s="224" t="s">
        <v>250</v>
      </c>
      <c r="G372" s="223" t="str">
        <f>VLOOKUP($B372,'FRS geographical categories'!$A$2:$C$45,2,FALSE)</f>
        <v>Predominantly Urban</v>
      </c>
      <c r="H372" s="223" t="str">
        <f>VLOOKUP($B372,'FRS geographical categories'!$A$2:$C$45,3,FALSE)</f>
        <v>Non-metropolitan</v>
      </c>
      <c r="I372" s="224">
        <v>4907</v>
      </c>
    </row>
    <row r="373" spans="1:9" ht="15.5" x14ac:dyDescent="0.35">
      <c r="A373" s="224" t="s">
        <v>53</v>
      </c>
      <c r="B373" s="224" t="s">
        <v>12</v>
      </c>
      <c r="C373" s="224" t="s">
        <v>86</v>
      </c>
      <c r="D373" s="224" t="s">
        <v>9</v>
      </c>
      <c r="E373" s="224" t="s">
        <v>256</v>
      </c>
      <c r="F373" s="224" t="s">
        <v>10</v>
      </c>
      <c r="G373" s="223" t="str">
        <f>VLOOKUP($B373,'FRS geographical categories'!$A$2:$C$45,2,FALSE)</f>
        <v>Predominantly Urban</v>
      </c>
      <c r="H373" s="223" t="str">
        <f>VLOOKUP($B373,'FRS geographical categories'!$A$2:$C$45,3,FALSE)</f>
        <v>Non-metropolitan</v>
      </c>
      <c r="I373" s="224">
        <v>10019</v>
      </c>
    </row>
    <row r="374" spans="1:9" ht="15.5" x14ac:dyDescent="0.35">
      <c r="A374" s="224" t="s">
        <v>53</v>
      </c>
      <c r="B374" s="224" t="s">
        <v>12</v>
      </c>
      <c r="C374" s="224" t="s">
        <v>89</v>
      </c>
      <c r="D374" s="224" t="s">
        <v>9</v>
      </c>
      <c r="E374" s="224" t="s">
        <v>256</v>
      </c>
      <c r="F374" s="224" t="s">
        <v>248</v>
      </c>
      <c r="G374" s="223" t="str">
        <f>VLOOKUP($B374,'FRS geographical categories'!$A$2:$C$45,2,FALSE)</f>
        <v>Predominantly Urban</v>
      </c>
      <c r="H374" s="223" t="str">
        <f>VLOOKUP($B374,'FRS geographical categories'!$A$2:$C$45,3,FALSE)</f>
        <v>Non-metropolitan</v>
      </c>
      <c r="I374" s="224">
        <v>0</v>
      </c>
    </row>
    <row r="375" spans="1:9" ht="15.5" x14ac:dyDescent="0.35">
      <c r="A375" s="224" t="s">
        <v>53</v>
      </c>
      <c r="B375" s="224" t="s">
        <v>12</v>
      </c>
      <c r="C375" s="224" t="s">
        <v>89</v>
      </c>
      <c r="D375" s="224" t="s">
        <v>9</v>
      </c>
      <c r="E375" s="224" t="s">
        <v>256</v>
      </c>
      <c r="F375" s="224" t="s">
        <v>249</v>
      </c>
      <c r="G375" s="223" t="str">
        <f>VLOOKUP($B375,'FRS geographical categories'!$A$2:$C$45,2,FALSE)</f>
        <v>Predominantly Urban</v>
      </c>
      <c r="H375" s="223" t="str">
        <f>VLOOKUP($B375,'FRS geographical categories'!$A$2:$C$45,3,FALSE)</f>
        <v>Non-metropolitan</v>
      </c>
      <c r="I375" s="224">
        <v>0</v>
      </c>
    </row>
    <row r="376" spans="1:9" ht="15.5" x14ac:dyDescent="0.35">
      <c r="A376" s="224" t="s">
        <v>53</v>
      </c>
      <c r="B376" s="224" t="s">
        <v>12</v>
      </c>
      <c r="C376" s="224" t="s">
        <v>89</v>
      </c>
      <c r="D376" s="224" t="s">
        <v>9</v>
      </c>
      <c r="E376" s="224" t="s">
        <v>256</v>
      </c>
      <c r="F376" s="224" t="s">
        <v>250</v>
      </c>
      <c r="G376" s="223" t="str">
        <f>VLOOKUP($B376,'FRS geographical categories'!$A$2:$C$45,2,FALSE)</f>
        <v>Predominantly Urban</v>
      </c>
      <c r="H376" s="223" t="str">
        <f>VLOOKUP($B376,'FRS geographical categories'!$A$2:$C$45,3,FALSE)</f>
        <v>Non-metropolitan</v>
      </c>
      <c r="I376" s="224">
        <v>0</v>
      </c>
    </row>
    <row r="377" spans="1:9" ht="15.5" x14ac:dyDescent="0.35">
      <c r="A377" s="224" t="s">
        <v>53</v>
      </c>
      <c r="B377" s="224" t="s">
        <v>12</v>
      </c>
      <c r="C377" s="224" t="s">
        <v>89</v>
      </c>
      <c r="D377" s="224" t="s">
        <v>9</v>
      </c>
      <c r="E377" s="224" t="s">
        <v>256</v>
      </c>
      <c r="F377" s="224" t="s">
        <v>10</v>
      </c>
      <c r="G377" s="223" t="str">
        <f>VLOOKUP($B377,'FRS geographical categories'!$A$2:$C$45,2,FALSE)</f>
        <v>Predominantly Urban</v>
      </c>
      <c r="H377" s="223" t="str">
        <f>VLOOKUP($B377,'FRS geographical categories'!$A$2:$C$45,3,FALSE)</f>
        <v>Non-metropolitan</v>
      </c>
      <c r="I377" s="224">
        <v>0</v>
      </c>
    </row>
    <row r="378" spans="1:9" ht="15.5" x14ac:dyDescent="0.35">
      <c r="A378" s="224" t="s">
        <v>53</v>
      </c>
      <c r="B378" s="224" t="s">
        <v>13</v>
      </c>
      <c r="C378" s="224" t="s">
        <v>86</v>
      </c>
      <c r="D378" s="224" t="s">
        <v>9</v>
      </c>
      <c r="E378" s="224" t="s">
        <v>256</v>
      </c>
      <c r="F378" s="224" t="s">
        <v>248</v>
      </c>
      <c r="G378" s="223" t="str">
        <f>VLOOKUP($B378,'FRS geographical categories'!$A$2:$C$45,2,FALSE)</f>
        <v>Significantly Rural</v>
      </c>
      <c r="H378" s="223" t="str">
        <f>VLOOKUP($B378,'FRS geographical categories'!$A$2:$C$45,3,FALSE)</f>
        <v>Non-metropolitan</v>
      </c>
      <c r="I378" s="224">
        <v>201</v>
      </c>
    </row>
    <row r="379" spans="1:9" ht="15.5" x14ac:dyDescent="0.35">
      <c r="A379" s="224" t="s">
        <v>53</v>
      </c>
      <c r="B379" s="224" t="s">
        <v>13</v>
      </c>
      <c r="C379" s="224" t="s">
        <v>86</v>
      </c>
      <c r="D379" s="224" t="s">
        <v>9</v>
      </c>
      <c r="E379" s="224" t="s">
        <v>256</v>
      </c>
      <c r="F379" s="224" t="s">
        <v>249</v>
      </c>
      <c r="G379" s="223" t="str">
        <f>VLOOKUP($B379,'FRS geographical categories'!$A$2:$C$45,2,FALSE)</f>
        <v>Significantly Rural</v>
      </c>
      <c r="H379" s="223" t="str">
        <f>VLOOKUP($B379,'FRS geographical categories'!$A$2:$C$45,3,FALSE)</f>
        <v>Non-metropolitan</v>
      </c>
      <c r="I379" s="224">
        <v>520</v>
      </c>
    </row>
    <row r="380" spans="1:9" ht="15.5" x14ac:dyDescent="0.35">
      <c r="A380" s="224" t="s">
        <v>53</v>
      </c>
      <c r="B380" s="224" t="s">
        <v>13</v>
      </c>
      <c r="C380" s="224" t="s">
        <v>86</v>
      </c>
      <c r="D380" s="224" t="s">
        <v>9</v>
      </c>
      <c r="E380" s="224" t="s">
        <v>256</v>
      </c>
      <c r="F380" s="224" t="s">
        <v>250</v>
      </c>
      <c r="G380" s="223" t="str">
        <f>VLOOKUP($B380,'FRS geographical categories'!$A$2:$C$45,2,FALSE)</f>
        <v>Significantly Rural</v>
      </c>
      <c r="H380" s="223" t="str">
        <f>VLOOKUP($B380,'FRS geographical categories'!$A$2:$C$45,3,FALSE)</f>
        <v>Non-metropolitan</v>
      </c>
      <c r="I380" s="224">
        <v>555</v>
      </c>
    </row>
    <row r="381" spans="1:9" ht="15.5" x14ac:dyDescent="0.35">
      <c r="A381" s="224" t="s">
        <v>53</v>
      </c>
      <c r="B381" s="224" t="s">
        <v>13</v>
      </c>
      <c r="C381" s="224" t="s">
        <v>86</v>
      </c>
      <c r="D381" s="224" t="s">
        <v>9</v>
      </c>
      <c r="E381" s="224" t="s">
        <v>256</v>
      </c>
      <c r="F381" s="224" t="s">
        <v>10</v>
      </c>
      <c r="G381" s="223" t="str">
        <f>VLOOKUP($B381,'FRS geographical categories'!$A$2:$C$45,2,FALSE)</f>
        <v>Significantly Rural</v>
      </c>
      <c r="H381" s="223" t="str">
        <f>VLOOKUP($B381,'FRS geographical categories'!$A$2:$C$45,3,FALSE)</f>
        <v>Non-metropolitan</v>
      </c>
      <c r="I381" s="224">
        <v>1642</v>
      </c>
    </row>
    <row r="382" spans="1:9" ht="15.5" x14ac:dyDescent="0.35">
      <c r="A382" s="224" t="s">
        <v>53</v>
      </c>
      <c r="B382" s="224" t="s">
        <v>13</v>
      </c>
      <c r="C382" s="224" t="s">
        <v>89</v>
      </c>
      <c r="D382" s="224" t="s">
        <v>9</v>
      </c>
      <c r="E382" s="224" t="s">
        <v>256</v>
      </c>
      <c r="F382" s="224" t="s">
        <v>248</v>
      </c>
      <c r="G382" s="223" t="str">
        <f>VLOOKUP($B382,'FRS geographical categories'!$A$2:$C$45,2,FALSE)</f>
        <v>Significantly Rural</v>
      </c>
      <c r="H382" s="223" t="str">
        <f>VLOOKUP($B382,'FRS geographical categories'!$A$2:$C$45,3,FALSE)</f>
        <v>Non-metropolitan</v>
      </c>
      <c r="I382" s="224">
        <v>2</v>
      </c>
    </row>
    <row r="383" spans="1:9" ht="15.5" x14ac:dyDescent="0.35">
      <c r="A383" s="224" t="s">
        <v>53</v>
      </c>
      <c r="B383" s="224" t="s">
        <v>13</v>
      </c>
      <c r="C383" s="224" t="s">
        <v>89</v>
      </c>
      <c r="D383" s="224" t="s">
        <v>9</v>
      </c>
      <c r="E383" s="224" t="s">
        <v>256</v>
      </c>
      <c r="F383" s="224" t="s">
        <v>249</v>
      </c>
      <c r="G383" s="223" t="str">
        <f>VLOOKUP($B383,'FRS geographical categories'!$A$2:$C$45,2,FALSE)</f>
        <v>Significantly Rural</v>
      </c>
      <c r="H383" s="223" t="str">
        <f>VLOOKUP($B383,'FRS geographical categories'!$A$2:$C$45,3,FALSE)</f>
        <v>Non-metropolitan</v>
      </c>
      <c r="I383" s="224">
        <v>0</v>
      </c>
    </row>
    <row r="384" spans="1:9" ht="15.5" x14ac:dyDescent="0.35">
      <c r="A384" s="224" t="s">
        <v>53</v>
      </c>
      <c r="B384" s="224" t="s">
        <v>13</v>
      </c>
      <c r="C384" s="224" t="s">
        <v>89</v>
      </c>
      <c r="D384" s="224" t="s">
        <v>9</v>
      </c>
      <c r="E384" s="224" t="s">
        <v>256</v>
      </c>
      <c r="F384" s="224" t="s">
        <v>250</v>
      </c>
      <c r="G384" s="223" t="str">
        <f>VLOOKUP($B384,'FRS geographical categories'!$A$2:$C$45,2,FALSE)</f>
        <v>Significantly Rural</v>
      </c>
      <c r="H384" s="223" t="str">
        <f>VLOOKUP($B384,'FRS geographical categories'!$A$2:$C$45,3,FALSE)</f>
        <v>Non-metropolitan</v>
      </c>
      <c r="I384" s="224">
        <v>0</v>
      </c>
    </row>
    <row r="385" spans="1:9" ht="15.5" x14ac:dyDescent="0.35">
      <c r="A385" s="224" t="s">
        <v>53</v>
      </c>
      <c r="B385" s="224" t="s">
        <v>13</v>
      </c>
      <c r="C385" s="224" t="s">
        <v>89</v>
      </c>
      <c r="D385" s="224" t="s">
        <v>9</v>
      </c>
      <c r="E385" s="224" t="s">
        <v>256</v>
      </c>
      <c r="F385" s="224" t="s">
        <v>10</v>
      </c>
      <c r="G385" s="223" t="str">
        <f>VLOOKUP($B385,'FRS geographical categories'!$A$2:$C$45,2,FALSE)</f>
        <v>Significantly Rural</v>
      </c>
      <c r="H385" s="223" t="str">
        <f>VLOOKUP($B385,'FRS geographical categories'!$A$2:$C$45,3,FALSE)</f>
        <v>Non-metropolitan</v>
      </c>
      <c r="I385" s="224">
        <v>2</v>
      </c>
    </row>
    <row r="386" spans="1:9" ht="15.5" x14ac:dyDescent="0.35">
      <c r="A386" s="224" t="s">
        <v>53</v>
      </c>
      <c r="B386" s="224" t="s">
        <v>14</v>
      </c>
      <c r="C386" s="224" t="s">
        <v>86</v>
      </c>
      <c r="D386" s="224" t="s">
        <v>9</v>
      </c>
      <c r="E386" s="224" t="s">
        <v>256</v>
      </c>
      <c r="F386" s="224" t="s">
        <v>248</v>
      </c>
      <c r="G386" s="223" t="str">
        <f>VLOOKUP($B386,'FRS geographical categories'!$A$2:$C$45,2,FALSE)</f>
        <v>Predominantly Rural</v>
      </c>
      <c r="H386" s="223" t="str">
        <f>VLOOKUP($B386,'FRS geographical categories'!$A$2:$C$45,3,FALSE)</f>
        <v>Non-metropolitan</v>
      </c>
      <c r="I386" s="224">
        <v>344</v>
      </c>
    </row>
    <row r="387" spans="1:9" ht="15.5" x14ac:dyDescent="0.35">
      <c r="A387" s="224" t="s">
        <v>53</v>
      </c>
      <c r="B387" s="224" t="s">
        <v>14</v>
      </c>
      <c r="C387" s="224" t="s">
        <v>86</v>
      </c>
      <c r="D387" s="224" t="s">
        <v>9</v>
      </c>
      <c r="E387" s="224" t="s">
        <v>256</v>
      </c>
      <c r="F387" s="224" t="s">
        <v>249</v>
      </c>
      <c r="G387" s="223" t="str">
        <f>VLOOKUP($B387,'FRS geographical categories'!$A$2:$C$45,2,FALSE)</f>
        <v>Predominantly Rural</v>
      </c>
      <c r="H387" s="223" t="str">
        <f>VLOOKUP($B387,'FRS geographical categories'!$A$2:$C$45,3,FALSE)</f>
        <v>Non-metropolitan</v>
      </c>
      <c r="I387" s="224">
        <v>1912</v>
      </c>
    </row>
    <row r="388" spans="1:9" ht="15.5" x14ac:dyDescent="0.35">
      <c r="A388" s="224" t="s">
        <v>53</v>
      </c>
      <c r="B388" s="224" t="s">
        <v>14</v>
      </c>
      <c r="C388" s="224" t="s">
        <v>86</v>
      </c>
      <c r="D388" s="224" t="s">
        <v>9</v>
      </c>
      <c r="E388" s="224" t="s">
        <v>256</v>
      </c>
      <c r="F388" s="224" t="s">
        <v>250</v>
      </c>
      <c r="G388" s="223" t="str">
        <f>VLOOKUP($B388,'FRS geographical categories'!$A$2:$C$45,2,FALSE)</f>
        <v>Predominantly Rural</v>
      </c>
      <c r="H388" s="223" t="str">
        <f>VLOOKUP($B388,'FRS geographical categories'!$A$2:$C$45,3,FALSE)</f>
        <v>Non-metropolitan</v>
      </c>
      <c r="I388" s="224">
        <v>1817</v>
      </c>
    </row>
    <row r="389" spans="1:9" ht="15.5" x14ac:dyDescent="0.35">
      <c r="A389" s="224" t="s">
        <v>53</v>
      </c>
      <c r="B389" s="224" t="s">
        <v>14</v>
      </c>
      <c r="C389" s="224" t="s">
        <v>86</v>
      </c>
      <c r="D389" s="224" t="s">
        <v>9</v>
      </c>
      <c r="E389" s="224" t="s">
        <v>256</v>
      </c>
      <c r="F389" s="224" t="s">
        <v>10</v>
      </c>
      <c r="G389" s="223" t="str">
        <f>VLOOKUP($B389,'FRS geographical categories'!$A$2:$C$45,2,FALSE)</f>
        <v>Predominantly Rural</v>
      </c>
      <c r="H389" s="223" t="str">
        <f>VLOOKUP($B389,'FRS geographical categories'!$A$2:$C$45,3,FALSE)</f>
        <v>Non-metropolitan</v>
      </c>
      <c r="I389" s="224">
        <v>4408</v>
      </c>
    </row>
    <row r="390" spans="1:9" ht="15.5" x14ac:dyDescent="0.35">
      <c r="A390" s="224" t="s">
        <v>53</v>
      </c>
      <c r="B390" s="224" t="s">
        <v>14</v>
      </c>
      <c r="C390" s="224" t="s">
        <v>89</v>
      </c>
      <c r="D390" s="224" t="s">
        <v>9</v>
      </c>
      <c r="E390" s="224" t="s">
        <v>256</v>
      </c>
      <c r="F390" s="224" t="s">
        <v>248</v>
      </c>
      <c r="G390" s="223" t="str">
        <f>VLOOKUP($B390,'FRS geographical categories'!$A$2:$C$45,2,FALSE)</f>
        <v>Predominantly Rural</v>
      </c>
      <c r="H390" s="223" t="str">
        <f>VLOOKUP($B390,'FRS geographical categories'!$A$2:$C$45,3,FALSE)</f>
        <v>Non-metropolitan</v>
      </c>
      <c r="I390" s="224">
        <v>41</v>
      </c>
    </row>
    <row r="391" spans="1:9" ht="15.5" x14ac:dyDescent="0.35">
      <c r="A391" s="224" t="s">
        <v>53</v>
      </c>
      <c r="B391" s="224" t="s">
        <v>14</v>
      </c>
      <c r="C391" s="224" t="s">
        <v>89</v>
      </c>
      <c r="D391" s="224" t="s">
        <v>9</v>
      </c>
      <c r="E391" s="224" t="s">
        <v>256</v>
      </c>
      <c r="F391" s="224" t="s">
        <v>249</v>
      </c>
      <c r="G391" s="223" t="str">
        <f>VLOOKUP($B391,'FRS geographical categories'!$A$2:$C$45,2,FALSE)</f>
        <v>Predominantly Rural</v>
      </c>
      <c r="H391" s="223" t="str">
        <f>VLOOKUP($B391,'FRS geographical categories'!$A$2:$C$45,3,FALSE)</f>
        <v>Non-metropolitan</v>
      </c>
      <c r="I391" s="224">
        <v>174</v>
      </c>
    </row>
    <row r="392" spans="1:9" ht="15.5" x14ac:dyDescent="0.35">
      <c r="A392" s="224" t="s">
        <v>53</v>
      </c>
      <c r="B392" s="224" t="s">
        <v>14</v>
      </c>
      <c r="C392" s="224" t="s">
        <v>89</v>
      </c>
      <c r="D392" s="224" t="s">
        <v>9</v>
      </c>
      <c r="E392" s="224" t="s">
        <v>256</v>
      </c>
      <c r="F392" s="224" t="s">
        <v>250</v>
      </c>
      <c r="G392" s="223" t="str">
        <f>VLOOKUP($B392,'FRS geographical categories'!$A$2:$C$45,2,FALSE)</f>
        <v>Predominantly Rural</v>
      </c>
      <c r="H392" s="223" t="str">
        <f>VLOOKUP($B392,'FRS geographical categories'!$A$2:$C$45,3,FALSE)</f>
        <v>Non-metropolitan</v>
      </c>
      <c r="I392" s="224">
        <v>361</v>
      </c>
    </row>
    <row r="393" spans="1:9" ht="15.5" x14ac:dyDescent="0.35">
      <c r="A393" s="224" t="s">
        <v>53</v>
      </c>
      <c r="B393" s="224" t="s">
        <v>14</v>
      </c>
      <c r="C393" s="224" t="s">
        <v>89</v>
      </c>
      <c r="D393" s="224" t="s">
        <v>9</v>
      </c>
      <c r="E393" s="224" t="s">
        <v>256</v>
      </c>
      <c r="F393" s="224" t="s">
        <v>10</v>
      </c>
      <c r="G393" s="223" t="str">
        <f>VLOOKUP($B393,'FRS geographical categories'!$A$2:$C$45,2,FALSE)</f>
        <v>Predominantly Rural</v>
      </c>
      <c r="H393" s="223" t="str">
        <f>VLOOKUP($B393,'FRS geographical categories'!$A$2:$C$45,3,FALSE)</f>
        <v>Non-metropolitan</v>
      </c>
      <c r="I393" s="224">
        <v>840</v>
      </c>
    </row>
    <row r="394" spans="1:9" ht="15.5" x14ac:dyDescent="0.35">
      <c r="A394" s="224" t="s">
        <v>53</v>
      </c>
      <c r="B394" s="224" t="s">
        <v>15</v>
      </c>
      <c r="C394" s="224" t="s">
        <v>86</v>
      </c>
      <c r="D394" s="224" t="s">
        <v>9</v>
      </c>
      <c r="E394" s="224" t="s">
        <v>256</v>
      </c>
      <c r="F394" s="224" t="s">
        <v>248</v>
      </c>
      <c r="G394" s="223" t="str">
        <f>VLOOKUP($B394,'FRS geographical categories'!$A$2:$C$45,2,FALSE)</f>
        <v>Significantly Rural</v>
      </c>
      <c r="H394" s="223" t="str">
        <f>VLOOKUP($B394,'FRS geographical categories'!$A$2:$C$45,3,FALSE)</f>
        <v>Non-metropolitan</v>
      </c>
      <c r="I394" s="224">
        <v>237</v>
      </c>
    </row>
    <row r="395" spans="1:9" ht="15.5" x14ac:dyDescent="0.35">
      <c r="A395" s="224" t="s">
        <v>53</v>
      </c>
      <c r="B395" s="224" t="s">
        <v>15</v>
      </c>
      <c r="C395" s="224" t="s">
        <v>86</v>
      </c>
      <c r="D395" s="224" t="s">
        <v>9</v>
      </c>
      <c r="E395" s="224" t="s">
        <v>256</v>
      </c>
      <c r="F395" s="224" t="s">
        <v>249</v>
      </c>
      <c r="G395" s="223" t="str">
        <f>VLOOKUP($B395,'FRS geographical categories'!$A$2:$C$45,2,FALSE)</f>
        <v>Significantly Rural</v>
      </c>
      <c r="H395" s="223" t="str">
        <f>VLOOKUP($B395,'FRS geographical categories'!$A$2:$C$45,3,FALSE)</f>
        <v>Non-metropolitan</v>
      </c>
      <c r="I395" s="224">
        <v>1095</v>
      </c>
    </row>
    <row r="396" spans="1:9" ht="15.5" x14ac:dyDescent="0.35">
      <c r="A396" s="224" t="s">
        <v>53</v>
      </c>
      <c r="B396" s="224" t="s">
        <v>15</v>
      </c>
      <c r="C396" s="224" t="s">
        <v>86</v>
      </c>
      <c r="D396" s="224" t="s">
        <v>9</v>
      </c>
      <c r="E396" s="224" t="s">
        <v>256</v>
      </c>
      <c r="F396" s="224" t="s">
        <v>250</v>
      </c>
      <c r="G396" s="223" t="str">
        <f>VLOOKUP($B396,'FRS geographical categories'!$A$2:$C$45,2,FALSE)</f>
        <v>Significantly Rural</v>
      </c>
      <c r="H396" s="223" t="str">
        <f>VLOOKUP($B396,'FRS geographical categories'!$A$2:$C$45,3,FALSE)</f>
        <v>Non-metropolitan</v>
      </c>
      <c r="I396" s="224">
        <v>23196</v>
      </c>
    </row>
    <row r="397" spans="1:9" ht="15.5" x14ac:dyDescent="0.35">
      <c r="A397" s="224" t="s">
        <v>53</v>
      </c>
      <c r="B397" s="224" t="s">
        <v>15</v>
      </c>
      <c r="C397" s="224" t="s">
        <v>86</v>
      </c>
      <c r="D397" s="224" t="s">
        <v>9</v>
      </c>
      <c r="E397" s="224" t="s">
        <v>256</v>
      </c>
      <c r="F397" s="224" t="s">
        <v>10</v>
      </c>
      <c r="G397" s="223" t="str">
        <f>VLOOKUP($B397,'FRS geographical categories'!$A$2:$C$45,2,FALSE)</f>
        <v>Significantly Rural</v>
      </c>
      <c r="H397" s="223" t="str">
        <f>VLOOKUP($B397,'FRS geographical categories'!$A$2:$C$45,3,FALSE)</f>
        <v>Non-metropolitan</v>
      </c>
      <c r="I397" s="224">
        <v>32539</v>
      </c>
    </row>
    <row r="398" spans="1:9" ht="15.5" x14ac:dyDescent="0.35">
      <c r="A398" s="224" t="s">
        <v>53</v>
      </c>
      <c r="B398" s="224" t="s">
        <v>15</v>
      </c>
      <c r="C398" s="224" t="s">
        <v>89</v>
      </c>
      <c r="D398" s="224" t="s">
        <v>9</v>
      </c>
      <c r="E398" s="224" t="s">
        <v>256</v>
      </c>
      <c r="F398" s="224" t="s">
        <v>248</v>
      </c>
      <c r="G398" s="223" t="str">
        <f>VLOOKUP($B398,'FRS geographical categories'!$A$2:$C$45,2,FALSE)</f>
        <v>Significantly Rural</v>
      </c>
      <c r="H398" s="223" t="str">
        <f>VLOOKUP($B398,'FRS geographical categories'!$A$2:$C$45,3,FALSE)</f>
        <v>Non-metropolitan</v>
      </c>
      <c r="I398" s="224">
        <v>0</v>
      </c>
    </row>
    <row r="399" spans="1:9" ht="15.5" x14ac:dyDescent="0.35">
      <c r="A399" s="224" t="s">
        <v>53</v>
      </c>
      <c r="B399" s="224" t="s">
        <v>15</v>
      </c>
      <c r="C399" s="224" t="s">
        <v>89</v>
      </c>
      <c r="D399" s="224" t="s">
        <v>9</v>
      </c>
      <c r="E399" s="224" t="s">
        <v>256</v>
      </c>
      <c r="F399" s="224" t="s">
        <v>249</v>
      </c>
      <c r="G399" s="223" t="str">
        <f>VLOOKUP($B399,'FRS geographical categories'!$A$2:$C$45,2,FALSE)</f>
        <v>Significantly Rural</v>
      </c>
      <c r="H399" s="223" t="str">
        <f>VLOOKUP($B399,'FRS geographical categories'!$A$2:$C$45,3,FALSE)</f>
        <v>Non-metropolitan</v>
      </c>
      <c r="I399" s="224">
        <v>0</v>
      </c>
    </row>
    <row r="400" spans="1:9" ht="15.5" x14ac:dyDescent="0.35">
      <c r="A400" s="224" t="s">
        <v>53</v>
      </c>
      <c r="B400" s="224" t="s">
        <v>15</v>
      </c>
      <c r="C400" s="224" t="s">
        <v>89</v>
      </c>
      <c r="D400" s="224" t="s">
        <v>9</v>
      </c>
      <c r="E400" s="224" t="s">
        <v>256</v>
      </c>
      <c r="F400" s="224" t="s">
        <v>250</v>
      </c>
      <c r="G400" s="223" t="str">
        <f>VLOOKUP($B400,'FRS geographical categories'!$A$2:$C$45,2,FALSE)</f>
        <v>Significantly Rural</v>
      </c>
      <c r="H400" s="223" t="str">
        <f>VLOOKUP($B400,'FRS geographical categories'!$A$2:$C$45,3,FALSE)</f>
        <v>Non-metropolitan</v>
      </c>
      <c r="I400" s="224">
        <v>0</v>
      </c>
    </row>
    <row r="401" spans="1:9" ht="15.5" x14ac:dyDescent="0.35">
      <c r="A401" s="224" t="s">
        <v>53</v>
      </c>
      <c r="B401" s="224" t="s">
        <v>15</v>
      </c>
      <c r="C401" s="224" t="s">
        <v>89</v>
      </c>
      <c r="D401" s="224" t="s">
        <v>9</v>
      </c>
      <c r="E401" s="224" t="s">
        <v>256</v>
      </c>
      <c r="F401" s="224" t="s">
        <v>10</v>
      </c>
      <c r="G401" s="223" t="str">
        <f>VLOOKUP($B401,'FRS geographical categories'!$A$2:$C$45,2,FALSE)</f>
        <v>Significantly Rural</v>
      </c>
      <c r="H401" s="223" t="str">
        <f>VLOOKUP($B401,'FRS geographical categories'!$A$2:$C$45,3,FALSE)</f>
        <v>Non-metropolitan</v>
      </c>
      <c r="I401" s="224">
        <v>0</v>
      </c>
    </row>
    <row r="402" spans="1:9" ht="15.5" x14ac:dyDescent="0.35">
      <c r="A402" s="224" t="s">
        <v>53</v>
      </c>
      <c r="B402" s="224" t="s">
        <v>16</v>
      </c>
      <c r="C402" s="224" t="s">
        <v>86</v>
      </c>
      <c r="D402" s="224" t="s">
        <v>9</v>
      </c>
      <c r="E402" s="224" t="s">
        <v>256</v>
      </c>
      <c r="F402" s="224" t="s">
        <v>248</v>
      </c>
      <c r="G402" s="223" t="str">
        <f>VLOOKUP($B402,'FRS geographical categories'!$A$2:$C$45,2,FALSE)</f>
        <v>Predominantly Urban</v>
      </c>
      <c r="H402" s="223" t="str">
        <f>VLOOKUP($B402,'FRS geographical categories'!$A$2:$C$45,3,FALSE)</f>
        <v>Non-metropolitan</v>
      </c>
      <c r="I402" s="224">
        <v>950</v>
      </c>
    </row>
    <row r="403" spans="1:9" ht="15.5" x14ac:dyDescent="0.35">
      <c r="A403" s="224" t="s">
        <v>53</v>
      </c>
      <c r="B403" s="224" t="s">
        <v>16</v>
      </c>
      <c r="C403" s="224" t="s">
        <v>86</v>
      </c>
      <c r="D403" s="224" t="s">
        <v>9</v>
      </c>
      <c r="E403" s="224" t="s">
        <v>256</v>
      </c>
      <c r="F403" s="224" t="s">
        <v>249</v>
      </c>
      <c r="G403" s="223" t="str">
        <f>VLOOKUP($B403,'FRS geographical categories'!$A$2:$C$45,2,FALSE)</f>
        <v>Predominantly Urban</v>
      </c>
      <c r="H403" s="223" t="str">
        <f>VLOOKUP($B403,'FRS geographical categories'!$A$2:$C$45,3,FALSE)</f>
        <v>Non-metropolitan</v>
      </c>
      <c r="I403" s="224">
        <v>2132</v>
      </c>
    </row>
    <row r="404" spans="1:9" ht="15.5" x14ac:dyDescent="0.35">
      <c r="A404" s="224" t="s">
        <v>53</v>
      </c>
      <c r="B404" s="224" t="s">
        <v>16</v>
      </c>
      <c r="C404" s="224" t="s">
        <v>86</v>
      </c>
      <c r="D404" s="224" t="s">
        <v>9</v>
      </c>
      <c r="E404" s="224" t="s">
        <v>256</v>
      </c>
      <c r="F404" s="224" t="s">
        <v>250</v>
      </c>
      <c r="G404" s="223" t="str">
        <f>VLOOKUP($B404,'FRS geographical categories'!$A$2:$C$45,2,FALSE)</f>
        <v>Predominantly Urban</v>
      </c>
      <c r="H404" s="223" t="str">
        <f>VLOOKUP($B404,'FRS geographical categories'!$A$2:$C$45,3,FALSE)</f>
        <v>Non-metropolitan</v>
      </c>
      <c r="I404" s="224">
        <v>4440</v>
      </c>
    </row>
    <row r="405" spans="1:9" ht="15.5" x14ac:dyDescent="0.35">
      <c r="A405" s="224" t="s">
        <v>53</v>
      </c>
      <c r="B405" s="224" t="s">
        <v>16</v>
      </c>
      <c r="C405" s="224" t="s">
        <v>86</v>
      </c>
      <c r="D405" s="224" t="s">
        <v>9</v>
      </c>
      <c r="E405" s="224" t="s">
        <v>256</v>
      </c>
      <c r="F405" s="224" t="s">
        <v>10</v>
      </c>
      <c r="G405" s="223" t="str">
        <f>VLOOKUP($B405,'FRS geographical categories'!$A$2:$C$45,2,FALSE)</f>
        <v>Predominantly Urban</v>
      </c>
      <c r="H405" s="223" t="str">
        <f>VLOOKUP($B405,'FRS geographical categories'!$A$2:$C$45,3,FALSE)</f>
        <v>Non-metropolitan</v>
      </c>
      <c r="I405" s="224">
        <v>16160</v>
      </c>
    </row>
    <row r="406" spans="1:9" ht="15.5" x14ac:dyDescent="0.35">
      <c r="A406" s="224" t="s">
        <v>53</v>
      </c>
      <c r="B406" s="224" t="s">
        <v>16</v>
      </c>
      <c r="C406" s="224" t="s">
        <v>89</v>
      </c>
      <c r="D406" s="224" t="s">
        <v>9</v>
      </c>
      <c r="E406" s="224" t="s">
        <v>256</v>
      </c>
      <c r="F406" s="224" t="s">
        <v>248</v>
      </c>
      <c r="G406" s="223" t="str">
        <f>VLOOKUP($B406,'FRS geographical categories'!$A$2:$C$45,2,FALSE)</f>
        <v>Predominantly Urban</v>
      </c>
      <c r="H406" s="223" t="str">
        <f>VLOOKUP($B406,'FRS geographical categories'!$A$2:$C$45,3,FALSE)</f>
        <v>Non-metropolitan</v>
      </c>
      <c r="I406" s="224">
        <v>100</v>
      </c>
    </row>
    <row r="407" spans="1:9" ht="15.5" x14ac:dyDescent="0.35">
      <c r="A407" s="224" t="s">
        <v>53</v>
      </c>
      <c r="B407" s="224" t="s">
        <v>16</v>
      </c>
      <c r="C407" s="224" t="s">
        <v>89</v>
      </c>
      <c r="D407" s="224" t="s">
        <v>9</v>
      </c>
      <c r="E407" s="224" t="s">
        <v>256</v>
      </c>
      <c r="F407" s="224" t="s">
        <v>249</v>
      </c>
      <c r="G407" s="223" t="str">
        <f>VLOOKUP($B407,'FRS geographical categories'!$A$2:$C$45,2,FALSE)</f>
        <v>Predominantly Urban</v>
      </c>
      <c r="H407" s="223" t="str">
        <f>VLOOKUP($B407,'FRS geographical categories'!$A$2:$C$45,3,FALSE)</f>
        <v>Non-metropolitan</v>
      </c>
      <c r="I407" s="224">
        <v>323</v>
      </c>
    </row>
    <row r="408" spans="1:9" ht="15.5" x14ac:dyDescent="0.35">
      <c r="A408" s="224" t="s">
        <v>53</v>
      </c>
      <c r="B408" s="224" t="s">
        <v>16</v>
      </c>
      <c r="C408" s="224" t="s">
        <v>89</v>
      </c>
      <c r="D408" s="224" t="s">
        <v>9</v>
      </c>
      <c r="E408" s="224" t="s">
        <v>256</v>
      </c>
      <c r="F408" s="224" t="s">
        <v>250</v>
      </c>
      <c r="G408" s="223" t="str">
        <f>VLOOKUP($B408,'FRS geographical categories'!$A$2:$C$45,2,FALSE)</f>
        <v>Predominantly Urban</v>
      </c>
      <c r="H408" s="223" t="str">
        <f>VLOOKUP($B408,'FRS geographical categories'!$A$2:$C$45,3,FALSE)</f>
        <v>Non-metropolitan</v>
      </c>
      <c r="I408" s="224">
        <v>408</v>
      </c>
    </row>
    <row r="409" spans="1:9" ht="15.5" x14ac:dyDescent="0.35">
      <c r="A409" s="224" t="s">
        <v>53</v>
      </c>
      <c r="B409" s="224" t="s">
        <v>16</v>
      </c>
      <c r="C409" s="224" t="s">
        <v>89</v>
      </c>
      <c r="D409" s="224" t="s">
        <v>9</v>
      </c>
      <c r="E409" s="224" t="s">
        <v>256</v>
      </c>
      <c r="F409" s="224" t="s">
        <v>10</v>
      </c>
      <c r="G409" s="223" t="str">
        <f>VLOOKUP($B409,'FRS geographical categories'!$A$2:$C$45,2,FALSE)</f>
        <v>Predominantly Urban</v>
      </c>
      <c r="H409" s="223" t="str">
        <f>VLOOKUP($B409,'FRS geographical categories'!$A$2:$C$45,3,FALSE)</f>
        <v>Non-metropolitan</v>
      </c>
      <c r="I409" s="224">
        <v>1133</v>
      </c>
    </row>
    <row r="410" spans="1:9" ht="15.5" x14ac:dyDescent="0.35">
      <c r="A410" s="224" t="s">
        <v>53</v>
      </c>
      <c r="B410" s="224" t="s">
        <v>17</v>
      </c>
      <c r="C410" s="224" t="s">
        <v>86</v>
      </c>
      <c r="D410" s="224" t="s">
        <v>9</v>
      </c>
      <c r="E410" s="224" t="s">
        <v>256</v>
      </c>
      <c r="F410" s="224" t="s">
        <v>248</v>
      </c>
      <c r="G410" s="223" t="str">
        <f>VLOOKUP($B410,'FRS geographical categories'!$A$2:$C$45,2,FALSE)</f>
        <v>Predominantly Rural</v>
      </c>
      <c r="H410" s="223" t="str">
        <f>VLOOKUP($B410,'FRS geographical categories'!$A$2:$C$45,3,FALSE)</f>
        <v>Non-metropolitan</v>
      </c>
      <c r="I410" s="224">
        <v>1464</v>
      </c>
    </row>
    <row r="411" spans="1:9" ht="15.5" x14ac:dyDescent="0.35">
      <c r="A411" s="224" t="s">
        <v>53</v>
      </c>
      <c r="B411" s="224" t="s">
        <v>17</v>
      </c>
      <c r="C411" s="224" t="s">
        <v>86</v>
      </c>
      <c r="D411" s="224" t="s">
        <v>9</v>
      </c>
      <c r="E411" s="224" t="s">
        <v>256</v>
      </c>
      <c r="F411" s="224" t="s">
        <v>249</v>
      </c>
      <c r="G411" s="223" t="str">
        <f>VLOOKUP($B411,'FRS geographical categories'!$A$2:$C$45,2,FALSE)</f>
        <v>Predominantly Rural</v>
      </c>
      <c r="H411" s="223" t="str">
        <f>VLOOKUP($B411,'FRS geographical categories'!$A$2:$C$45,3,FALSE)</f>
        <v>Non-metropolitan</v>
      </c>
      <c r="I411" s="224">
        <v>373</v>
      </c>
    </row>
    <row r="412" spans="1:9" ht="15.5" x14ac:dyDescent="0.35">
      <c r="A412" s="224" t="s">
        <v>53</v>
      </c>
      <c r="B412" s="224" t="s">
        <v>17</v>
      </c>
      <c r="C412" s="224" t="s">
        <v>86</v>
      </c>
      <c r="D412" s="224" t="s">
        <v>9</v>
      </c>
      <c r="E412" s="224" t="s">
        <v>256</v>
      </c>
      <c r="F412" s="224" t="s">
        <v>250</v>
      </c>
      <c r="G412" s="223" t="str">
        <f>VLOOKUP($B412,'FRS geographical categories'!$A$2:$C$45,2,FALSE)</f>
        <v>Predominantly Rural</v>
      </c>
      <c r="H412" s="223" t="str">
        <f>VLOOKUP($B412,'FRS geographical categories'!$A$2:$C$45,3,FALSE)</f>
        <v>Non-metropolitan</v>
      </c>
      <c r="I412" s="224">
        <v>80</v>
      </c>
    </row>
    <row r="413" spans="1:9" ht="15.5" x14ac:dyDescent="0.35">
      <c r="A413" s="224" t="s">
        <v>53</v>
      </c>
      <c r="B413" s="224" t="s">
        <v>17</v>
      </c>
      <c r="C413" s="224" t="s">
        <v>86</v>
      </c>
      <c r="D413" s="224" t="s">
        <v>9</v>
      </c>
      <c r="E413" s="224" t="s">
        <v>256</v>
      </c>
      <c r="F413" s="224" t="s">
        <v>10</v>
      </c>
      <c r="G413" s="223" t="str">
        <f>VLOOKUP($B413,'FRS geographical categories'!$A$2:$C$45,2,FALSE)</f>
        <v>Predominantly Rural</v>
      </c>
      <c r="H413" s="223" t="str">
        <f>VLOOKUP($B413,'FRS geographical categories'!$A$2:$C$45,3,FALSE)</f>
        <v>Non-metropolitan</v>
      </c>
      <c r="I413" s="224">
        <v>4764</v>
      </c>
    </row>
    <row r="414" spans="1:9" ht="15.5" x14ac:dyDescent="0.35">
      <c r="A414" s="224" t="s">
        <v>53</v>
      </c>
      <c r="B414" s="224" t="s">
        <v>17</v>
      </c>
      <c r="C414" s="224" t="s">
        <v>89</v>
      </c>
      <c r="D414" s="224" t="s">
        <v>9</v>
      </c>
      <c r="E414" s="224" t="s">
        <v>256</v>
      </c>
      <c r="F414" s="224" t="s">
        <v>248</v>
      </c>
      <c r="G414" s="223" t="str">
        <f>VLOOKUP($B414,'FRS geographical categories'!$A$2:$C$45,2,FALSE)</f>
        <v>Predominantly Rural</v>
      </c>
      <c r="H414" s="223" t="str">
        <f>VLOOKUP($B414,'FRS geographical categories'!$A$2:$C$45,3,FALSE)</f>
        <v>Non-metropolitan</v>
      </c>
      <c r="I414" s="224">
        <v>635</v>
      </c>
    </row>
    <row r="415" spans="1:9" ht="15.5" x14ac:dyDescent="0.35">
      <c r="A415" s="224" t="s">
        <v>53</v>
      </c>
      <c r="B415" s="224" t="s">
        <v>17</v>
      </c>
      <c r="C415" s="224" t="s">
        <v>89</v>
      </c>
      <c r="D415" s="224" t="s">
        <v>9</v>
      </c>
      <c r="E415" s="224" t="s">
        <v>256</v>
      </c>
      <c r="F415" s="224" t="s">
        <v>249</v>
      </c>
      <c r="G415" s="223" t="str">
        <f>VLOOKUP($B415,'FRS geographical categories'!$A$2:$C$45,2,FALSE)</f>
        <v>Predominantly Rural</v>
      </c>
      <c r="H415" s="223" t="str">
        <f>VLOOKUP($B415,'FRS geographical categories'!$A$2:$C$45,3,FALSE)</f>
        <v>Non-metropolitan</v>
      </c>
      <c r="I415" s="224">
        <v>157</v>
      </c>
    </row>
    <row r="416" spans="1:9" ht="15.5" x14ac:dyDescent="0.35">
      <c r="A416" s="224" t="s">
        <v>53</v>
      </c>
      <c r="B416" s="224" t="s">
        <v>17</v>
      </c>
      <c r="C416" s="224" t="s">
        <v>89</v>
      </c>
      <c r="D416" s="224" t="s">
        <v>9</v>
      </c>
      <c r="E416" s="224" t="s">
        <v>256</v>
      </c>
      <c r="F416" s="224" t="s">
        <v>250</v>
      </c>
      <c r="G416" s="223" t="str">
        <f>VLOOKUP($B416,'FRS geographical categories'!$A$2:$C$45,2,FALSE)</f>
        <v>Predominantly Rural</v>
      </c>
      <c r="H416" s="223" t="str">
        <f>VLOOKUP($B416,'FRS geographical categories'!$A$2:$C$45,3,FALSE)</f>
        <v>Non-metropolitan</v>
      </c>
      <c r="I416" s="224">
        <v>3</v>
      </c>
    </row>
    <row r="417" spans="1:9" ht="15.5" x14ac:dyDescent="0.35">
      <c r="A417" s="224" t="s">
        <v>53</v>
      </c>
      <c r="B417" s="224" t="s">
        <v>17</v>
      </c>
      <c r="C417" s="224" t="s">
        <v>89</v>
      </c>
      <c r="D417" s="224" t="s">
        <v>9</v>
      </c>
      <c r="E417" s="224" t="s">
        <v>256</v>
      </c>
      <c r="F417" s="224" t="s">
        <v>10</v>
      </c>
      <c r="G417" s="223" t="str">
        <f>VLOOKUP($B417,'FRS geographical categories'!$A$2:$C$45,2,FALSE)</f>
        <v>Predominantly Rural</v>
      </c>
      <c r="H417" s="223" t="str">
        <f>VLOOKUP($B417,'FRS geographical categories'!$A$2:$C$45,3,FALSE)</f>
        <v>Non-metropolitan</v>
      </c>
      <c r="I417" s="224">
        <v>866</v>
      </c>
    </row>
    <row r="418" spans="1:9" ht="15.5" x14ac:dyDescent="0.35">
      <c r="A418" s="224" t="s">
        <v>53</v>
      </c>
      <c r="B418" s="224" t="s">
        <v>18</v>
      </c>
      <c r="C418" s="224" t="s">
        <v>86</v>
      </c>
      <c r="D418" s="224" t="s">
        <v>9</v>
      </c>
      <c r="E418" s="224" t="s">
        <v>256</v>
      </c>
      <c r="F418" s="224" t="s">
        <v>248</v>
      </c>
      <c r="G418" s="223" t="str">
        <f>VLOOKUP($B418,'FRS geographical categories'!$A$2:$C$45,2,FALSE)</f>
        <v>Predominantly Rural</v>
      </c>
      <c r="H418" s="223" t="str">
        <f>VLOOKUP($B418,'FRS geographical categories'!$A$2:$C$45,3,FALSE)</f>
        <v>Non-metropolitan</v>
      </c>
      <c r="I418" s="224">
        <v>975</v>
      </c>
    </row>
    <row r="419" spans="1:9" ht="15.5" x14ac:dyDescent="0.35">
      <c r="A419" s="224" t="s">
        <v>53</v>
      </c>
      <c r="B419" s="224" t="s">
        <v>18</v>
      </c>
      <c r="C419" s="224" t="s">
        <v>86</v>
      </c>
      <c r="D419" s="224" t="s">
        <v>9</v>
      </c>
      <c r="E419" s="224" t="s">
        <v>256</v>
      </c>
      <c r="F419" s="224" t="s">
        <v>249</v>
      </c>
      <c r="G419" s="223" t="str">
        <f>VLOOKUP($B419,'FRS geographical categories'!$A$2:$C$45,2,FALSE)</f>
        <v>Predominantly Rural</v>
      </c>
      <c r="H419" s="223" t="str">
        <f>VLOOKUP($B419,'FRS geographical categories'!$A$2:$C$45,3,FALSE)</f>
        <v>Non-metropolitan</v>
      </c>
      <c r="I419" s="224">
        <v>1863</v>
      </c>
    </row>
    <row r="420" spans="1:9" ht="15.5" x14ac:dyDescent="0.35">
      <c r="A420" s="224" t="s">
        <v>53</v>
      </c>
      <c r="B420" s="224" t="s">
        <v>18</v>
      </c>
      <c r="C420" s="224" t="s">
        <v>86</v>
      </c>
      <c r="D420" s="224" t="s">
        <v>9</v>
      </c>
      <c r="E420" s="224" t="s">
        <v>256</v>
      </c>
      <c r="F420" s="224" t="s">
        <v>250</v>
      </c>
      <c r="G420" s="223" t="str">
        <f>VLOOKUP($B420,'FRS geographical categories'!$A$2:$C$45,2,FALSE)</f>
        <v>Predominantly Rural</v>
      </c>
      <c r="H420" s="223" t="str">
        <f>VLOOKUP($B420,'FRS geographical categories'!$A$2:$C$45,3,FALSE)</f>
        <v>Non-metropolitan</v>
      </c>
      <c r="I420" s="224">
        <v>4113</v>
      </c>
    </row>
    <row r="421" spans="1:9" ht="15.5" x14ac:dyDescent="0.35">
      <c r="A421" s="224" t="s">
        <v>53</v>
      </c>
      <c r="B421" s="224" t="s">
        <v>18</v>
      </c>
      <c r="C421" s="224" t="s">
        <v>86</v>
      </c>
      <c r="D421" s="224" t="s">
        <v>9</v>
      </c>
      <c r="E421" s="224" t="s">
        <v>256</v>
      </c>
      <c r="F421" s="224" t="s">
        <v>10</v>
      </c>
      <c r="G421" s="223" t="str">
        <f>VLOOKUP($B421,'FRS geographical categories'!$A$2:$C$45,2,FALSE)</f>
        <v>Predominantly Rural</v>
      </c>
      <c r="H421" s="223" t="str">
        <f>VLOOKUP($B421,'FRS geographical categories'!$A$2:$C$45,3,FALSE)</f>
        <v>Non-metropolitan</v>
      </c>
      <c r="I421" s="224">
        <v>9915</v>
      </c>
    </row>
    <row r="422" spans="1:9" ht="15.5" x14ac:dyDescent="0.35">
      <c r="A422" s="224" t="s">
        <v>53</v>
      </c>
      <c r="B422" s="224" t="s">
        <v>18</v>
      </c>
      <c r="C422" s="224" t="s">
        <v>89</v>
      </c>
      <c r="D422" s="224" t="s">
        <v>9</v>
      </c>
      <c r="E422" s="224" t="s">
        <v>256</v>
      </c>
      <c r="F422" s="224" t="s">
        <v>248</v>
      </c>
      <c r="G422" s="223" t="str">
        <f>VLOOKUP($B422,'FRS geographical categories'!$A$2:$C$45,2,FALSE)</f>
        <v>Predominantly Rural</v>
      </c>
      <c r="H422" s="223" t="str">
        <f>VLOOKUP($B422,'FRS geographical categories'!$A$2:$C$45,3,FALSE)</f>
        <v>Non-metropolitan</v>
      </c>
      <c r="I422" s="224">
        <v>0</v>
      </c>
    </row>
    <row r="423" spans="1:9" ht="15.5" x14ac:dyDescent="0.35">
      <c r="A423" s="224" t="s">
        <v>53</v>
      </c>
      <c r="B423" s="224" t="s">
        <v>18</v>
      </c>
      <c r="C423" s="224" t="s">
        <v>89</v>
      </c>
      <c r="D423" s="224" t="s">
        <v>9</v>
      </c>
      <c r="E423" s="224" t="s">
        <v>256</v>
      </c>
      <c r="F423" s="224" t="s">
        <v>249</v>
      </c>
      <c r="G423" s="223" t="str">
        <f>VLOOKUP($B423,'FRS geographical categories'!$A$2:$C$45,2,FALSE)</f>
        <v>Predominantly Rural</v>
      </c>
      <c r="H423" s="223" t="str">
        <f>VLOOKUP($B423,'FRS geographical categories'!$A$2:$C$45,3,FALSE)</f>
        <v>Non-metropolitan</v>
      </c>
      <c r="I423" s="224">
        <v>0</v>
      </c>
    </row>
    <row r="424" spans="1:9" ht="15.5" x14ac:dyDescent="0.35">
      <c r="A424" s="224" t="s">
        <v>53</v>
      </c>
      <c r="B424" s="224" t="s">
        <v>18</v>
      </c>
      <c r="C424" s="224" t="s">
        <v>89</v>
      </c>
      <c r="D424" s="224" t="s">
        <v>9</v>
      </c>
      <c r="E424" s="224" t="s">
        <v>256</v>
      </c>
      <c r="F424" s="224" t="s">
        <v>250</v>
      </c>
      <c r="G424" s="223" t="str">
        <f>VLOOKUP($B424,'FRS geographical categories'!$A$2:$C$45,2,FALSE)</f>
        <v>Predominantly Rural</v>
      </c>
      <c r="H424" s="223" t="str">
        <f>VLOOKUP($B424,'FRS geographical categories'!$A$2:$C$45,3,FALSE)</f>
        <v>Non-metropolitan</v>
      </c>
      <c r="I424" s="224">
        <v>0</v>
      </c>
    </row>
    <row r="425" spans="1:9" ht="15.5" x14ac:dyDescent="0.35">
      <c r="A425" s="224" t="s">
        <v>53</v>
      </c>
      <c r="B425" s="224" t="s">
        <v>18</v>
      </c>
      <c r="C425" s="224" t="s">
        <v>89</v>
      </c>
      <c r="D425" s="224" t="s">
        <v>9</v>
      </c>
      <c r="E425" s="224" t="s">
        <v>256</v>
      </c>
      <c r="F425" s="224" t="s">
        <v>10</v>
      </c>
      <c r="G425" s="223" t="str">
        <f>VLOOKUP($B425,'FRS geographical categories'!$A$2:$C$45,2,FALSE)</f>
        <v>Predominantly Rural</v>
      </c>
      <c r="H425" s="223" t="str">
        <f>VLOOKUP($B425,'FRS geographical categories'!$A$2:$C$45,3,FALSE)</f>
        <v>Non-metropolitan</v>
      </c>
      <c r="I425" s="224">
        <v>0</v>
      </c>
    </row>
    <row r="426" spans="1:9" ht="15.5" x14ac:dyDescent="0.35">
      <c r="A426" s="224" t="s">
        <v>53</v>
      </c>
      <c r="B426" s="224" t="s">
        <v>19</v>
      </c>
      <c r="C426" s="224" t="s">
        <v>86</v>
      </c>
      <c r="D426" s="224" t="s">
        <v>9</v>
      </c>
      <c r="E426" s="224" t="s">
        <v>256</v>
      </c>
      <c r="F426" s="224" t="s">
        <v>248</v>
      </c>
      <c r="G426" s="223" t="str">
        <f>VLOOKUP($B426,'FRS geographical categories'!$A$2:$C$45,2,FALSE)</f>
        <v>Significantly Rural</v>
      </c>
      <c r="H426" s="223" t="str">
        <f>VLOOKUP($B426,'FRS geographical categories'!$A$2:$C$45,3,FALSE)</f>
        <v>Non-metropolitan</v>
      </c>
      <c r="I426" s="224">
        <v>949</v>
      </c>
    </row>
    <row r="427" spans="1:9" ht="15.5" x14ac:dyDescent="0.35">
      <c r="A427" s="224" t="s">
        <v>53</v>
      </c>
      <c r="B427" s="224" t="s">
        <v>19</v>
      </c>
      <c r="C427" s="224" t="s">
        <v>86</v>
      </c>
      <c r="D427" s="224" t="s">
        <v>9</v>
      </c>
      <c r="E427" s="224" t="s">
        <v>256</v>
      </c>
      <c r="F427" s="224" t="s">
        <v>249</v>
      </c>
      <c r="G427" s="223" t="str">
        <f>VLOOKUP($B427,'FRS geographical categories'!$A$2:$C$45,2,FALSE)</f>
        <v>Significantly Rural</v>
      </c>
      <c r="H427" s="223" t="str">
        <f>VLOOKUP($B427,'FRS geographical categories'!$A$2:$C$45,3,FALSE)</f>
        <v>Non-metropolitan</v>
      </c>
      <c r="I427" s="224">
        <v>3201</v>
      </c>
    </row>
    <row r="428" spans="1:9" ht="15.5" x14ac:dyDescent="0.35">
      <c r="A428" s="224" t="s">
        <v>53</v>
      </c>
      <c r="B428" s="224" t="s">
        <v>19</v>
      </c>
      <c r="C428" s="224" t="s">
        <v>86</v>
      </c>
      <c r="D428" s="224" t="s">
        <v>9</v>
      </c>
      <c r="E428" s="224" t="s">
        <v>256</v>
      </c>
      <c r="F428" s="224" t="s">
        <v>250</v>
      </c>
      <c r="G428" s="223" t="str">
        <f>VLOOKUP($B428,'FRS geographical categories'!$A$2:$C$45,2,FALSE)</f>
        <v>Significantly Rural</v>
      </c>
      <c r="H428" s="223" t="str">
        <f>VLOOKUP($B428,'FRS geographical categories'!$A$2:$C$45,3,FALSE)</f>
        <v>Non-metropolitan</v>
      </c>
      <c r="I428" s="224">
        <v>5108</v>
      </c>
    </row>
    <row r="429" spans="1:9" ht="15.5" x14ac:dyDescent="0.35">
      <c r="A429" s="224" t="s">
        <v>53</v>
      </c>
      <c r="B429" s="224" t="s">
        <v>19</v>
      </c>
      <c r="C429" s="224" t="s">
        <v>86</v>
      </c>
      <c r="D429" s="224" t="s">
        <v>9</v>
      </c>
      <c r="E429" s="224" t="s">
        <v>256</v>
      </c>
      <c r="F429" s="224" t="s">
        <v>10</v>
      </c>
      <c r="G429" s="223" t="str">
        <f>VLOOKUP($B429,'FRS geographical categories'!$A$2:$C$45,2,FALSE)</f>
        <v>Significantly Rural</v>
      </c>
      <c r="H429" s="223" t="str">
        <f>VLOOKUP($B429,'FRS geographical categories'!$A$2:$C$45,3,FALSE)</f>
        <v>Non-metropolitan</v>
      </c>
      <c r="I429" s="224">
        <v>10562</v>
      </c>
    </row>
    <row r="430" spans="1:9" ht="15.5" x14ac:dyDescent="0.35">
      <c r="A430" s="224" t="s">
        <v>53</v>
      </c>
      <c r="B430" s="224" t="s">
        <v>19</v>
      </c>
      <c r="C430" s="224" t="s">
        <v>89</v>
      </c>
      <c r="D430" s="224" t="s">
        <v>9</v>
      </c>
      <c r="E430" s="224" t="s">
        <v>256</v>
      </c>
      <c r="F430" s="224" t="s">
        <v>248</v>
      </c>
      <c r="G430" s="223" t="str">
        <f>VLOOKUP($B430,'FRS geographical categories'!$A$2:$C$45,2,FALSE)</f>
        <v>Significantly Rural</v>
      </c>
      <c r="H430" s="223" t="str">
        <f>VLOOKUP($B430,'FRS geographical categories'!$A$2:$C$45,3,FALSE)</f>
        <v>Non-metropolitan</v>
      </c>
      <c r="I430" s="224">
        <v>564</v>
      </c>
    </row>
    <row r="431" spans="1:9" ht="15.5" x14ac:dyDescent="0.35">
      <c r="A431" s="224" t="s">
        <v>53</v>
      </c>
      <c r="B431" s="224" t="s">
        <v>19</v>
      </c>
      <c r="C431" s="224" t="s">
        <v>89</v>
      </c>
      <c r="D431" s="224" t="s">
        <v>9</v>
      </c>
      <c r="E431" s="224" t="s">
        <v>256</v>
      </c>
      <c r="F431" s="224" t="s">
        <v>249</v>
      </c>
      <c r="G431" s="223" t="str">
        <f>VLOOKUP($B431,'FRS geographical categories'!$A$2:$C$45,2,FALSE)</f>
        <v>Significantly Rural</v>
      </c>
      <c r="H431" s="223" t="str">
        <f>VLOOKUP($B431,'FRS geographical categories'!$A$2:$C$45,3,FALSE)</f>
        <v>Non-metropolitan</v>
      </c>
      <c r="I431" s="224">
        <v>1406</v>
      </c>
    </row>
    <row r="432" spans="1:9" ht="15.5" x14ac:dyDescent="0.35">
      <c r="A432" s="224" t="s">
        <v>53</v>
      </c>
      <c r="B432" s="224" t="s">
        <v>19</v>
      </c>
      <c r="C432" s="224" t="s">
        <v>89</v>
      </c>
      <c r="D432" s="224" t="s">
        <v>9</v>
      </c>
      <c r="E432" s="224" t="s">
        <v>256</v>
      </c>
      <c r="F432" s="224" t="s">
        <v>250</v>
      </c>
      <c r="G432" s="223" t="str">
        <f>VLOOKUP($B432,'FRS geographical categories'!$A$2:$C$45,2,FALSE)</f>
        <v>Significantly Rural</v>
      </c>
      <c r="H432" s="223" t="str">
        <f>VLOOKUP($B432,'FRS geographical categories'!$A$2:$C$45,3,FALSE)</f>
        <v>Non-metropolitan</v>
      </c>
      <c r="I432" s="224">
        <v>639</v>
      </c>
    </row>
    <row r="433" spans="1:9" ht="15.5" x14ac:dyDescent="0.35">
      <c r="A433" s="224" t="s">
        <v>53</v>
      </c>
      <c r="B433" s="224" t="s">
        <v>19</v>
      </c>
      <c r="C433" s="224" t="s">
        <v>89</v>
      </c>
      <c r="D433" s="224" t="s">
        <v>9</v>
      </c>
      <c r="E433" s="224" t="s">
        <v>256</v>
      </c>
      <c r="F433" s="224" t="s">
        <v>10</v>
      </c>
      <c r="G433" s="223" t="str">
        <f>VLOOKUP($B433,'FRS geographical categories'!$A$2:$C$45,2,FALSE)</f>
        <v>Significantly Rural</v>
      </c>
      <c r="H433" s="223" t="str">
        <f>VLOOKUP($B433,'FRS geographical categories'!$A$2:$C$45,3,FALSE)</f>
        <v>Non-metropolitan</v>
      </c>
      <c r="I433" s="224">
        <v>3411</v>
      </c>
    </row>
    <row r="434" spans="1:9" ht="15.5" x14ac:dyDescent="0.35">
      <c r="A434" s="224" t="s">
        <v>53</v>
      </c>
      <c r="B434" s="224" t="s">
        <v>20</v>
      </c>
      <c r="C434" s="224" t="s">
        <v>86</v>
      </c>
      <c r="D434" s="224" t="s">
        <v>9</v>
      </c>
      <c r="E434" s="224" t="s">
        <v>256</v>
      </c>
      <c r="F434" s="224" t="s">
        <v>248</v>
      </c>
      <c r="G434" s="223" t="str">
        <f>VLOOKUP($B434,'FRS geographical categories'!$A$2:$C$45,2,FALSE)</f>
        <v>Predominantly Rural</v>
      </c>
      <c r="H434" s="223" t="str">
        <f>VLOOKUP($B434,'FRS geographical categories'!$A$2:$C$45,3,FALSE)</f>
        <v>Non-metropolitan</v>
      </c>
      <c r="I434" s="224">
        <v>1316</v>
      </c>
    </row>
    <row r="435" spans="1:9" ht="15.5" x14ac:dyDescent="0.35">
      <c r="A435" s="224" t="s">
        <v>53</v>
      </c>
      <c r="B435" s="224" t="s">
        <v>20</v>
      </c>
      <c r="C435" s="224" t="s">
        <v>86</v>
      </c>
      <c r="D435" s="224" t="s">
        <v>9</v>
      </c>
      <c r="E435" s="224" t="s">
        <v>256</v>
      </c>
      <c r="F435" s="224" t="s">
        <v>249</v>
      </c>
      <c r="G435" s="223" t="str">
        <f>VLOOKUP($B435,'FRS geographical categories'!$A$2:$C$45,2,FALSE)</f>
        <v>Predominantly Rural</v>
      </c>
      <c r="H435" s="223" t="str">
        <f>VLOOKUP($B435,'FRS geographical categories'!$A$2:$C$45,3,FALSE)</f>
        <v>Non-metropolitan</v>
      </c>
      <c r="I435" s="224">
        <v>7443</v>
      </c>
    </row>
    <row r="436" spans="1:9" ht="15.5" x14ac:dyDescent="0.35">
      <c r="A436" s="224" t="s">
        <v>53</v>
      </c>
      <c r="B436" s="224" t="s">
        <v>20</v>
      </c>
      <c r="C436" s="224" t="s">
        <v>86</v>
      </c>
      <c r="D436" s="224" t="s">
        <v>9</v>
      </c>
      <c r="E436" s="224" t="s">
        <v>256</v>
      </c>
      <c r="F436" s="224" t="s">
        <v>250</v>
      </c>
      <c r="G436" s="223" t="str">
        <f>VLOOKUP($B436,'FRS geographical categories'!$A$2:$C$45,2,FALSE)</f>
        <v>Predominantly Rural</v>
      </c>
      <c r="H436" s="223" t="str">
        <f>VLOOKUP($B436,'FRS geographical categories'!$A$2:$C$45,3,FALSE)</f>
        <v>Non-metropolitan</v>
      </c>
      <c r="I436" s="224">
        <v>5045</v>
      </c>
    </row>
    <row r="437" spans="1:9" ht="15.5" x14ac:dyDescent="0.35">
      <c r="A437" s="224" t="s">
        <v>53</v>
      </c>
      <c r="B437" s="224" t="s">
        <v>20</v>
      </c>
      <c r="C437" s="224" t="s">
        <v>86</v>
      </c>
      <c r="D437" s="224" t="s">
        <v>9</v>
      </c>
      <c r="E437" s="224" t="s">
        <v>256</v>
      </c>
      <c r="F437" s="224" t="s">
        <v>10</v>
      </c>
      <c r="G437" s="223" t="str">
        <f>VLOOKUP($B437,'FRS geographical categories'!$A$2:$C$45,2,FALSE)</f>
        <v>Predominantly Rural</v>
      </c>
      <c r="H437" s="223" t="str">
        <f>VLOOKUP($B437,'FRS geographical categories'!$A$2:$C$45,3,FALSE)</f>
        <v>Non-metropolitan</v>
      </c>
      <c r="I437" s="224">
        <v>16697</v>
      </c>
    </row>
    <row r="438" spans="1:9" ht="15.5" x14ac:dyDescent="0.35">
      <c r="A438" s="224" t="s">
        <v>53</v>
      </c>
      <c r="B438" s="224" t="s">
        <v>20</v>
      </c>
      <c r="C438" s="224" t="s">
        <v>89</v>
      </c>
      <c r="D438" s="224" t="s">
        <v>9</v>
      </c>
      <c r="E438" s="224" t="s">
        <v>256</v>
      </c>
      <c r="F438" s="224" t="s">
        <v>248</v>
      </c>
      <c r="G438" s="223" t="str">
        <f>VLOOKUP($B438,'FRS geographical categories'!$A$2:$C$45,2,FALSE)</f>
        <v>Predominantly Rural</v>
      </c>
      <c r="H438" s="223" t="str">
        <f>VLOOKUP($B438,'FRS geographical categories'!$A$2:$C$45,3,FALSE)</f>
        <v>Non-metropolitan</v>
      </c>
      <c r="I438" s="224">
        <v>0</v>
      </c>
    </row>
    <row r="439" spans="1:9" ht="15.5" x14ac:dyDescent="0.35">
      <c r="A439" s="224" t="s">
        <v>53</v>
      </c>
      <c r="B439" s="224" t="s">
        <v>20</v>
      </c>
      <c r="C439" s="224" t="s">
        <v>89</v>
      </c>
      <c r="D439" s="224" t="s">
        <v>9</v>
      </c>
      <c r="E439" s="224" t="s">
        <v>256</v>
      </c>
      <c r="F439" s="224" t="s">
        <v>249</v>
      </c>
      <c r="G439" s="223" t="str">
        <f>VLOOKUP($B439,'FRS geographical categories'!$A$2:$C$45,2,FALSE)</f>
        <v>Predominantly Rural</v>
      </c>
      <c r="H439" s="223" t="str">
        <f>VLOOKUP($B439,'FRS geographical categories'!$A$2:$C$45,3,FALSE)</f>
        <v>Non-metropolitan</v>
      </c>
      <c r="I439" s="224">
        <v>0</v>
      </c>
    </row>
    <row r="440" spans="1:9" ht="15.5" x14ac:dyDescent="0.35">
      <c r="A440" s="224" t="s">
        <v>53</v>
      </c>
      <c r="B440" s="224" t="s">
        <v>20</v>
      </c>
      <c r="C440" s="224" t="s">
        <v>89</v>
      </c>
      <c r="D440" s="224" t="s">
        <v>9</v>
      </c>
      <c r="E440" s="224" t="s">
        <v>256</v>
      </c>
      <c r="F440" s="224" t="s">
        <v>250</v>
      </c>
      <c r="G440" s="223" t="str">
        <f>VLOOKUP($B440,'FRS geographical categories'!$A$2:$C$45,2,FALSE)</f>
        <v>Predominantly Rural</v>
      </c>
      <c r="H440" s="223" t="str">
        <f>VLOOKUP($B440,'FRS geographical categories'!$A$2:$C$45,3,FALSE)</f>
        <v>Non-metropolitan</v>
      </c>
      <c r="I440" s="224">
        <v>0</v>
      </c>
    </row>
    <row r="441" spans="1:9" ht="15.5" x14ac:dyDescent="0.35">
      <c r="A441" s="224" t="s">
        <v>53</v>
      </c>
      <c r="B441" s="224" t="s">
        <v>20</v>
      </c>
      <c r="C441" s="224" t="s">
        <v>89</v>
      </c>
      <c r="D441" s="224" t="s">
        <v>9</v>
      </c>
      <c r="E441" s="224" t="s">
        <v>256</v>
      </c>
      <c r="F441" s="224" t="s">
        <v>10</v>
      </c>
      <c r="G441" s="223" t="str">
        <f>VLOOKUP($B441,'FRS geographical categories'!$A$2:$C$45,2,FALSE)</f>
        <v>Predominantly Rural</v>
      </c>
      <c r="H441" s="223" t="str">
        <f>VLOOKUP($B441,'FRS geographical categories'!$A$2:$C$45,3,FALSE)</f>
        <v>Non-metropolitan</v>
      </c>
      <c r="I441" s="224">
        <v>0</v>
      </c>
    </row>
    <row r="442" spans="1:9" ht="15.5" x14ac:dyDescent="0.35">
      <c r="A442" s="224" t="s">
        <v>53</v>
      </c>
      <c r="B442" s="224" t="s">
        <v>21</v>
      </c>
      <c r="C442" s="224" t="s">
        <v>86</v>
      </c>
      <c r="D442" s="224" t="s">
        <v>9</v>
      </c>
      <c r="E442" s="224" t="s">
        <v>256</v>
      </c>
      <c r="F442" s="224" t="s">
        <v>248</v>
      </c>
      <c r="G442" s="223" t="str">
        <f>VLOOKUP($B442,'FRS geographical categories'!$A$2:$C$45,2,FALSE)</f>
        <v>Significantly Rural</v>
      </c>
      <c r="H442" s="223" t="str">
        <f>VLOOKUP($B442,'FRS geographical categories'!$A$2:$C$45,3,FALSE)</f>
        <v>Non-metropolitan</v>
      </c>
      <c r="I442" s="224">
        <v>634</v>
      </c>
    </row>
    <row r="443" spans="1:9" ht="15.5" x14ac:dyDescent="0.35">
      <c r="A443" s="224" t="s">
        <v>53</v>
      </c>
      <c r="B443" s="224" t="s">
        <v>21</v>
      </c>
      <c r="C443" s="224" t="s">
        <v>86</v>
      </c>
      <c r="D443" s="224" t="s">
        <v>9</v>
      </c>
      <c r="E443" s="224" t="s">
        <v>256</v>
      </c>
      <c r="F443" s="224" t="s">
        <v>249</v>
      </c>
      <c r="G443" s="223" t="str">
        <f>VLOOKUP($B443,'FRS geographical categories'!$A$2:$C$45,2,FALSE)</f>
        <v>Significantly Rural</v>
      </c>
      <c r="H443" s="223" t="str">
        <f>VLOOKUP($B443,'FRS geographical categories'!$A$2:$C$45,3,FALSE)</f>
        <v>Non-metropolitan</v>
      </c>
      <c r="I443" s="224">
        <v>3808</v>
      </c>
    </row>
    <row r="444" spans="1:9" ht="15.5" x14ac:dyDescent="0.35">
      <c r="A444" s="224" t="s">
        <v>53</v>
      </c>
      <c r="B444" s="224" t="s">
        <v>21</v>
      </c>
      <c r="C444" s="224" t="s">
        <v>86</v>
      </c>
      <c r="D444" s="224" t="s">
        <v>9</v>
      </c>
      <c r="E444" s="224" t="s">
        <v>256</v>
      </c>
      <c r="F444" s="224" t="s">
        <v>250</v>
      </c>
      <c r="G444" s="223" t="str">
        <f>VLOOKUP($B444,'FRS geographical categories'!$A$2:$C$45,2,FALSE)</f>
        <v>Significantly Rural</v>
      </c>
      <c r="H444" s="223" t="str">
        <f>VLOOKUP($B444,'FRS geographical categories'!$A$2:$C$45,3,FALSE)</f>
        <v>Non-metropolitan</v>
      </c>
      <c r="I444" s="224">
        <v>5071</v>
      </c>
    </row>
    <row r="445" spans="1:9" ht="15.5" x14ac:dyDescent="0.35">
      <c r="A445" s="224" t="s">
        <v>53</v>
      </c>
      <c r="B445" s="224" t="s">
        <v>21</v>
      </c>
      <c r="C445" s="224" t="s">
        <v>86</v>
      </c>
      <c r="D445" s="224" t="s">
        <v>9</v>
      </c>
      <c r="E445" s="224" t="s">
        <v>256</v>
      </c>
      <c r="F445" s="224" t="s">
        <v>10</v>
      </c>
      <c r="G445" s="223" t="str">
        <f>VLOOKUP($B445,'FRS geographical categories'!$A$2:$C$45,2,FALSE)</f>
        <v>Significantly Rural</v>
      </c>
      <c r="H445" s="223" t="str">
        <f>VLOOKUP($B445,'FRS geographical categories'!$A$2:$C$45,3,FALSE)</f>
        <v>Non-metropolitan</v>
      </c>
      <c r="I445" s="224">
        <v>12473</v>
      </c>
    </row>
    <row r="446" spans="1:9" ht="15.5" x14ac:dyDescent="0.35">
      <c r="A446" s="224" t="s">
        <v>53</v>
      </c>
      <c r="B446" s="224" t="s">
        <v>21</v>
      </c>
      <c r="C446" s="224" t="s">
        <v>89</v>
      </c>
      <c r="D446" s="224" t="s">
        <v>9</v>
      </c>
      <c r="E446" s="224" t="s">
        <v>256</v>
      </c>
      <c r="F446" s="224" t="s">
        <v>248</v>
      </c>
      <c r="G446" s="223" t="str">
        <f>VLOOKUP($B446,'FRS geographical categories'!$A$2:$C$45,2,FALSE)</f>
        <v>Significantly Rural</v>
      </c>
      <c r="H446" s="223" t="str">
        <f>VLOOKUP($B446,'FRS geographical categories'!$A$2:$C$45,3,FALSE)</f>
        <v>Non-metropolitan</v>
      </c>
      <c r="I446" s="224">
        <v>11</v>
      </c>
    </row>
    <row r="447" spans="1:9" ht="15.5" x14ac:dyDescent="0.35">
      <c r="A447" s="224" t="s">
        <v>53</v>
      </c>
      <c r="B447" s="224" t="s">
        <v>21</v>
      </c>
      <c r="C447" s="224" t="s">
        <v>89</v>
      </c>
      <c r="D447" s="224" t="s">
        <v>9</v>
      </c>
      <c r="E447" s="224" t="s">
        <v>256</v>
      </c>
      <c r="F447" s="224" t="s">
        <v>249</v>
      </c>
      <c r="G447" s="223" t="str">
        <f>VLOOKUP($B447,'FRS geographical categories'!$A$2:$C$45,2,FALSE)</f>
        <v>Significantly Rural</v>
      </c>
      <c r="H447" s="223" t="str">
        <f>VLOOKUP($B447,'FRS geographical categories'!$A$2:$C$45,3,FALSE)</f>
        <v>Non-metropolitan</v>
      </c>
      <c r="I447" s="224">
        <v>102</v>
      </c>
    </row>
    <row r="448" spans="1:9" ht="15.5" x14ac:dyDescent="0.35">
      <c r="A448" s="224" t="s">
        <v>53</v>
      </c>
      <c r="B448" s="224" t="s">
        <v>21</v>
      </c>
      <c r="C448" s="224" t="s">
        <v>89</v>
      </c>
      <c r="D448" s="224" t="s">
        <v>9</v>
      </c>
      <c r="E448" s="224" t="s">
        <v>256</v>
      </c>
      <c r="F448" s="224" t="s">
        <v>250</v>
      </c>
      <c r="G448" s="223" t="str">
        <f>VLOOKUP($B448,'FRS geographical categories'!$A$2:$C$45,2,FALSE)</f>
        <v>Significantly Rural</v>
      </c>
      <c r="H448" s="223" t="str">
        <f>VLOOKUP($B448,'FRS geographical categories'!$A$2:$C$45,3,FALSE)</f>
        <v>Non-metropolitan</v>
      </c>
      <c r="I448" s="224">
        <v>321</v>
      </c>
    </row>
    <row r="449" spans="1:9" ht="15.5" x14ac:dyDescent="0.35">
      <c r="A449" s="224" t="s">
        <v>53</v>
      </c>
      <c r="B449" s="224" t="s">
        <v>21</v>
      </c>
      <c r="C449" s="224" t="s">
        <v>89</v>
      </c>
      <c r="D449" s="224" t="s">
        <v>9</v>
      </c>
      <c r="E449" s="224" t="s">
        <v>256</v>
      </c>
      <c r="F449" s="224" t="s">
        <v>10</v>
      </c>
      <c r="G449" s="223" t="str">
        <f>VLOOKUP($B449,'FRS geographical categories'!$A$2:$C$45,2,FALSE)</f>
        <v>Significantly Rural</v>
      </c>
      <c r="H449" s="223" t="str">
        <f>VLOOKUP($B449,'FRS geographical categories'!$A$2:$C$45,3,FALSE)</f>
        <v>Non-metropolitan</v>
      </c>
      <c r="I449" s="224">
        <v>461</v>
      </c>
    </row>
    <row r="450" spans="1:9" ht="15.5" x14ac:dyDescent="0.35">
      <c r="A450" s="224" t="s">
        <v>53</v>
      </c>
      <c r="B450" s="224" t="s">
        <v>22</v>
      </c>
      <c r="C450" s="224" t="s">
        <v>86</v>
      </c>
      <c r="D450" s="224" t="s">
        <v>9</v>
      </c>
      <c r="E450" s="224" t="s">
        <v>256</v>
      </c>
      <c r="F450" s="224" t="s">
        <v>248</v>
      </c>
      <c r="G450" s="223" t="str">
        <f>VLOOKUP($B450,'FRS geographical categories'!$A$2:$C$45,2,FALSE)</f>
        <v>Predominantly Rural</v>
      </c>
      <c r="H450" s="223" t="str">
        <f>VLOOKUP($B450,'FRS geographical categories'!$A$2:$C$45,3,FALSE)</f>
        <v>Non-metropolitan</v>
      </c>
      <c r="I450" s="224">
        <v>585</v>
      </c>
    </row>
    <row r="451" spans="1:9" ht="15.5" x14ac:dyDescent="0.35">
      <c r="A451" s="224" t="s">
        <v>53</v>
      </c>
      <c r="B451" s="224" t="s">
        <v>22</v>
      </c>
      <c r="C451" s="224" t="s">
        <v>86</v>
      </c>
      <c r="D451" s="224" t="s">
        <v>9</v>
      </c>
      <c r="E451" s="224" t="s">
        <v>256</v>
      </c>
      <c r="F451" s="224" t="s">
        <v>249</v>
      </c>
      <c r="G451" s="223" t="str">
        <f>VLOOKUP($B451,'FRS geographical categories'!$A$2:$C$45,2,FALSE)</f>
        <v>Predominantly Rural</v>
      </c>
      <c r="H451" s="223" t="str">
        <f>VLOOKUP($B451,'FRS geographical categories'!$A$2:$C$45,3,FALSE)</f>
        <v>Non-metropolitan</v>
      </c>
      <c r="I451" s="224">
        <v>1051</v>
      </c>
    </row>
    <row r="452" spans="1:9" ht="15.5" x14ac:dyDescent="0.35">
      <c r="A452" s="224" t="s">
        <v>53</v>
      </c>
      <c r="B452" s="224" t="s">
        <v>22</v>
      </c>
      <c r="C452" s="224" t="s">
        <v>86</v>
      </c>
      <c r="D452" s="224" t="s">
        <v>9</v>
      </c>
      <c r="E452" s="224" t="s">
        <v>256</v>
      </c>
      <c r="F452" s="224" t="s">
        <v>250</v>
      </c>
      <c r="G452" s="223" t="str">
        <f>VLOOKUP($B452,'FRS geographical categories'!$A$2:$C$45,2,FALSE)</f>
        <v>Predominantly Rural</v>
      </c>
      <c r="H452" s="223" t="str">
        <f>VLOOKUP($B452,'FRS geographical categories'!$A$2:$C$45,3,FALSE)</f>
        <v>Non-metropolitan</v>
      </c>
      <c r="I452" s="224">
        <v>6123</v>
      </c>
    </row>
    <row r="453" spans="1:9" ht="15.5" x14ac:dyDescent="0.35">
      <c r="A453" s="224" t="s">
        <v>53</v>
      </c>
      <c r="B453" s="224" t="s">
        <v>22</v>
      </c>
      <c r="C453" s="224" t="s">
        <v>86</v>
      </c>
      <c r="D453" s="224" t="s">
        <v>9</v>
      </c>
      <c r="E453" s="224" t="s">
        <v>256</v>
      </c>
      <c r="F453" s="224" t="s">
        <v>10</v>
      </c>
      <c r="G453" s="223" t="str">
        <f>VLOOKUP($B453,'FRS geographical categories'!$A$2:$C$45,2,FALSE)</f>
        <v>Predominantly Rural</v>
      </c>
      <c r="H453" s="223" t="str">
        <f>VLOOKUP($B453,'FRS geographical categories'!$A$2:$C$45,3,FALSE)</f>
        <v>Non-metropolitan</v>
      </c>
      <c r="I453" s="224">
        <v>19349</v>
      </c>
    </row>
    <row r="454" spans="1:9" ht="15.5" x14ac:dyDescent="0.35">
      <c r="A454" s="224" t="s">
        <v>53</v>
      </c>
      <c r="B454" s="224" t="s">
        <v>22</v>
      </c>
      <c r="C454" s="224" t="s">
        <v>89</v>
      </c>
      <c r="D454" s="224" t="s">
        <v>9</v>
      </c>
      <c r="E454" s="224" t="s">
        <v>256</v>
      </c>
      <c r="F454" s="224" t="s">
        <v>248</v>
      </c>
      <c r="G454" s="223" t="str">
        <f>VLOOKUP($B454,'FRS geographical categories'!$A$2:$C$45,2,FALSE)</f>
        <v>Predominantly Rural</v>
      </c>
      <c r="H454" s="223" t="str">
        <f>VLOOKUP($B454,'FRS geographical categories'!$A$2:$C$45,3,FALSE)</f>
        <v>Non-metropolitan</v>
      </c>
      <c r="I454" s="224">
        <v>0</v>
      </c>
    </row>
    <row r="455" spans="1:9" ht="15.5" x14ac:dyDescent="0.35">
      <c r="A455" s="224" t="s">
        <v>53</v>
      </c>
      <c r="B455" s="224" t="s">
        <v>22</v>
      </c>
      <c r="C455" s="224" t="s">
        <v>89</v>
      </c>
      <c r="D455" s="224" t="s">
        <v>9</v>
      </c>
      <c r="E455" s="224" t="s">
        <v>256</v>
      </c>
      <c r="F455" s="224" t="s">
        <v>249</v>
      </c>
      <c r="G455" s="223" t="str">
        <f>VLOOKUP($B455,'FRS geographical categories'!$A$2:$C$45,2,FALSE)</f>
        <v>Predominantly Rural</v>
      </c>
      <c r="H455" s="223" t="str">
        <f>VLOOKUP($B455,'FRS geographical categories'!$A$2:$C$45,3,FALSE)</f>
        <v>Non-metropolitan</v>
      </c>
      <c r="I455" s="224">
        <v>0</v>
      </c>
    </row>
    <row r="456" spans="1:9" ht="15.5" x14ac:dyDescent="0.35">
      <c r="A456" s="224" t="s">
        <v>53</v>
      </c>
      <c r="B456" s="224" t="s">
        <v>22</v>
      </c>
      <c r="C456" s="224" t="s">
        <v>89</v>
      </c>
      <c r="D456" s="224" t="s">
        <v>9</v>
      </c>
      <c r="E456" s="224" t="s">
        <v>256</v>
      </c>
      <c r="F456" s="224" t="s">
        <v>250</v>
      </c>
      <c r="G456" s="223" t="str">
        <f>VLOOKUP($B456,'FRS geographical categories'!$A$2:$C$45,2,FALSE)</f>
        <v>Predominantly Rural</v>
      </c>
      <c r="H456" s="223" t="str">
        <f>VLOOKUP($B456,'FRS geographical categories'!$A$2:$C$45,3,FALSE)</f>
        <v>Non-metropolitan</v>
      </c>
      <c r="I456" s="224">
        <v>0</v>
      </c>
    </row>
    <row r="457" spans="1:9" ht="15.5" x14ac:dyDescent="0.35">
      <c r="A457" s="224" t="s">
        <v>53</v>
      </c>
      <c r="B457" s="224" t="s">
        <v>22</v>
      </c>
      <c r="C457" s="224" t="s">
        <v>89</v>
      </c>
      <c r="D457" s="224" t="s">
        <v>9</v>
      </c>
      <c r="E457" s="224" t="s">
        <v>256</v>
      </c>
      <c r="F457" s="224" t="s">
        <v>10</v>
      </c>
      <c r="G457" s="223" t="str">
        <f>VLOOKUP($B457,'FRS geographical categories'!$A$2:$C$45,2,FALSE)</f>
        <v>Predominantly Rural</v>
      </c>
      <c r="H457" s="223" t="str">
        <f>VLOOKUP($B457,'FRS geographical categories'!$A$2:$C$45,3,FALSE)</f>
        <v>Non-metropolitan</v>
      </c>
      <c r="I457" s="224">
        <v>0</v>
      </c>
    </row>
    <row r="458" spans="1:9" ht="15.5" x14ac:dyDescent="0.35">
      <c r="A458" s="224" t="s">
        <v>53</v>
      </c>
      <c r="B458" s="224" t="s">
        <v>23</v>
      </c>
      <c r="C458" s="224" t="s">
        <v>86</v>
      </c>
      <c r="D458" s="224" t="s">
        <v>9</v>
      </c>
      <c r="E458" s="224" t="s">
        <v>256</v>
      </c>
      <c r="F458" s="224" t="s">
        <v>248</v>
      </c>
      <c r="G458" s="223" t="str">
        <f>VLOOKUP($B458,'FRS geographical categories'!$A$2:$C$45,2,FALSE)</f>
        <v>Significantly Rural</v>
      </c>
      <c r="H458" s="223" t="str">
        <f>VLOOKUP($B458,'FRS geographical categories'!$A$2:$C$45,3,FALSE)</f>
        <v>Non-metropolitan</v>
      </c>
      <c r="I458" s="224">
        <v>488</v>
      </c>
    </row>
    <row r="459" spans="1:9" ht="15.5" x14ac:dyDescent="0.35">
      <c r="A459" s="224" t="s">
        <v>53</v>
      </c>
      <c r="B459" s="224" t="s">
        <v>23</v>
      </c>
      <c r="C459" s="224" t="s">
        <v>86</v>
      </c>
      <c r="D459" s="224" t="s">
        <v>9</v>
      </c>
      <c r="E459" s="224" t="s">
        <v>256</v>
      </c>
      <c r="F459" s="224" t="s">
        <v>249</v>
      </c>
      <c r="G459" s="223" t="str">
        <f>VLOOKUP($B459,'FRS geographical categories'!$A$2:$C$45,2,FALSE)</f>
        <v>Significantly Rural</v>
      </c>
      <c r="H459" s="223" t="str">
        <f>VLOOKUP($B459,'FRS geographical categories'!$A$2:$C$45,3,FALSE)</f>
        <v>Non-metropolitan</v>
      </c>
      <c r="I459" s="224">
        <v>1702</v>
      </c>
    </row>
    <row r="460" spans="1:9" ht="15.5" x14ac:dyDescent="0.35">
      <c r="A460" s="224" t="s">
        <v>53</v>
      </c>
      <c r="B460" s="224" t="s">
        <v>23</v>
      </c>
      <c r="C460" s="224" t="s">
        <v>86</v>
      </c>
      <c r="D460" s="224" t="s">
        <v>9</v>
      </c>
      <c r="E460" s="224" t="s">
        <v>256</v>
      </c>
      <c r="F460" s="224" t="s">
        <v>250</v>
      </c>
      <c r="G460" s="223" t="str">
        <f>VLOOKUP($B460,'FRS geographical categories'!$A$2:$C$45,2,FALSE)</f>
        <v>Significantly Rural</v>
      </c>
      <c r="H460" s="223" t="str">
        <f>VLOOKUP($B460,'FRS geographical categories'!$A$2:$C$45,3,FALSE)</f>
        <v>Non-metropolitan</v>
      </c>
      <c r="I460" s="224">
        <v>2067</v>
      </c>
    </row>
    <row r="461" spans="1:9" ht="15.5" x14ac:dyDescent="0.35">
      <c r="A461" s="224" t="s">
        <v>53</v>
      </c>
      <c r="B461" s="224" t="s">
        <v>23</v>
      </c>
      <c r="C461" s="224" t="s">
        <v>86</v>
      </c>
      <c r="D461" s="224" t="s">
        <v>9</v>
      </c>
      <c r="E461" s="224" t="s">
        <v>256</v>
      </c>
      <c r="F461" s="224" t="s">
        <v>10</v>
      </c>
      <c r="G461" s="223" t="str">
        <f>VLOOKUP($B461,'FRS geographical categories'!$A$2:$C$45,2,FALSE)</f>
        <v>Significantly Rural</v>
      </c>
      <c r="H461" s="223" t="str">
        <f>VLOOKUP($B461,'FRS geographical categories'!$A$2:$C$45,3,FALSE)</f>
        <v>Non-metropolitan</v>
      </c>
      <c r="I461" s="224">
        <v>6775</v>
      </c>
    </row>
    <row r="462" spans="1:9" ht="15.5" x14ac:dyDescent="0.35">
      <c r="A462" s="224" t="s">
        <v>53</v>
      </c>
      <c r="B462" s="224" t="s">
        <v>23</v>
      </c>
      <c r="C462" s="224" t="s">
        <v>89</v>
      </c>
      <c r="D462" s="224" t="s">
        <v>9</v>
      </c>
      <c r="E462" s="224" t="s">
        <v>256</v>
      </c>
      <c r="F462" s="224" t="s">
        <v>248</v>
      </c>
      <c r="G462" s="223" t="str">
        <f>VLOOKUP($B462,'FRS geographical categories'!$A$2:$C$45,2,FALSE)</f>
        <v>Significantly Rural</v>
      </c>
      <c r="H462" s="223" t="str">
        <f>VLOOKUP($B462,'FRS geographical categories'!$A$2:$C$45,3,FALSE)</f>
        <v>Non-metropolitan</v>
      </c>
      <c r="I462" s="224">
        <v>0</v>
      </c>
    </row>
    <row r="463" spans="1:9" ht="15.5" x14ac:dyDescent="0.35">
      <c r="A463" s="224" t="s">
        <v>53</v>
      </c>
      <c r="B463" s="224" t="s">
        <v>23</v>
      </c>
      <c r="C463" s="224" t="s">
        <v>89</v>
      </c>
      <c r="D463" s="224" t="s">
        <v>9</v>
      </c>
      <c r="E463" s="224" t="s">
        <v>256</v>
      </c>
      <c r="F463" s="224" t="s">
        <v>249</v>
      </c>
      <c r="G463" s="223" t="str">
        <f>VLOOKUP($B463,'FRS geographical categories'!$A$2:$C$45,2,FALSE)</f>
        <v>Significantly Rural</v>
      </c>
      <c r="H463" s="223" t="str">
        <f>VLOOKUP($B463,'FRS geographical categories'!$A$2:$C$45,3,FALSE)</f>
        <v>Non-metropolitan</v>
      </c>
      <c r="I463" s="224">
        <v>0</v>
      </c>
    </row>
    <row r="464" spans="1:9" ht="15.5" x14ac:dyDescent="0.35">
      <c r="A464" s="224" t="s">
        <v>53</v>
      </c>
      <c r="B464" s="224" t="s">
        <v>23</v>
      </c>
      <c r="C464" s="224" t="s">
        <v>89</v>
      </c>
      <c r="D464" s="224" t="s">
        <v>9</v>
      </c>
      <c r="E464" s="224" t="s">
        <v>256</v>
      </c>
      <c r="F464" s="224" t="s">
        <v>250</v>
      </c>
      <c r="G464" s="223" t="str">
        <f>VLOOKUP($B464,'FRS geographical categories'!$A$2:$C$45,2,FALSE)</f>
        <v>Significantly Rural</v>
      </c>
      <c r="H464" s="223" t="str">
        <f>VLOOKUP($B464,'FRS geographical categories'!$A$2:$C$45,3,FALSE)</f>
        <v>Non-metropolitan</v>
      </c>
      <c r="I464" s="224">
        <v>0</v>
      </c>
    </row>
    <row r="465" spans="1:9" ht="15.5" x14ac:dyDescent="0.35">
      <c r="A465" s="224" t="s">
        <v>53</v>
      </c>
      <c r="B465" s="224" t="s">
        <v>23</v>
      </c>
      <c r="C465" s="224" t="s">
        <v>89</v>
      </c>
      <c r="D465" s="224" t="s">
        <v>9</v>
      </c>
      <c r="E465" s="224" t="s">
        <v>256</v>
      </c>
      <c r="F465" s="224" t="s">
        <v>10</v>
      </c>
      <c r="G465" s="223" t="str">
        <f>VLOOKUP($B465,'FRS geographical categories'!$A$2:$C$45,2,FALSE)</f>
        <v>Significantly Rural</v>
      </c>
      <c r="H465" s="223" t="str">
        <f>VLOOKUP($B465,'FRS geographical categories'!$A$2:$C$45,3,FALSE)</f>
        <v>Non-metropolitan</v>
      </c>
      <c r="I465" s="224">
        <v>0</v>
      </c>
    </row>
    <row r="466" spans="1:9" ht="15.5" x14ac:dyDescent="0.35">
      <c r="A466" s="224" t="s">
        <v>53</v>
      </c>
      <c r="B466" s="224" t="s">
        <v>24</v>
      </c>
      <c r="C466" s="224" t="s">
        <v>86</v>
      </c>
      <c r="D466" s="224" t="s">
        <v>9</v>
      </c>
      <c r="E466" s="224" t="s">
        <v>256</v>
      </c>
      <c r="F466" s="224" t="s">
        <v>248</v>
      </c>
      <c r="G466" s="223" t="str">
        <f>VLOOKUP($B466,'FRS geographical categories'!$A$2:$C$45,2,FALSE)</f>
        <v>Significantly Rural</v>
      </c>
      <c r="H466" s="223" t="str">
        <f>VLOOKUP($B466,'FRS geographical categories'!$A$2:$C$45,3,FALSE)</f>
        <v>Non-metropolitan</v>
      </c>
      <c r="I466" s="224">
        <v>493</v>
      </c>
    </row>
    <row r="467" spans="1:9" ht="15.5" x14ac:dyDescent="0.35">
      <c r="A467" s="224" t="s">
        <v>53</v>
      </c>
      <c r="B467" s="224" t="s">
        <v>24</v>
      </c>
      <c r="C467" s="224" t="s">
        <v>86</v>
      </c>
      <c r="D467" s="224" t="s">
        <v>9</v>
      </c>
      <c r="E467" s="224" t="s">
        <v>256</v>
      </c>
      <c r="F467" s="224" t="s">
        <v>249</v>
      </c>
      <c r="G467" s="223" t="str">
        <f>VLOOKUP($B467,'FRS geographical categories'!$A$2:$C$45,2,FALSE)</f>
        <v>Significantly Rural</v>
      </c>
      <c r="H467" s="223" t="str">
        <f>VLOOKUP($B467,'FRS geographical categories'!$A$2:$C$45,3,FALSE)</f>
        <v>Non-metropolitan</v>
      </c>
      <c r="I467" s="224">
        <v>2559</v>
      </c>
    </row>
    <row r="468" spans="1:9" ht="15.5" x14ac:dyDescent="0.35">
      <c r="A468" s="224" t="s">
        <v>53</v>
      </c>
      <c r="B468" s="224" t="s">
        <v>24</v>
      </c>
      <c r="C468" s="224" t="s">
        <v>86</v>
      </c>
      <c r="D468" s="224" t="s">
        <v>9</v>
      </c>
      <c r="E468" s="224" t="s">
        <v>256</v>
      </c>
      <c r="F468" s="224" t="s">
        <v>250</v>
      </c>
      <c r="G468" s="223" t="str">
        <f>VLOOKUP($B468,'FRS geographical categories'!$A$2:$C$45,2,FALSE)</f>
        <v>Significantly Rural</v>
      </c>
      <c r="H468" s="223" t="str">
        <f>VLOOKUP($B468,'FRS geographical categories'!$A$2:$C$45,3,FALSE)</f>
        <v>Non-metropolitan</v>
      </c>
      <c r="I468" s="224">
        <v>2479</v>
      </c>
    </row>
    <row r="469" spans="1:9" ht="15.5" x14ac:dyDescent="0.35">
      <c r="A469" s="224" t="s">
        <v>53</v>
      </c>
      <c r="B469" s="224" t="s">
        <v>24</v>
      </c>
      <c r="C469" s="224" t="s">
        <v>86</v>
      </c>
      <c r="D469" s="224" t="s">
        <v>9</v>
      </c>
      <c r="E469" s="224" t="s">
        <v>256</v>
      </c>
      <c r="F469" s="224" t="s">
        <v>10</v>
      </c>
      <c r="G469" s="223" t="str">
        <f>VLOOKUP($B469,'FRS geographical categories'!$A$2:$C$45,2,FALSE)</f>
        <v>Significantly Rural</v>
      </c>
      <c r="H469" s="223" t="str">
        <f>VLOOKUP($B469,'FRS geographical categories'!$A$2:$C$45,3,FALSE)</f>
        <v>Non-metropolitan</v>
      </c>
      <c r="I469" s="224">
        <v>7694</v>
      </c>
    </row>
    <row r="470" spans="1:9" ht="15.5" x14ac:dyDescent="0.35">
      <c r="A470" s="224" t="s">
        <v>53</v>
      </c>
      <c r="B470" s="224" t="s">
        <v>24</v>
      </c>
      <c r="C470" s="224" t="s">
        <v>89</v>
      </c>
      <c r="D470" s="224" t="s">
        <v>9</v>
      </c>
      <c r="E470" s="224" t="s">
        <v>256</v>
      </c>
      <c r="F470" s="224" t="s">
        <v>248</v>
      </c>
      <c r="G470" s="223" t="str">
        <f>VLOOKUP($B470,'FRS geographical categories'!$A$2:$C$45,2,FALSE)</f>
        <v>Significantly Rural</v>
      </c>
      <c r="H470" s="223" t="str">
        <f>VLOOKUP($B470,'FRS geographical categories'!$A$2:$C$45,3,FALSE)</f>
        <v>Non-metropolitan</v>
      </c>
      <c r="I470" s="224">
        <v>1</v>
      </c>
    </row>
    <row r="471" spans="1:9" ht="15.5" x14ac:dyDescent="0.35">
      <c r="A471" s="224" t="s">
        <v>53</v>
      </c>
      <c r="B471" s="224" t="s">
        <v>24</v>
      </c>
      <c r="C471" s="224" t="s">
        <v>89</v>
      </c>
      <c r="D471" s="224" t="s">
        <v>9</v>
      </c>
      <c r="E471" s="224" t="s">
        <v>256</v>
      </c>
      <c r="F471" s="224" t="s">
        <v>249</v>
      </c>
      <c r="G471" s="223" t="str">
        <f>VLOOKUP($B471,'FRS geographical categories'!$A$2:$C$45,2,FALSE)</f>
        <v>Significantly Rural</v>
      </c>
      <c r="H471" s="223" t="str">
        <f>VLOOKUP($B471,'FRS geographical categories'!$A$2:$C$45,3,FALSE)</f>
        <v>Non-metropolitan</v>
      </c>
      <c r="I471" s="224">
        <v>0</v>
      </c>
    </row>
    <row r="472" spans="1:9" ht="15.5" x14ac:dyDescent="0.35">
      <c r="A472" s="224" t="s">
        <v>53</v>
      </c>
      <c r="B472" s="224" t="s">
        <v>24</v>
      </c>
      <c r="C472" s="224" t="s">
        <v>89</v>
      </c>
      <c r="D472" s="224" t="s">
        <v>9</v>
      </c>
      <c r="E472" s="224" t="s">
        <v>256</v>
      </c>
      <c r="F472" s="224" t="s">
        <v>250</v>
      </c>
      <c r="G472" s="223" t="str">
        <f>VLOOKUP($B472,'FRS geographical categories'!$A$2:$C$45,2,FALSE)</f>
        <v>Significantly Rural</v>
      </c>
      <c r="H472" s="223" t="str">
        <f>VLOOKUP($B472,'FRS geographical categories'!$A$2:$C$45,3,FALSE)</f>
        <v>Non-metropolitan</v>
      </c>
      <c r="I472" s="224">
        <v>2</v>
      </c>
    </row>
    <row r="473" spans="1:9" ht="15.5" x14ac:dyDescent="0.35">
      <c r="A473" s="224" t="s">
        <v>53</v>
      </c>
      <c r="B473" s="224" t="s">
        <v>24</v>
      </c>
      <c r="C473" s="224" t="s">
        <v>89</v>
      </c>
      <c r="D473" s="224" t="s">
        <v>9</v>
      </c>
      <c r="E473" s="224" t="s">
        <v>256</v>
      </c>
      <c r="F473" s="224" t="s">
        <v>10</v>
      </c>
      <c r="G473" s="223" t="str">
        <f>VLOOKUP($B473,'FRS geographical categories'!$A$2:$C$45,2,FALSE)</f>
        <v>Significantly Rural</v>
      </c>
      <c r="H473" s="223" t="str">
        <f>VLOOKUP($B473,'FRS geographical categories'!$A$2:$C$45,3,FALSE)</f>
        <v>Non-metropolitan</v>
      </c>
      <c r="I473" s="224">
        <v>24</v>
      </c>
    </row>
    <row r="474" spans="1:9" ht="15.5" x14ac:dyDescent="0.35">
      <c r="A474" s="224" t="s">
        <v>53</v>
      </c>
      <c r="B474" s="224" t="s">
        <v>25</v>
      </c>
      <c r="C474" s="224" t="s">
        <v>86</v>
      </c>
      <c r="D474" s="224" t="s">
        <v>9</v>
      </c>
      <c r="E474" s="224" t="s">
        <v>256</v>
      </c>
      <c r="F474" s="224" t="s">
        <v>248</v>
      </c>
      <c r="G474" s="223" t="str">
        <f>VLOOKUP($B474,'FRS geographical categories'!$A$2:$C$45,2,FALSE)</f>
        <v>Significantly Rural</v>
      </c>
      <c r="H474" s="223" t="str">
        <f>VLOOKUP($B474,'FRS geographical categories'!$A$2:$C$45,3,FALSE)</f>
        <v>Non-metropolitan</v>
      </c>
      <c r="I474" s="224">
        <v>966</v>
      </c>
    </row>
    <row r="475" spans="1:9" ht="15.5" x14ac:dyDescent="0.35">
      <c r="A475" s="224" t="s">
        <v>53</v>
      </c>
      <c r="B475" s="224" t="s">
        <v>25</v>
      </c>
      <c r="C475" s="224" t="s">
        <v>86</v>
      </c>
      <c r="D475" s="224" t="s">
        <v>9</v>
      </c>
      <c r="E475" s="224" t="s">
        <v>256</v>
      </c>
      <c r="F475" s="224" t="s">
        <v>249</v>
      </c>
      <c r="G475" s="223" t="str">
        <f>VLOOKUP($B475,'FRS geographical categories'!$A$2:$C$45,2,FALSE)</f>
        <v>Significantly Rural</v>
      </c>
      <c r="H475" s="223" t="str">
        <f>VLOOKUP($B475,'FRS geographical categories'!$A$2:$C$45,3,FALSE)</f>
        <v>Non-metropolitan</v>
      </c>
      <c r="I475" s="224">
        <v>2436</v>
      </c>
    </row>
    <row r="476" spans="1:9" ht="15.5" x14ac:dyDescent="0.35">
      <c r="A476" s="224" t="s">
        <v>53</v>
      </c>
      <c r="B476" s="224" t="s">
        <v>25</v>
      </c>
      <c r="C476" s="224" t="s">
        <v>86</v>
      </c>
      <c r="D476" s="224" t="s">
        <v>9</v>
      </c>
      <c r="E476" s="224" t="s">
        <v>256</v>
      </c>
      <c r="F476" s="224" t="s">
        <v>250</v>
      </c>
      <c r="G476" s="223" t="str">
        <f>VLOOKUP($B476,'FRS geographical categories'!$A$2:$C$45,2,FALSE)</f>
        <v>Significantly Rural</v>
      </c>
      <c r="H476" s="223" t="str">
        <f>VLOOKUP($B476,'FRS geographical categories'!$A$2:$C$45,3,FALSE)</f>
        <v>Non-metropolitan</v>
      </c>
      <c r="I476" s="224">
        <v>995</v>
      </c>
    </row>
    <row r="477" spans="1:9" ht="15.5" x14ac:dyDescent="0.35">
      <c r="A477" s="224" t="s">
        <v>53</v>
      </c>
      <c r="B477" s="224" t="s">
        <v>25</v>
      </c>
      <c r="C477" s="224" t="s">
        <v>86</v>
      </c>
      <c r="D477" s="224" t="s">
        <v>9</v>
      </c>
      <c r="E477" s="224" t="s">
        <v>256</v>
      </c>
      <c r="F477" s="224" t="s">
        <v>10</v>
      </c>
      <c r="G477" s="223" t="str">
        <f>VLOOKUP($B477,'FRS geographical categories'!$A$2:$C$45,2,FALSE)</f>
        <v>Significantly Rural</v>
      </c>
      <c r="H477" s="223" t="str">
        <f>VLOOKUP($B477,'FRS geographical categories'!$A$2:$C$45,3,FALSE)</f>
        <v>Non-metropolitan</v>
      </c>
      <c r="I477" s="224">
        <v>5558</v>
      </c>
    </row>
    <row r="478" spans="1:9" ht="15.5" x14ac:dyDescent="0.35">
      <c r="A478" s="224" t="s">
        <v>53</v>
      </c>
      <c r="B478" s="224" t="s">
        <v>25</v>
      </c>
      <c r="C478" s="224" t="s">
        <v>89</v>
      </c>
      <c r="D478" s="224" t="s">
        <v>9</v>
      </c>
      <c r="E478" s="224" t="s">
        <v>256</v>
      </c>
      <c r="F478" s="224" t="s">
        <v>248</v>
      </c>
      <c r="G478" s="223" t="str">
        <f>VLOOKUP($B478,'FRS geographical categories'!$A$2:$C$45,2,FALSE)</f>
        <v>Significantly Rural</v>
      </c>
      <c r="H478" s="223" t="str">
        <f>VLOOKUP($B478,'FRS geographical categories'!$A$2:$C$45,3,FALSE)</f>
        <v>Non-metropolitan</v>
      </c>
      <c r="I478" s="224">
        <v>39</v>
      </c>
    </row>
    <row r="479" spans="1:9" ht="15.5" x14ac:dyDescent="0.35">
      <c r="A479" s="224" t="s">
        <v>53</v>
      </c>
      <c r="B479" s="224" t="s">
        <v>25</v>
      </c>
      <c r="C479" s="224" t="s">
        <v>89</v>
      </c>
      <c r="D479" s="224" t="s">
        <v>9</v>
      </c>
      <c r="E479" s="224" t="s">
        <v>256</v>
      </c>
      <c r="F479" s="224" t="s">
        <v>249</v>
      </c>
      <c r="G479" s="223" t="str">
        <f>VLOOKUP($B479,'FRS geographical categories'!$A$2:$C$45,2,FALSE)</f>
        <v>Significantly Rural</v>
      </c>
      <c r="H479" s="223" t="str">
        <f>VLOOKUP($B479,'FRS geographical categories'!$A$2:$C$45,3,FALSE)</f>
        <v>Non-metropolitan</v>
      </c>
      <c r="I479" s="224">
        <v>64</v>
      </c>
    </row>
    <row r="480" spans="1:9" ht="15.5" x14ac:dyDescent="0.35">
      <c r="A480" s="224" t="s">
        <v>53</v>
      </c>
      <c r="B480" s="224" t="s">
        <v>25</v>
      </c>
      <c r="C480" s="224" t="s">
        <v>89</v>
      </c>
      <c r="D480" s="224" t="s">
        <v>9</v>
      </c>
      <c r="E480" s="224" t="s">
        <v>256</v>
      </c>
      <c r="F480" s="224" t="s">
        <v>250</v>
      </c>
      <c r="G480" s="223" t="str">
        <f>VLOOKUP($B480,'FRS geographical categories'!$A$2:$C$45,2,FALSE)</f>
        <v>Significantly Rural</v>
      </c>
      <c r="H480" s="223" t="str">
        <f>VLOOKUP($B480,'FRS geographical categories'!$A$2:$C$45,3,FALSE)</f>
        <v>Non-metropolitan</v>
      </c>
      <c r="I480" s="224">
        <v>7</v>
      </c>
    </row>
    <row r="481" spans="1:9" ht="15.5" x14ac:dyDescent="0.35">
      <c r="A481" s="224" t="s">
        <v>53</v>
      </c>
      <c r="B481" s="224" t="s">
        <v>25</v>
      </c>
      <c r="C481" s="224" t="s">
        <v>89</v>
      </c>
      <c r="D481" s="224" t="s">
        <v>9</v>
      </c>
      <c r="E481" s="224" t="s">
        <v>256</v>
      </c>
      <c r="F481" s="224" t="s">
        <v>10</v>
      </c>
      <c r="G481" s="223" t="str">
        <f>VLOOKUP($B481,'FRS geographical categories'!$A$2:$C$45,2,FALSE)</f>
        <v>Significantly Rural</v>
      </c>
      <c r="H481" s="223" t="str">
        <f>VLOOKUP($B481,'FRS geographical categories'!$A$2:$C$45,3,FALSE)</f>
        <v>Non-metropolitan</v>
      </c>
      <c r="I481" s="224">
        <v>110</v>
      </c>
    </row>
    <row r="482" spans="1:9" ht="15.5" x14ac:dyDescent="0.35">
      <c r="A482" s="224" t="s">
        <v>53</v>
      </c>
      <c r="B482" s="224" t="s">
        <v>26</v>
      </c>
      <c r="C482" s="224" t="s">
        <v>86</v>
      </c>
      <c r="D482" s="224" t="s">
        <v>9</v>
      </c>
      <c r="E482" s="224" t="s">
        <v>256</v>
      </c>
      <c r="F482" s="224" t="s">
        <v>248</v>
      </c>
      <c r="G482" s="223" t="str">
        <f>VLOOKUP($B482,'FRS geographical categories'!$A$2:$C$45,2,FALSE)</f>
        <v>Predominantly Urban</v>
      </c>
      <c r="H482" s="223" t="str">
        <f>VLOOKUP($B482,'FRS geographical categories'!$A$2:$C$45,3,FALSE)</f>
        <v>Metropolitan</v>
      </c>
      <c r="I482" s="224">
        <v>7549</v>
      </c>
    </row>
    <row r="483" spans="1:9" ht="15.5" x14ac:dyDescent="0.35">
      <c r="A483" s="224" t="s">
        <v>53</v>
      </c>
      <c r="B483" s="224" t="s">
        <v>26</v>
      </c>
      <c r="C483" s="224" t="s">
        <v>86</v>
      </c>
      <c r="D483" s="224" t="s">
        <v>9</v>
      </c>
      <c r="E483" s="224" t="s">
        <v>256</v>
      </c>
      <c r="F483" s="224" t="s">
        <v>249</v>
      </c>
      <c r="G483" s="223" t="str">
        <f>VLOOKUP($B483,'FRS geographical categories'!$A$2:$C$45,2,FALSE)</f>
        <v>Predominantly Urban</v>
      </c>
      <c r="H483" s="223" t="str">
        <f>VLOOKUP($B483,'FRS geographical categories'!$A$2:$C$45,3,FALSE)</f>
        <v>Metropolitan</v>
      </c>
      <c r="I483" s="224">
        <v>20652</v>
      </c>
    </row>
    <row r="484" spans="1:9" ht="15.5" x14ac:dyDescent="0.35">
      <c r="A484" s="224" t="s">
        <v>53</v>
      </c>
      <c r="B484" s="224" t="s">
        <v>26</v>
      </c>
      <c r="C484" s="224" t="s">
        <v>86</v>
      </c>
      <c r="D484" s="224" t="s">
        <v>9</v>
      </c>
      <c r="E484" s="224" t="s">
        <v>256</v>
      </c>
      <c r="F484" s="224" t="s">
        <v>250</v>
      </c>
      <c r="G484" s="223" t="str">
        <f>VLOOKUP($B484,'FRS geographical categories'!$A$2:$C$45,2,FALSE)</f>
        <v>Predominantly Urban</v>
      </c>
      <c r="H484" s="223" t="str">
        <f>VLOOKUP($B484,'FRS geographical categories'!$A$2:$C$45,3,FALSE)</f>
        <v>Metropolitan</v>
      </c>
      <c r="I484" s="224">
        <v>15592</v>
      </c>
    </row>
    <row r="485" spans="1:9" ht="15.5" x14ac:dyDescent="0.35">
      <c r="A485" s="224" t="s">
        <v>53</v>
      </c>
      <c r="B485" s="224" t="s">
        <v>26</v>
      </c>
      <c r="C485" s="224" t="s">
        <v>86</v>
      </c>
      <c r="D485" s="224" t="s">
        <v>9</v>
      </c>
      <c r="E485" s="224" t="s">
        <v>256</v>
      </c>
      <c r="F485" s="224" t="s">
        <v>10</v>
      </c>
      <c r="G485" s="223" t="str">
        <f>VLOOKUP($B485,'FRS geographical categories'!$A$2:$C$45,2,FALSE)</f>
        <v>Predominantly Urban</v>
      </c>
      <c r="H485" s="223" t="str">
        <f>VLOOKUP($B485,'FRS geographical categories'!$A$2:$C$45,3,FALSE)</f>
        <v>Metropolitan</v>
      </c>
      <c r="I485" s="224">
        <v>76846</v>
      </c>
    </row>
    <row r="486" spans="1:9" ht="15.5" x14ac:dyDescent="0.35">
      <c r="A486" s="224" t="s">
        <v>53</v>
      </c>
      <c r="B486" s="224" t="s">
        <v>26</v>
      </c>
      <c r="C486" s="224" t="s">
        <v>89</v>
      </c>
      <c r="D486" s="224" t="s">
        <v>9</v>
      </c>
      <c r="E486" s="224" t="s">
        <v>256</v>
      </c>
      <c r="F486" s="224" t="s">
        <v>248</v>
      </c>
      <c r="G486" s="223" t="str">
        <f>VLOOKUP($B486,'FRS geographical categories'!$A$2:$C$45,2,FALSE)</f>
        <v>Predominantly Urban</v>
      </c>
      <c r="H486" s="223" t="str">
        <f>VLOOKUP($B486,'FRS geographical categories'!$A$2:$C$45,3,FALSE)</f>
        <v>Metropolitan</v>
      </c>
      <c r="I486" s="224">
        <v>24</v>
      </c>
    </row>
    <row r="487" spans="1:9" ht="15.5" x14ac:dyDescent="0.35">
      <c r="A487" s="224" t="s">
        <v>53</v>
      </c>
      <c r="B487" s="224" t="s">
        <v>26</v>
      </c>
      <c r="C487" s="224" t="s">
        <v>89</v>
      </c>
      <c r="D487" s="224" t="s">
        <v>9</v>
      </c>
      <c r="E487" s="224" t="s">
        <v>256</v>
      </c>
      <c r="F487" s="224" t="s">
        <v>249</v>
      </c>
      <c r="G487" s="223" t="str">
        <f>VLOOKUP($B487,'FRS geographical categories'!$A$2:$C$45,2,FALSE)</f>
        <v>Predominantly Urban</v>
      </c>
      <c r="H487" s="223" t="str">
        <f>VLOOKUP($B487,'FRS geographical categories'!$A$2:$C$45,3,FALSE)</f>
        <v>Metropolitan</v>
      </c>
      <c r="I487" s="224">
        <v>21</v>
      </c>
    </row>
    <row r="488" spans="1:9" ht="15.5" x14ac:dyDescent="0.35">
      <c r="A488" s="224" t="s">
        <v>53</v>
      </c>
      <c r="B488" s="224" t="s">
        <v>26</v>
      </c>
      <c r="C488" s="224" t="s">
        <v>89</v>
      </c>
      <c r="D488" s="224" t="s">
        <v>9</v>
      </c>
      <c r="E488" s="224" t="s">
        <v>256</v>
      </c>
      <c r="F488" s="224" t="s">
        <v>250</v>
      </c>
      <c r="G488" s="223" t="str">
        <f>VLOOKUP($B488,'FRS geographical categories'!$A$2:$C$45,2,FALSE)</f>
        <v>Predominantly Urban</v>
      </c>
      <c r="H488" s="223" t="str">
        <f>VLOOKUP($B488,'FRS geographical categories'!$A$2:$C$45,3,FALSE)</f>
        <v>Metropolitan</v>
      </c>
      <c r="I488" s="224">
        <v>14</v>
      </c>
    </row>
    <row r="489" spans="1:9" ht="15.5" x14ac:dyDescent="0.35">
      <c r="A489" s="224" t="s">
        <v>53</v>
      </c>
      <c r="B489" s="224" t="s">
        <v>26</v>
      </c>
      <c r="C489" s="224" t="s">
        <v>89</v>
      </c>
      <c r="D489" s="224" t="s">
        <v>9</v>
      </c>
      <c r="E489" s="224" t="s">
        <v>256</v>
      </c>
      <c r="F489" s="224" t="s">
        <v>10</v>
      </c>
      <c r="G489" s="223" t="str">
        <f>VLOOKUP($B489,'FRS geographical categories'!$A$2:$C$45,2,FALSE)</f>
        <v>Predominantly Urban</v>
      </c>
      <c r="H489" s="223" t="str">
        <f>VLOOKUP($B489,'FRS geographical categories'!$A$2:$C$45,3,FALSE)</f>
        <v>Metropolitan</v>
      </c>
      <c r="I489" s="224">
        <v>525</v>
      </c>
    </row>
    <row r="490" spans="1:9" ht="15.5" x14ac:dyDescent="0.35">
      <c r="A490" s="224" t="s">
        <v>53</v>
      </c>
      <c r="B490" s="224" t="s">
        <v>27</v>
      </c>
      <c r="C490" s="224" t="s">
        <v>86</v>
      </c>
      <c r="D490" s="224" t="s">
        <v>9</v>
      </c>
      <c r="E490" s="224" t="s">
        <v>256</v>
      </c>
      <c r="F490" s="224" t="s">
        <v>248</v>
      </c>
      <c r="G490" s="223" t="str">
        <f>VLOOKUP($B490,'FRS geographical categories'!$A$2:$C$45,2,FALSE)</f>
        <v>Predominantly Urban</v>
      </c>
      <c r="H490" s="223" t="str">
        <f>VLOOKUP($B490,'FRS geographical categories'!$A$2:$C$45,3,FALSE)</f>
        <v>Metropolitan</v>
      </c>
      <c r="I490" s="224">
        <v>655</v>
      </c>
    </row>
    <row r="491" spans="1:9" ht="15.5" x14ac:dyDescent="0.35">
      <c r="A491" s="224" t="s">
        <v>53</v>
      </c>
      <c r="B491" s="224" t="s">
        <v>27</v>
      </c>
      <c r="C491" s="224" t="s">
        <v>86</v>
      </c>
      <c r="D491" s="224" t="s">
        <v>9</v>
      </c>
      <c r="E491" s="224" t="s">
        <v>256</v>
      </c>
      <c r="F491" s="224" t="s">
        <v>249</v>
      </c>
      <c r="G491" s="223" t="str">
        <f>VLOOKUP($B491,'FRS geographical categories'!$A$2:$C$45,2,FALSE)</f>
        <v>Predominantly Urban</v>
      </c>
      <c r="H491" s="223" t="str">
        <f>VLOOKUP($B491,'FRS geographical categories'!$A$2:$C$45,3,FALSE)</f>
        <v>Metropolitan</v>
      </c>
      <c r="I491" s="224">
        <v>1346</v>
      </c>
    </row>
    <row r="492" spans="1:9" ht="15.5" x14ac:dyDescent="0.35">
      <c r="A492" s="224" t="s">
        <v>53</v>
      </c>
      <c r="B492" s="224" t="s">
        <v>27</v>
      </c>
      <c r="C492" s="224" t="s">
        <v>86</v>
      </c>
      <c r="D492" s="224" t="s">
        <v>9</v>
      </c>
      <c r="E492" s="224" t="s">
        <v>256</v>
      </c>
      <c r="F492" s="224" t="s">
        <v>250</v>
      </c>
      <c r="G492" s="223" t="str">
        <f>VLOOKUP($B492,'FRS geographical categories'!$A$2:$C$45,2,FALSE)</f>
        <v>Predominantly Urban</v>
      </c>
      <c r="H492" s="223" t="str">
        <f>VLOOKUP($B492,'FRS geographical categories'!$A$2:$C$45,3,FALSE)</f>
        <v>Metropolitan</v>
      </c>
      <c r="I492" s="224">
        <v>6963</v>
      </c>
    </row>
    <row r="493" spans="1:9" ht="15.5" x14ac:dyDescent="0.35">
      <c r="A493" s="224" t="s">
        <v>53</v>
      </c>
      <c r="B493" s="224" t="s">
        <v>27</v>
      </c>
      <c r="C493" s="224" t="s">
        <v>86</v>
      </c>
      <c r="D493" s="224" t="s">
        <v>9</v>
      </c>
      <c r="E493" s="224" t="s">
        <v>256</v>
      </c>
      <c r="F493" s="224" t="s">
        <v>10</v>
      </c>
      <c r="G493" s="223" t="str">
        <f>VLOOKUP($B493,'FRS geographical categories'!$A$2:$C$45,2,FALSE)</f>
        <v>Predominantly Urban</v>
      </c>
      <c r="H493" s="223" t="str">
        <f>VLOOKUP($B493,'FRS geographical categories'!$A$2:$C$45,3,FALSE)</f>
        <v>Metropolitan</v>
      </c>
      <c r="I493" s="224">
        <v>22298</v>
      </c>
    </row>
    <row r="494" spans="1:9" ht="15.5" x14ac:dyDescent="0.35">
      <c r="A494" s="224" t="s">
        <v>53</v>
      </c>
      <c r="B494" s="224" t="s">
        <v>27</v>
      </c>
      <c r="C494" s="224" t="s">
        <v>89</v>
      </c>
      <c r="D494" s="224" t="s">
        <v>9</v>
      </c>
      <c r="E494" s="224" t="s">
        <v>256</v>
      </c>
      <c r="F494" s="224" t="s">
        <v>248</v>
      </c>
      <c r="G494" s="223" t="str">
        <f>VLOOKUP($B494,'FRS geographical categories'!$A$2:$C$45,2,FALSE)</f>
        <v>Predominantly Urban</v>
      </c>
      <c r="H494" s="223" t="str">
        <f>VLOOKUP($B494,'FRS geographical categories'!$A$2:$C$45,3,FALSE)</f>
        <v>Metropolitan</v>
      </c>
      <c r="I494" s="224">
        <v>0</v>
      </c>
    </row>
    <row r="495" spans="1:9" ht="15.5" x14ac:dyDescent="0.35">
      <c r="A495" s="224" t="s">
        <v>53</v>
      </c>
      <c r="B495" s="224" t="s">
        <v>27</v>
      </c>
      <c r="C495" s="224" t="s">
        <v>89</v>
      </c>
      <c r="D495" s="224" t="s">
        <v>9</v>
      </c>
      <c r="E495" s="224" t="s">
        <v>256</v>
      </c>
      <c r="F495" s="224" t="s">
        <v>249</v>
      </c>
      <c r="G495" s="223" t="str">
        <f>VLOOKUP($B495,'FRS geographical categories'!$A$2:$C$45,2,FALSE)</f>
        <v>Predominantly Urban</v>
      </c>
      <c r="H495" s="223" t="str">
        <f>VLOOKUP($B495,'FRS geographical categories'!$A$2:$C$45,3,FALSE)</f>
        <v>Metropolitan</v>
      </c>
      <c r="I495" s="224">
        <v>0</v>
      </c>
    </row>
    <row r="496" spans="1:9" ht="15.5" x14ac:dyDescent="0.35">
      <c r="A496" s="224" t="s">
        <v>53</v>
      </c>
      <c r="B496" s="224" t="s">
        <v>27</v>
      </c>
      <c r="C496" s="224" t="s">
        <v>89</v>
      </c>
      <c r="D496" s="224" t="s">
        <v>9</v>
      </c>
      <c r="E496" s="224" t="s">
        <v>256</v>
      </c>
      <c r="F496" s="224" t="s">
        <v>250</v>
      </c>
      <c r="G496" s="223" t="str">
        <f>VLOOKUP($B496,'FRS geographical categories'!$A$2:$C$45,2,FALSE)</f>
        <v>Predominantly Urban</v>
      </c>
      <c r="H496" s="223" t="str">
        <f>VLOOKUP($B496,'FRS geographical categories'!$A$2:$C$45,3,FALSE)</f>
        <v>Metropolitan</v>
      </c>
      <c r="I496" s="224">
        <v>0</v>
      </c>
    </row>
    <row r="497" spans="1:9" ht="15.5" x14ac:dyDescent="0.35">
      <c r="A497" s="224" t="s">
        <v>53</v>
      </c>
      <c r="B497" s="224" t="s">
        <v>27</v>
      </c>
      <c r="C497" s="224" t="s">
        <v>89</v>
      </c>
      <c r="D497" s="224" t="s">
        <v>9</v>
      </c>
      <c r="E497" s="224" t="s">
        <v>256</v>
      </c>
      <c r="F497" s="224" t="s">
        <v>10</v>
      </c>
      <c r="G497" s="223" t="str">
        <f>VLOOKUP($B497,'FRS geographical categories'!$A$2:$C$45,2,FALSE)</f>
        <v>Predominantly Urban</v>
      </c>
      <c r="H497" s="223" t="str">
        <f>VLOOKUP($B497,'FRS geographical categories'!$A$2:$C$45,3,FALSE)</f>
        <v>Metropolitan</v>
      </c>
      <c r="I497" s="224">
        <v>0</v>
      </c>
    </row>
    <row r="498" spans="1:9" ht="15.5" x14ac:dyDescent="0.35">
      <c r="A498" s="224" t="s">
        <v>53</v>
      </c>
      <c r="B498" s="224" t="s">
        <v>93</v>
      </c>
      <c r="C498" s="224" t="s">
        <v>86</v>
      </c>
      <c r="D498" s="224" t="s">
        <v>9</v>
      </c>
      <c r="E498" s="224" t="s">
        <v>256</v>
      </c>
      <c r="F498" s="224" t="s">
        <v>248</v>
      </c>
      <c r="G498" s="223" t="str">
        <f>VLOOKUP($B498,'FRS geographical categories'!$A$2:$C$45,2,FALSE)</f>
        <v>Significantly Rural</v>
      </c>
      <c r="H498" s="223" t="str">
        <f>VLOOKUP($B498,'FRS geographical categories'!$A$2:$C$45,3,FALSE)</f>
        <v>Non-metropolitan</v>
      </c>
      <c r="I498" s="224">
        <v>783</v>
      </c>
    </row>
    <row r="499" spans="1:9" ht="15.5" x14ac:dyDescent="0.35">
      <c r="A499" s="224" t="s">
        <v>53</v>
      </c>
      <c r="B499" s="224" t="s">
        <v>93</v>
      </c>
      <c r="C499" s="224" t="s">
        <v>86</v>
      </c>
      <c r="D499" s="224" t="s">
        <v>9</v>
      </c>
      <c r="E499" s="224" t="s">
        <v>256</v>
      </c>
      <c r="F499" s="224" t="s">
        <v>249</v>
      </c>
      <c r="G499" s="223" t="str">
        <f>VLOOKUP($B499,'FRS geographical categories'!$A$2:$C$45,2,FALSE)</f>
        <v>Significantly Rural</v>
      </c>
      <c r="H499" s="223" t="str">
        <f>VLOOKUP($B499,'FRS geographical categories'!$A$2:$C$45,3,FALSE)</f>
        <v>Non-metropolitan</v>
      </c>
      <c r="I499" s="224">
        <v>2276</v>
      </c>
    </row>
    <row r="500" spans="1:9" ht="15.5" x14ac:dyDescent="0.35">
      <c r="A500" s="224" t="s">
        <v>53</v>
      </c>
      <c r="B500" s="224" t="s">
        <v>93</v>
      </c>
      <c r="C500" s="224" t="s">
        <v>86</v>
      </c>
      <c r="D500" s="224" t="s">
        <v>9</v>
      </c>
      <c r="E500" s="224" t="s">
        <v>256</v>
      </c>
      <c r="F500" s="224" t="s">
        <v>250</v>
      </c>
      <c r="G500" s="223" t="str">
        <f>VLOOKUP($B500,'FRS geographical categories'!$A$2:$C$45,2,FALSE)</f>
        <v>Significantly Rural</v>
      </c>
      <c r="H500" s="223" t="str">
        <f>VLOOKUP($B500,'FRS geographical categories'!$A$2:$C$45,3,FALSE)</f>
        <v>Non-metropolitan</v>
      </c>
      <c r="I500" s="224">
        <v>2287</v>
      </c>
    </row>
    <row r="501" spans="1:9" ht="15.5" x14ac:dyDescent="0.35">
      <c r="A501" s="224" t="s">
        <v>53</v>
      </c>
      <c r="B501" s="224" t="s">
        <v>93</v>
      </c>
      <c r="C501" s="224" t="s">
        <v>86</v>
      </c>
      <c r="D501" s="224" t="s">
        <v>9</v>
      </c>
      <c r="E501" s="224" t="s">
        <v>256</v>
      </c>
      <c r="F501" s="224" t="s">
        <v>10</v>
      </c>
      <c r="G501" s="223" t="str">
        <f>VLOOKUP($B501,'FRS geographical categories'!$A$2:$C$45,2,FALSE)</f>
        <v>Significantly Rural</v>
      </c>
      <c r="H501" s="223" t="str">
        <f>VLOOKUP($B501,'FRS geographical categories'!$A$2:$C$45,3,FALSE)</f>
        <v>Non-metropolitan</v>
      </c>
      <c r="I501" s="224">
        <v>9196</v>
      </c>
    </row>
    <row r="502" spans="1:9" ht="15.5" x14ac:dyDescent="0.35">
      <c r="A502" s="224" t="s">
        <v>53</v>
      </c>
      <c r="B502" s="224" t="s">
        <v>93</v>
      </c>
      <c r="C502" s="224" t="s">
        <v>89</v>
      </c>
      <c r="D502" s="224" t="s">
        <v>9</v>
      </c>
      <c r="E502" s="224" t="s">
        <v>256</v>
      </c>
      <c r="F502" s="224" t="s">
        <v>248</v>
      </c>
      <c r="G502" s="223" t="str">
        <f>VLOOKUP($B502,'FRS geographical categories'!$A$2:$C$45,2,FALSE)</f>
        <v>Significantly Rural</v>
      </c>
      <c r="H502" s="223" t="str">
        <f>VLOOKUP($B502,'FRS geographical categories'!$A$2:$C$45,3,FALSE)</f>
        <v>Non-metropolitan</v>
      </c>
      <c r="I502" s="224">
        <v>0</v>
      </c>
    </row>
    <row r="503" spans="1:9" ht="15.5" x14ac:dyDescent="0.35">
      <c r="A503" s="224" t="s">
        <v>53</v>
      </c>
      <c r="B503" s="224" t="s">
        <v>93</v>
      </c>
      <c r="C503" s="224" t="s">
        <v>89</v>
      </c>
      <c r="D503" s="224" t="s">
        <v>9</v>
      </c>
      <c r="E503" s="224" t="s">
        <v>256</v>
      </c>
      <c r="F503" s="224" t="s">
        <v>249</v>
      </c>
      <c r="G503" s="223" t="str">
        <f>VLOOKUP($B503,'FRS geographical categories'!$A$2:$C$45,2,FALSE)</f>
        <v>Significantly Rural</v>
      </c>
      <c r="H503" s="223" t="str">
        <f>VLOOKUP($B503,'FRS geographical categories'!$A$2:$C$45,3,FALSE)</f>
        <v>Non-metropolitan</v>
      </c>
      <c r="I503" s="224">
        <v>0</v>
      </c>
    </row>
    <row r="504" spans="1:9" ht="15.5" x14ac:dyDescent="0.35">
      <c r="A504" s="224" t="s">
        <v>53</v>
      </c>
      <c r="B504" s="224" t="s">
        <v>93</v>
      </c>
      <c r="C504" s="224" t="s">
        <v>89</v>
      </c>
      <c r="D504" s="224" t="s">
        <v>9</v>
      </c>
      <c r="E504" s="224" t="s">
        <v>256</v>
      </c>
      <c r="F504" s="224" t="s">
        <v>250</v>
      </c>
      <c r="G504" s="223" t="str">
        <f>VLOOKUP($B504,'FRS geographical categories'!$A$2:$C$45,2,FALSE)</f>
        <v>Significantly Rural</v>
      </c>
      <c r="H504" s="223" t="str">
        <f>VLOOKUP($B504,'FRS geographical categories'!$A$2:$C$45,3,FALSE)</f>
        <v>Non-metropolitan</v>
      </c>
      <c r="I504" s="224">
        <v>113</v>
      </c>
    </row>
    <row r="505" spans="1:9" ht="15.5" x14ac:dyDescent="0.35">
      <c r="A505" s="224" t="s">
        <v>53</v>
      </c>
      <c r="B505" s="224" t="s">
        <v>93</v>
      </c>
      <c r="C505" s="224" t="s">
        <v>89</v>
      </c>
      <c r="D505" s="224" t="s">
        <v>9</v>
      </c>
      <c r="E505" s="224" t="s">
        <v>256</v>
      </c>
      <c r="F505" s="224" t="s">
        <v>10</v>
      </c>
      <c r="G505" s="223" t="str">
        <f>VLOOKUP($B505,'FRS geographical categories'!$A$2:$C$45,2,FALSE)</f>
        <v>Significantly Rural</v>
      </c>
      <c r="H505" s="223" t="str">
        <f>VLOOKUP($B505,'FRS geographical categories'!$A$2:$C$45,3,FALSE)</f>
        <v>Non-metropolitan</v>
      </c>
      <c r="I505" s="224">
        <v>116</v>
      </c>
    </row>
    <row r="506" spans="1:9" ht="15.5" x14ac:dyDescent="0.35">
      <c r="A506" s="224" t="s">
        <v>53</v>
      </c>
      <c r="B506" s="224" t="s">
        <v>28</v>
      </c>
      <c r="C506" s="224" t="s">
        <v>86</v>
      </c>
      <c r="D506" s="224" t="s">
        <v>9</v>
      </c>
      <c r="E506" s="224" t="s">
        <v>256</v>
      </c>
      <c r="F506" s="224" t="s">
        <v>248</v>
      </c>
      <c r="G506" s="223" t="str">
        <f>VLOOKUP($B506,'FRS geographical categories'!$A$2:$C$45,2,FALSE)</f>
        <v>Significantly Rural</v>
      </c>
      <c r="H506" s="223" t="str">
        <f>VLOOKUP($B506,'FRS geographical categories'!$A$2:$C$45,3,FALSE)</f>
        <v>Non-metropolitan</v>
      </c>
      <c r="I506" s="224">
        <v>98</v>
      </c>
    </row>
    <row r="507" spans="1:9" ht="15.5" x14ac:dyDescent="0.35">
      <c r="A507" s="224" t="s">
        <v>53</v>
      </c>
      <c r="B507" s="224" t="s">
        <v>28</v>
      </c>
      <c r="C507" s="224" t="s">
        <v>86</v>
      </c>
      <c r="D507" s="224" t="s">
        <v>9</v>
      </c>
      <c r="E507" s="224" t="s">
        <v>256</v>
      </c>
      <c r="F507" s="224" t="s">
        <v>249</v>
      </c>
      <c r="G507" s="223" t="str">
        <f>VLOOKUP($B507,'FRS geographical categories'!$A$2:$C$45,2,FALSE)</f>
        <v>Significantly Rural</v>
      </c>
      <c r="H507" s="223" t="str">
        <f>VLOOKUP($B507,'FRS geographical categories'!$A$2:$C$45,3,FALSE)</f>
        <v>Non-metropolitan</v>
      </c>
      <c r="I507" s="224">
        <v>513</v>
      </c>
    </row>
    <row r="508" spans="1:9" ht="15.5" x14ac:dyDescent="0.35">
      <c r="A508" s="224" t="s">
        <v>53</v>
      </c>
      <c r="B508" s="224" t="s">
        <v>28</v>
      </c>
      <c r="C508" s="224" t="s">
        <v>86</v>
      </c>
      <c r="D508" s="224" t="s">
        <v>9</v>
      </c>
      <c r="E508" s="224" t="s">
        <v>256</v>
      </c>
      <c r="F508" s="224" t="s">
        <v>250</v>
      </c>
      <c r="G508" s="223" t="str">
        <f>VLOOKUP($B508,'FRS geographical categories'!$A$2:$C$45,2,FALSE)</f>
        <v>Significantly Rural</v>
      </c>
      <c r="H508" s="223" t="str">
        <f>VLOOKUP($B508,'FRS geographical categories'!$A$2:$C$45,3,FALSE)</f>
        <v>Non-metropolitan</v>
      </c>
      <c r="I508" s="224">
        <v>1359</v>
      </c>
    </row>
    <row r="509" spans="1:9" ht="15.5" x14ac:dyDescent="0.35">
      <c r="A509" s="224" t="s">
        <v>53</v>
      </c>
      <c r="B509" s="224" t="s">
        <v>28</v>
      </c>
      <c r="C509" s="224" t="s">
        <v>86</v>
      </c>
      <c r="D509" s="224" t="s">
        <v>9</v>
      </c>
      <c r="E509" s="224" t="s">
        <v>256</v>
      </c>
      <c r="F509" s="224" t="s">
        <v>10</v>
      </c>
      <c r="G509" s="223" t="str">
        <f>VLOOKUP($B509,'FRS geographical categories'!$A$2:$C$45,2,FALSE)</f>
        <v>Significantly Rural</v>
      </c>
      <c r="H509" s="223" t="str">
        <f>VLOOKUP($B509,'FRS geographical categories'!$A$2:$C$45,3,FALSE)</f>
        <v>Non-metropolitan</v>
      </c>
      <c r="I509" s="224">
        <v>2510</v>
      </c>
    </row>
    <row r="510" spans="1:9" ht="15.5" x14ac:dyDescent="0.35">
      <c r="A510" s="224" t="s">
        <v>53</v>
      </c>
      <c r="B510" s="224" t="s">
        <v>28</v>
      </c>
      <c r="C510" s="224" t="s">
        <v>89</v>
      </c>
      <c r="D510" s="224" t="s">
        <v>9</v>
      </c>
      <c r="E510" s="224" t="s">
        <v>256</v>
      </c>
      <c r="F510" s="224" t="s">
        <v>248</v>
      </c>
      <c r="G510" s="223" t="str">
        <f>VLOOKUP($B510,'FRS geographical categories'!$A$2:$C$45,2,FALSE)</f>
        <v>Significantly Rural</v>
      </c>
      <c r="H510" s="223" t="str">
        <f>VLOOKUP($B510,'FRS geographical categories'!$A$2:$C$45,3,FALSE)</f>
        <v>Non-metropolitan</v>
      </c>
      <c r="I510" s="224">
        <v>0</v>
      </c>
    </row>
    <row r="511" spans="1:9" ht="15.5" x14ac:dyDescent="0.35">
      <c r="A511" s="224" t="s">
        <v>53</v>
      </c>
      <c r="B511" s="224" t="s">
        <v>28</v>
      </c>
      <c r="C511" s="224" t="s">
        <v>89</v>
      </c>
      <c r="D511" s="224" t="s">
        <v>9</v>
      </c>
      <c r="E511" s="224" t="s">
        <v>256</v>
      </c>
      <c r="F511" s="224" t="s">
        <v>249</v>
      </c>
      <c r="G511" s="223" t="str">
        <f>VLOOKUP($B511,'FRS geographical categories'!$A$2:$C$45,2,FALSE)</f>
        <v>Significantly Rural</v>
      </c>
      <c r="H511" s="223" t="str">
        <f>VLOOKUP($B511,'FRS geographical categories'!$A$2:$C$45,3,FALSE)</f>
        <v>Non-metropolitan</v>
      </c>
      <c r="I511" s="224">
        <v>0</v>
      </c>
    </row>
    <row r="512" spans="1:9" ht="15.5" x14ac:dyDescent="0.35">
      <c r="A512" s="224" t="s">
        <v>53</v>
      </c>
      <c r="B512" s="224" t="s">
        <v>28</v>
      </c>
      <c r="C512" s="224" t="s">
        <v>89</v>
      </c>
      <c r="D512" s="224" t="s">
        <v>9</v>
      </c>
      <c r="E512" s="224" t="s">
        <v>256</v>
      </c>
      <c r="F512" s="224" t="s">
        <v>250</v>
      </c>
      <c r="G512" s="223" t="str">
        <f>VLOOKUP($B512,'FRS geographical categories'!$A$2:$C$45,2,FALSE)</f>
        <v>Significantly Rural</v>
      </c>
      <c r="H512" s="223" t="str">
        <f>VLOOKUP($B512,'FRS geographical categories'!$A$2:$C$45,3,FALSE)</f>
        <v>Non-metropolitan</v>
      </c>
      <c r="I512" s="224">
        <v>0</v>
      </c>
    </row>
    <row r="513" spans="1:9" ht="15.5" x14ac:dyDescent="0.35">
      <c r="A513" s="224" t="s">
        <v>53</v>
      </c>
      <c r="B513" s="224" t="s">
        <v>28</v>
      </c>
      <c r="C513" s="224" t="s">
        <v>89</v>
      </c>
      <c r="D513" s="224" t="s">
        <v>9</v>
      </c>
      <c r="E513" s="224" t="s">
        <v>256</v>
      </c>
      <c r="F513" s="224" t="s">
        <v>10</v>
      </c>
      <c r="G513" s="223" t="str">
        <f>VLOOKUP($B513,'FRS geographical categories'!$A$2:$C$45,2,FALSE)</f>
        <v>Significantly Rural</v>
      </c>
      <c r="H513" s="223" t="str">
        <f>VLOOKUP($B513,'FRS geographical categories'!$A$2:$C$45,3,FALSE)</f>
        <v>Non-metropolitan</v>
      </c>
      <c r="I513" s="224">
        <v>0</v>
      </c>
    </row>
    <row r="514" spans="1:9" ht="15.5" x14ac:dyDescent="0.35">
      <c r="A514" s="224" t="s">
        <v>53</v>
      </c>
      <c r="B514" s="224" t="s">
        <v>29</v>
      </c>
      <c r="C514" s="224" t="s">
        <v>86</v>
      </c>
      <c r="D514" s="224" t="s">
        <v>9</v>
      </c>
      <c r="E514" s="224" t="s">
        <v>256</v>
      </c>
      <c r="F514" s="224" t="s">
        <v>248</v>
      </c>
      <c r="G514" s="223" t="str">
        <f>VLOOKUP($B514,'FRS geographical categories'!$A$2:$C$45,2,FALSE)</f>
        <v>Predominantly Urban</v>
      </c>
      <c r="H514" s="223" t="str">
        <f>VLOOKUP($B514,'FRS geographical categories'!$A$2:$C$45,3,FALSE)</f>
        <v>Non-metropolitan</v>
      </c>
      <c r="I514" s="224">
        <v>186</v>
      </c>
    </row>
    <row r="515" spans="1:9" ht="15.5" x14ac:dyDescent="0.35">
      <c r="A515" s="224" t="s">
        <v>53</v>
      </c>
      <c r="B515" s="224" t="s">
        <v>29</v>
      </c>
      <c r="C515" s="224" t="s">
        <v>86</v>
      </c>
      <c r="D515" s="224" t="s">
        <v>9</v>
      </c>
      <c r="E515" s="224" t="s">
        <v>256</v>
      </c>
      <c r="F515" s="224" t="s">
        <v>249</v>
      </c>
      <c r="G515" s="223" t="str">
        <f>VLOOKUP($B515,'FRS geographical categories'!$A$2:$C$45,2,FALSE)</f>
        <v>Predominantly Urban</v>
      </c>
      <c r="H515" s="223" t="str">
        <f>VLOOKUP($B515,'FRS geographical categories'!$A$2:$C$45,3,FALSE)</f>
        <v>Non-metropolitan</v>
      </c>
      <c r="I515" s="224">
        <v>1001</v>
      </c>
    </row>
    <row r="516" spans="1:9" ht="15.5" x14ac:dyDescent="0.35">
      <c r="A516" s="224" t="s">
        <v>53</v>
      </c>
      <c r="B516" s="224" t="s">
        <v>29</v>
      </c>
      <c r="C516" s="224" t="s">
        <v>86</v>
      </c>
      <c r="D516" s="224" t="s">
        <v>9</v>
      </c>
      <c r="E516" s="224" t="s">
        <v>256</v>
      </c>
      <c r="F516" s="224" t="s">
        <v>250</v>
      </c>
      <c r="G516" s="223" t="str">
        <f>VLOOKUP($B516,'FRS geographical categories'!$A$2:$C$45,2,FALSE)</f>
        <v>Predominantly Urban</v>
      </c>
      <c r="H516" s="223" t="str">
        <f>VLOOKUP($B516,'FRS geographical categories'!$A$2:$C$45,3,FALSE)</f>
        <v>Non-metropolitan</v>
      </c>
      <c r="I516" s="224">
        <v>2623</v>
      </c>
    </row>
    <row r="517" spans="1:9" ht="15.5" x14ac:dyDescent="0.35">
      <c r="A517" s="224" t="s">
        <v>53</v>
      </c>
      <c r="B517" s="224" t="s">
        <v>29</v>
      </c>
      <c r="C517" s="224" t="s">
        <v>86</v>
      </c>
      <c r="D517" s="224" t="s">
        <v>9</v>
      </c>
      <c r="E517" s="224" t="s">
        <v>256</v>
      </c>
      <c r="F517" s="224" t="s">
        <v>10</v>
      </c>
      <c r="G517" s="223" t="str">
        <f>VLOOKUP($B517,'FRS geographical categories'!$A$2:$C$45,2,FALSE)</f>
        <v>Predominantly Urban</v>
      </c>
      <c r="H517" s="223" t="str">
        <f>VLOOKUP($B517,'FRS geographical categories'!$A$2:$C$45,3,FALSE)</f>
        <v>Non-metropolitan</v>
      </c>
      <c r="I517" s="224">
        <v>6851</v>
      </c>
    </row>
    <row r="518" spans="1:9" ht="15.5" x14ac:dyDescent="0.35">
      <c r="A518" s="224" t="s">
        <v>53</v>
      </c>
      <c r="B518" s="224" t="s">
        <v>29</v>
      </c>
      <c r="C518" s="224" t="s">
        <v>89</v>
      </c>
      <c r="D518" s="224" t="s">
        <v>9</v>
      </c>
      <c r="E518" s="224" t="s">
        <v>256</v>
      </c>
      <c r="F518" s="224" t="s">
        <v>248</v>
      </c>
      <c r="G518" s="223" t="str">
        <f>VLOOKUP($B518,'FRS geographical categories'!$A$2:$C$45,2,FALSE)</f>
        <v>Predominantly Urban</v>
      </c>
      <c r="H518" s="223" t="str">
        <f>VLOOKUP($B518,'FRS geographical categories'!$A$2:$C$45,3,FALSE)</f>
        <v>Non-metropolitan</v>
      </c>
      <c r="I518" s="224">
        <v>0</v>
      </c>
    </row>
    <row r="519" spans="1:9" ht="15.5" x14ac:dyDescent="0.35">
      <c r="A519" s="224" t="s">
        <v>53</v>
      </c>
      <c r="B519" s="224" t="s">
        <v>29</v>
      </c>
      <c r="C519" s="224" t="s">
        <v>89</v>
      </c>
      <c r="D519" s="224" t="s">
        <v>9</v>
      </c>
      <c r="E519" s="224" t="s">
        <v>256</v>
      </c>
      <c r="F519" s="224" t="s">
        <v>249</v>
      </c>
      <c r="G519" s="223" t="str">
        <f>VLOOKUP($B519,'FRS geographical categories'!$A$2:$C$45,2,FALSE)</f>
        <v>Predominantly Urban</v>
      </c>
      <c r="H519" s="223" t="str">
        <f>VLOOKUP($B519,'FRS geographical categories'!$A$2:$C$45,3,FALSE)</f>
        <v>Non-metropolitan</v>
      </c>
      <c r="I519" s="224">
        <v>0</v>
      </c>
    </row>
    <row r="520" spans="1:9" ht="15.5" x14ac:dyDescent="0.35">
      <c r="A520" s="224" t="s">
        <v>53</v>
      </c>
      <c r="B520" s="224" t="s">
        <v>29</v>
      </c>
      <c r="C520" s="224" t="s">
        <v>89</v>
      </c>
      <c r="D520" s="224" t="s">
        <v>9</v>
      </c>
      <c r="E520" s="224" t="s">
        <v>256</v>
      </c>
      <c r="F520" s="224" t="s">
        <v>250</v>
      </c>
      <c r="G520" s="223" t="str">
        <f>VLOOKUP($B520,'FRS geographical categories'!$A$2:$C$45,2,FALSE)</f>
        <v>Predominantly Urban</v>
      </c>
      <c r="H520" s="223" t="str">
        <f>VLOOKUP($B520,'FRS geographical categories'!$A$2:$C$45,3,FALSE)</f>
        <v>Non-metropolitan</v>
      </c>
      <c r="I520" s="224">
        <v>0</v>
      </c>
    </row>
    <row r="521" spans="1:9" ht="15.5" x14ac:dyDescent="0.35">
      <c r="A521" s="224" t="s">
        <v>53</v>
      </c>
      <c r="B521" s="224" t="s">
        <v>29</v>
      </c>
      <c r="C521" s="224" t="s">
        <v>89</v>
      </c>
      <c r="D521" s="224" t="s">
        <v>9</v>
      </c>
      <c r="E521" s="224" t="s">
        <v>256</v>
      </c>
      <c r="F521" s="224" t="s">
        <v>10</v>
      </c>
      <c r="G521" s="223" t="str">
        <f>VLOOKUP($B521,'FRS geographical categories'!$A$2:$C$45,2,FALSE)</f>
        <v>Predominantly Urban</v>
      </c>
      <c r="H521" s="223" t="str">
        <f>VLOOKUP($B521,'FRS geographical categories'!$A$2:$C$45,3,FALSE)</f>
        <v>Non-metropolitan</v>
      </c>
      <c r="I521" s="224">
        <v>0</v>
      </c>
    </row>
    <row r="522" spans="1:9" ht="15.5" x14ac:dyDescent="0.35">
      <c r="A522" s="224" t="s">
        <v>53</v>
      </c>
      <c r="B522" s="224" t="s">
        <v>30</v>
      </c>
      <c r="C522" s="224" t="s">
        <v>86</v>
      </c>
      <c r="D522" s="224" t="s">
        <v>9</v>
      </c>
      <c r="E522" s="224" t="s">
        <v>256</v>
      </c>
      <c r="F522" s="224" t="s">
        <v>248</v>
      </c>
      <c r="G522" s="223" t="str">
        <f>VLOOKUP($B522,'FRS geographical categories'!$A$2:$C$45,2,FALSE)</f>
        <v>Significantly Rural</v>
      </c>
      <c r="H522" s="223" t="str">
        <f>VLOOKUP($B522,'FRS geographical categories'!$A$2:$C$45,3,FALSE)</f>
        <v>Non-metropolitan</v>
      </c>
      <c r="I522" s="224">
        <v>181</v>
      </c>
    </row>
    <row r="523" spans="1:9" ht="15.5" x14ac:dyDescent="0.35">
      <c r="A523" s="224" t="s">
        <v>53</v>
      </c>
      <c r="B523" s="224" t="s">
        <v>30</v>
      </c>
      <c r="C523" s="224" t="s">
        <v>86</v>
      </c>
      <c r="D523" s="224" t="s">
        <v>9</v>
      </c>
      <c r="E523" s="224" t="s">
        <v>256</v>
      </c>
      <c r="F523" s="224" t="s">
        <v>249</v>
      </c>
      <c r="G523" s="223" t="str">
        <f>VLOOKUP($B523,'FRS geographical categories'!$A$2:$C$45,2,FALSE)</f>
        <v>Significantly Rural</v>
      </c>
      <c r="H523" s="223" t="str">
        <f>VLOOKUP($B523,'FRS geographical categories'!$A$2:$C$45,3,FALSE)</f>
        <v>Non-metropolitan</v>
      </c>
      <c r="I523" s="224">
        <v>357</v>
      </c>
    </row>
    <row r="524" spans="1:9" ht="15.5" x14ac:dyDescent="0.35">
      <c r="A524" s="224" t="s">
        <v>53</v>
      </c>
      <c r="B524" s="224" t="s">
        <v>30</v>
      </c>
      <c r="C524" s="224" t="s">
        <v>86</v>
      </c>
      <c r="D524" s="224" t="s">
        <v>9</v>
      </c>
      <c r="E524" s="224" t="s">
        <v>256</v>
      </c>
      <c r="F524" s="224" t="s">
        <v>250</v>
      </c>
      <c r="G524" s="223" t="str">
        <f>VLOOKUP($B524,'FRS geographical categories'!$A$2:$C$45,2,FALSE)</f>
        <v>Significantly Rural</v>
      </c>
      <c r="H524" s="223" t="str">
        <f>VLOOKUP($B524,'FRS geographical categories'!$A$2:$C$45,3,FALSE)</f>
        <v>Non-metropolitan</v>
      </c>
      <c r="I524" s="224">
        <v>2026</v>
      </c>
    </row>
    <row r="525" spans="1:9" ht="15.5" x14ac:dyDescent="0.35">
      <c r="A525" s="224" t="s">
        <v>53</v>
      </c>
      <c r="B525" s="224" t="s">
        <v>30</v>
      </c>
      <c r="C525" s="224" t="s">
        <v>86</v>
      </c>
      <c r="D525" s="224" t="s">
        <v>9</v>
      </c>
      <c r="E525" s="224" t="s">
        <v>256</v>
      </c>
      <c r="F525" s="224" t="s">
        <v>10</v>
      </c>
      <c r="G525" s="223" t="str">
        <f>VLOOKUP($B525,'FRS geographical categories'!$A$2:$C$45,2,FALSE)</f>
        <v>Significantly Rural</v>
      </c>
      <c r="H525" s="223" t="str">
        <f>VLOOKUP($B525,'FRS geographical categories'!$A$2:$C$45,3,FALSE)</f>
        <v>Non-metropolitan</v>
      </c>
      <c r="I525" s="224">
        <v>5654</v>
      </c>
    </row>
    <row r="526" spans="1:9" ht="15.5" x14ac:dyDescent="0.35">
      <c r="A526" s="224" t="s">
        <v>53</v>
      </c>
      <c r="B526" s="224" t="s">
        <v>30</v>
      </c>
      <c r="C526" s="224" t="s">
        <v>89</v>
      </c>
      <c r="D526" s="224" t="s">
        <v>9</v>
      </c>
      <c r="E526" s="224" t="s">
        <v>256</v>
      </c>
      <c r="F526" s="224" t="s">
        <v>248</v>
      </c>
      <c r="G526" s="223" t="str">
        <f>VLOOKUP($B526,'FRS geographical categories'!$A$2:$C$45,2,FALSE)</f>
        <v>Significantly Rural</v>
      </c>
      <c r="H526" s="223" t="str">
        <f>VLOOKUP($B526,'FRS geographical categories'!$A$2:$C$45,3,FALSE)</f>
        <v>Non-metropolitan</v>
      </c>
      <c r="I526" s="224">
        <v>0</v>
      </c>
    </row>
    <row r="527" spans="1:9" ht="15.5" x14ac:dyDescent="0.35">
      <c r="A527" s="224" t="s">
        <v>53</v>
      </c>
      <c r="B527" s="224" t="s">
        <v>30</v>
      </c>
      <c r="C527" s="224" t="s">
        <v>89</v>
      </c>
      <c r="D527" s="224" t="s">
        <v>9</v>
      </c>
      <c r="E527" s="224" t="s">
        <v>256</v>
      </c>
      <c r="F527" s="224" t="s">
        <v>249</v>
      </c>
      <c r="G527" s="223" t="str">
        <f>VLOOKUP($B527,'FRS geographical categories'!$A$2:$C$45,2,FALSE)</f>
        <v>Significantly Rural</v>
      </c>
      <c r="H527" s="223" t="str">
        <f>VLOOKUP($B527,'FRS geographical categories'!$A$2:$C$45,3,FALSE)</f>
        <v>Non-metropolitan</v>
      </c>
      <c r="I527" s="224">
        <v>0</v>
      </c>
    </row>
    <row r="528" spans="1:9" ht="15.5" x14ac:dyDescent="0.35">
      <c r="A528" s="224" t="s">
        <v>53</v>
      </c>
      <c r="B528" s="224" t="s">
        <v>30</v>
      </c>
      <c r="C528" s="224" t="s">
        <v>89</v>
      </c>
      <c r="D528" s="224" t="s">
        <v>9</v>
      </c>
      <c r="E528" s="224" t="s">
        <v>256</v>
      </c>
      <c r="F528" s="224" t="s">
        <v>250</v>
      </c>
      <c r="G528" s="223" t="str">
        <f>VLOOKUP($B528,'FRS geographical categories'!$A$2:$C$45,2,FALSE)</f>
        <v>Significantly Rural</v>
      </c>
      <c r="H528" s="223" t="str">
        <f>VLOOKUP($B528,'FRS geographical categories'!$A$2:$C$45,3,FALSE)</f>
        <v>Non-metropolitan</v>
      </c>
      <c r="I528" s="224">
        <v>0</v>
      </c>
    </row>
    <row r="529" spans="1:9" ht="15.5" x14ac:dyDescent="0.35">
      <c r="A529" s="224" t="s">
        <v>53</v>
      </c>
      <c r="B529" s="224" t="s">
        <v>30</v>
      </c>
      <c r="C529" s="224" t="s">
        <v>89</v>
      </c>
      <c r="D529" s="224" t="s">
        <v>9</v>
      </c>
      <c r="E529" s="224" t="s">
        <v>256</v>
      </c>
      <c r="F529" s="224" t="s">
        <v>10</v>
      </c>
      <c r="G529" s="223" t="str">
        <f>VLOOKUP($B529,'FRS geographical categories'!$A$2:$C$45,2,FALSE)</f>
        <v>Significantly Rural</v>
      </c>
      <c r="H529" s="223" t="str">
        <f>VLOOKUP($B529,'FRS geographical categories'!$A$2:$C$45,3,FALSE)</f>
        <v>Non-metropolitan</v>
      </c>
      <c r="I529" s="224">
        <v>0</v>
      </c>
    </row>
    <row r="530" spans="1:9" ht="15.5" x14ac:dyDescent="0.35">
      <c r="A530" s="224" t="s">
        <v>53</v>
      </c>
      <c r="B530" s="224" t="s">
        <v>31</v>
      </c>
      <c r="C530" s="224" t="s">
        <v>86</v>
      </c>
      <c r="D530" s="224" t="s">
        <v>9</v>
      </c>
      <c r="E530" s="224" t="s">
        <v>256</v>
      </c>
      <c r="F530" s="224" t="s">
        <v>248</v>
      </c>
      <c r="G530" s="223" t="str">
        <f>VLOOKUP($B530,'FRS geographical categories'!$A$2:$C$45,2,FALSE)</f>
        <v>Predominantly Rural</v>
      </c>
      <c r="H530" s="223" t="str">
        <f>VLOOKUP($B530,'FRS geographical categories'!$A$2:$C$45,3,FALSE)</f>
        <v>Non-metropolitan</v>
      </c>
      <c r="I530" s="224">
        <v>1</v>
      </c>
    </row>
    <row r="531" spans="1:9" ht="15.5" x14ac:dyDescent="0.35">
      <c r="A531" s="224" t="s">
        <v>53</v>
      </c>
      <c r="B531" s="224" t="s">
        <v>31</v>
      </c>
      <c r="C531" s="224" t="s">
        <v>86</v>
      </c>
      <c r="D531" s="224" t="s">
        <v>9</v>
      </c>
      <c r="E531" s="224" t="s">
        <v>256</v>
      </c>
      <c r="F531" s="224" t="s">
        <v>249</v>
      </c>
      <c r="G531" s="223" t="str">
        <f>VLOOKUP($B531,'FRS geographical categories'!$A$2:$C$45,2,FALSE)</f>
        <v>Predominantly Rural</v>
      </c>
      <c r="H531" s="223" t="str">
        <f>VLOOKUP($B531,'FRS geographical categories'!$A$2:$C$45,3,FALSE)</f>
        <v>Non-metropolitan</v>
      </c>
      <c r="I531" s="224">
        <v>22</v>
      </c>
    </row>
    <row r="532" spans="1:9" ht="15.5" x14ac:dyDescent="0.35">
      <c r="A532" s="224" t="s">
        <v>53</v>
      </c>
      <c r="B532" s="224" t="s">
        <v>31</v>
      </c>
      <c r="C532" s="224" t="s">
        <v>86</v>
      </c>
      <c r="D532" s="224" t="s">
        <v>9</v>
      </c>
      <c r="E532" s="224" t="s">
        <v>256</v>
      </c>
      <c r="F532" s="224" t="s">
        <v>250</v>
      </c>
      <c r="G532" s="223" t="str">
        <f>VLOOKUP($B532,'FRS geographical categories'!$A$2:$C$45,2,FALSE)</f>
        <v>Predominantly Rural</v>
      </c>
      <c r="H532" s="223" t="str">
        <f>VLOOKUP($B532,'FRS geographical categories'!$A$2:$C$45,3,FALSE)</f>
        <v>Non-metropolitan</v>
      </c>
      <c r="I532" s="224">
        <v>55</v>
      </c>
    </row>
    <row r="533" spans="1:9" ht="15.5" x14ac:dyDescent="0.35">
      <c r="A533" s="224" t="s">
        <v>53</v>
      </c>
      <c r="B533" s="224" t="s">
        <v>31</v>
      </c>
      <c r="C533" s="224" t="s">
        <v>86</v>
      </c>
      <c r="D533" s="224" t="s">
        <v>9</v>
      </c>
      <c r="E533" s="224" t="s">
        <v>256</v>
      </c>
      <c r="F533" s="224" t="s">
        <v>10</v>
      </c>
      <c r="G533" s="223" t="str">
        <f>VLOOKUP($B533,'FRS geographical categories'!$A$2:$C$45,2,FALSE)</f>
        <v>Predominantly Rural</v>
      </c>
      <c r="H533" s="223" t="str">
        <f>VLOOKUP($B533,'FRS geographical categories'!$A$2:$C$45,3,FALSE)</f>
        <v>Non-metropolitan</v>
      </c>
      <c r="I533" s="224">
        <v>82</v>
      </c>
    </row>
    <row r="534" spans="1:9" ht="15.5" x14ac:dyDescent="0.35">
      <c r="A534" s="224" t="s">
        <v>53</v>
      </c>
      <c r="B534" s="224" t="s">
        <v>31</v>
      </c>
      <c r="C534" s="224" t="s">
        <v>89</v>
      </c>
      <c r="D534" s="224" t="s">
        <v>9</v>
      </c>
      <c r="E534" s="224" t="s">
        <v>256</v>
      </c>
      <c r="F534" s="224" t="s">
        <v>248</v>
      </c>
      <c r="G534" s="223" t="str">
        <f>VLOOKUP($B534,'FRS geographical categories'!$A$2:$C$45,2,FALSE)</f>
        <v>Predominantly Rural</v>
      </c>
      <c r="H534" s="223" t="str">
        <f>VLOOKUP($B534,'FRS geographical categories'!$A$2:$C$45,3,FALSE)</f>
        <v>Non-metropolitan</v>
      </c>
      <c r="I534" s="224">
        <v>0</v>
      </c>
    </row>
    <row r="535" spans="1:9" ht="15.5" x14ac:dyDescent="0.35">
      <c r="A535" s="224" t="s">
        <v>53</v>
      </c>
      <c r="B535" s="224" t="s">
        <v>31</v>
      </c>
      <c r="C535" s="224" t="s">
        <v>89</v>
      </c>
      <c r="D535" s="224" t="s">
        <v>9</v>
      </c>
      <c r="E535" s="224" t="s">
        <v>256</v>
      </c>
      <c r="F535" s="224" t="s">
        <v>249</v>
      </c>
      <c r="G535" s="223" t="str">
        <f>VLOOKUP($B535,'FRS geographical categories'!$A$2:$C$45,2,FALSE)</f>
        <v>Predominantly Rural</v>
      </c>
      <c r="H535" s="223" t="str">
        <f>VLOOKUP($B535,'FRS geographical categories'!$A$2:$C$45,3,FALSE)</f>
        <v>Non-metropolitan</v>
      </c>
      <c r="I535" s="224">
        <v>0</v>
      </c>
    </row>
    <row r="536" spans="1:9" ht="15.5" x14ac:dyDescent="0.35">
      <c r="A536" s="224" t="s">
        <v>53</v>
      </c>
      <c r="B536" s="224" t="s">
        <v>31</v>
      </c>
      <c r="C536" s="224" t="s">
        <v>89</v>
      </c>
      <c r="D536" s="224" t="s">
        <v>9</v>
      </c>
      <c r="E536" s="224" t="s">
        <v>256</v>
      </c>
      <c r="F536" s="224" t="s">
        <v>250</v>
      </c>
      <c r="G536" s="223" t="str">
        <f>VLOOKUP($B536,'FRS geographical categories'!$A$2:$C$45,2,FALSE)</f>
        <v>Predominantly Rural</v>
      </c>
      <c r="H536" s="223" t="str">
        <f>VLOOKUP($B536,'FRS geographical categories'!$A$2:$C$45,3,FALSE)</f>
        <v>Non-metropolitan</v>
      </c>
      <c r="I536" s="224">
        <v>0</v>
      </c>
    </row>
    <row r="537" spans="1:9" ht="15.5" x14ac:dyDescent="0.35">
      <c r="A537" s="224" t="s">
        <v>53</v>
      </c>
      <c r="B537" s="224" t="s">
        <v>31</v>
      </c>
      <c r="C537" s="224" t="s">
        <v>89</v>
      </c>
      <c r="D537" s="224" t="s">
        <v>9</v>
      </c>
      <c r="E537" s="224" t="s">
        <v>256</v>
      </c>
      <c r="F537" s="224" t="s">
        <v>10</v>
      </c>
      <c r="G537" s="223" t="str">
        <f>VLOOKUP($B537,'FRS geographical categories'!$A$2:$C$45,2,FALSE)</f>
        <v>Predominantly Rural</v>
      </c>
      <c r="H537" s="223" t="str">
        <f>VLOOKUP($B537,'FRS geographical categories'!$A$2:$C$45,3,FALSE)</f>
        <v>Non-metropolitan</v>
      </c>
      <c r="I537" s="224">
        <v>0</v>
      </c>
    </row>
    <row r="538" spans="1:9" ht="15.5" x14ac:dyDescent="0.35">
      <c r="A538" s="224" t="s">
        <v>53</v>
      </c>
      <c r="B538" s="224" t="s">
        <v>32</v>
      </c>
      <c r="C538" s="224" t="s">
        <v>86</v>
      </c>
      <c r="D538" s="224" t="s">
        <v>9</v>
      </c>
      <c r="E538" s="224" t="s">
        <v>256</v>
      </c>
      <c r="F538" s="224" t="s">
        <v>248</v>
      </c>
      <c r="G538" s="223" t="str">
        <f>VLOOKUP($B538,'FRS geographical categories'!$A$2:$C$45,2,FALSE)</f>
        <v>Significantly Rural</v>
      </c>
      <c r="H538" s="223" t="str">
        <f>VLOOKUP($B538,'FRS geographical categories'!$A$2:$C$45,3,FALSE)</f>
        <v>Non-metropolitan</v>
      </c>
      <c r="I538" s="224">
        <v>1406</v>
      </c>
    </row>
    <row r="539" spans="1:9" ht="15.5" x14ac:dyDescent="0.35">
      <c r="A539" s="224" t="s">
        <v>53</v>
      </c>
      <c r="B539" s="224" t="s">
        <v>32</v>
      </c>
      <c r="C539" s="224" t="s">
        <v>86</v>
      </c>
      <c r="D539" s="224" t="s">
        <v>9</v>
      </c>
      <c r="E539" s="224" t="s">
        <v>256</v>
      </c>
      <c r="F539" s="224" t="s">
        <v>249</v>
      </c>
      <c r="G539" s="223" t="str">
        <f>VLOOKUP($B539,'FRS geographical categories'!$A$2:$C$45,2,FALSE)</f>
        <v>Significantly Rural</v>
      </c>
      <c r="H539" s="223" t="str">
        <f>VLOOKUP($B539,'FRS geographical categories'!$A$2:$C$45,3,FALSE)</f>
        <v>Non-metropolitan</v>
      </c>
      <c r="I539" s="224">
        <v>4287</v>
      </c>
    </row>
    <row r="540" spans="1:9" ht="15.5" x14ac:dyDescent="0.35">
      <c r="A540" s="224" t="s">
        <v>53</v>
      </c>
      <c r="B540" s="224" t="s">
        <v>32</v>
      </c>
      <c r="C540" s="224" t="s">
        <v>86</v>
      </c>
      <c r="D540" s="224" t="s">
        <v>9</v>
      </c>
      <c r="E540" s="224" t="s">
        <v>256</v>
      </c>
      <c r="F540" s="224" t="s">
        <v>250</v>
      </c>
      <c r="G540" s="223" t="str">
        <f>VLOOKUP($B540,'FRS geographical categories'!$A$2:$C$45,2,FALSE)</f>
        <v>Significantly Rural</v>
      </c>
      <c r="H540" s="223" t="str">
        <f>VLOOKUP($B540,'FRS geographical categories'!$A$2:$C$45,3,FALSE)</f>
        <v>Non-metropolitan</v>
      </c>
      <c r="I540" s="224">
        <v>7263</v>
      </c>
    </row>
    <row r="541" spans="1:9" ht="15.5" x14ac:dyDescent="0.35">
      <c r="A541" s="224" t="s">
        <v>53</v>
      </c>
      <c r="B541" s="224" t="s">
        <v>32</v>
      </c>
      <c r="C541" s="224" t="s">
        <v>86</v>
      </c>
      <c r="D541" s="224" t="s">
        <v>9</v>
      </c>
      <c r="E541" s="224" t="s">
        <v>256</v>
      </c>
      <c r="F541" s="224" t="s">
        <v>10</v>
      </c>
      <c r="G541" s="223" t="str">
        <f>VLOOKUP($B541,'FRS geographical categories'!$A$2:$C$45,2,FALSE)</f>
        <v>Significantly Rural</v>
      </c>
      <c r="H541" s="223" t="str">
        <f>VLOOKUP($B541,'FRS geographical categories'!$A$2:$C$45,3,FALSE)</f>
        <v>Non-metropolitan</v>
      </c>
      <c r="I541" s="224">
        <v>20303</v>
      </c>
    </row>
    <row r="542" spans="1:9" ht="15.5" x14ac:dyDescent="0.35">
      <c r="A542" s="224" t="s">
        <v>53</v>
      </c>
      <c r="B542" s="224" t="s">
        <v>32</v>
      </c>
      <c r="C542" s="224" t="s">
        <v>89</v>
      </c>
      <c r="D542" s="224" t="s">
        <v>9</v>
      </c>
      <c r="E542" s="224" t="s">
        <v>256</v>
      </c>
      <c r="F542" s="224" t="s">
        <v>248</v>
      </c>
      <c r="G542" s="223" t="str">
        <f>VLOOKUP($B542,'FRS geographical categories'!$A$2:$C$45,2,FALSE)</f>
        <v>Significantly Rural</v>
      </c>
      <c r="H542" s="223" t="str">
        <f>VLOOKUP($B542,'FRS geographical categories'!$A$2:$C$45,3,FALSE)</f>
        <v>Non-metropolitan</v>
      </c>
      <c r="I542" s="224">
        <v>0</v>
      </c>
    </row>
    <row r="543" spans="1:9" ht="15.5" x14ac:dyDescent="0.35">
      <c r="A543" s="224" t="s">
        <v>53</v>
      </c>
      <c r="B543" s="224" t="s">
        <v>32</v>
      </c>
      <c r="C543" s="224" t="s">
        <v>89</v>
      </c>
      <c r="D543" s="224" t="s">
        <v>9</v>
      </c>
      <c r="E543" s="224" t="s">
        <v>256</v>
      </c>
      <c r="F543" s="224" t="s">
        <v>249</v>
      </c>
      <c r="G543" s="223" t="str">
        <f>VLOOKUP($B543,'FRS geographical categories'!$A$2:$C$45,2,FALSE)</f>
        <v>Significantly Rural</v>
      </c>
      <c r="H543" s="223" t="str">
        <f>VLOOKUP($B543,'FRS geographical categories'!$A$2:$C$45,3,FALSE)</f>
        <v>Non-metropolitan</v>
      </c>
      <c r="I543" s="224">
        <v>0</v>
      </c>
    </row>
    <row r="544" spans="1:9" ht="15.5" x14ac:dyDescent="0.35">
      <c r="A544" s="224" t="s">
        <v>53</v>
      </c>
      <c r="B544" s="224" t="s">
        <v>32</v>
      </c>
      <c r="C544" s="224" t="s">
        <v>89</v>
      </c>
      <c r="D544" s="224" t="s">
        <v>9</v>
      </c>
      <c r="E544" s="224" t="s">
        <v>256</v>
      </c>
      <c r="F544" s="224" t="s">
        <v>250</v>
      </c>
      <c r="G544" s="223" t="str">
        <f>VLOOKUP($B544,'FRS geographical categories'!$A$2:$C$45,2,FALSE)</f>
        <v>Significantly Rural</v>
      </c>
      <c r="H544" s="223" t="str">
        <f>VLOOKUP($B544,'FRS geographical categories'!$A$2:$C$45,3,FALSE)</f>
        <v>Non-metropolitan</v>
      </c>
      <c r="I544" s="224">
        <v>0</v>
      </c>
    </row>
    <row r="545" spans="1:9" ht="15.5" x14ac:dyDescent="0.35">
      <c r="A545" s="224" t="s">
        <v>53</v>
      </c>
      <c r="B545" s="224" t="s">
        <v>32</v>
      </c>
      <c r="C545" s="224" t="s">
        <v>89</v>
      </c>
      <c r="D545" s="224" t="s">
        <v>9</v>
      </c>
      <c r="E545" s="224" t="s">
        <v>256</v>
      </c>
      <c r="F545" s="224" t="s">
        <v>10</v>
      </c>
      <c r="G545" s="223" t="str">
        <f>VLOOKUP($B545,'FRS geographical categories'!$A$2:$C$45,2,FALSE)</f>
        <v>Significantly Rural</v>
      </c>
      <c r="H545" s="223" t="str">
        <f>VLOOKUP($B545,'FRS geographical categories'!$A$2:$C$45,3,FALSE)</f>
        <v>Non-metropolitan</v>
      </c>
      <c r="I545" s="224">
        <v>0</v>
      </c>
    </row>
    <row r="546" spans="1:9" ht="15.5" x14ac:dyDescent="0.35">
      <c r="A546" s="224" t="s">
        <v>53</v>
      </c>
      <c r="B546" s="224" t="s">
        <v>33</v>
      </c>
      <c r="C546" s="224" t="s">
        <v>86</v>
      </c>
      <c r="D546" s="224" t="s">
        <v>9</v>
      </c>
      <c r="E546" s="224" t="s">
        <v>256</v>
      </c>
      <c r="F546" s="224" t="s">
        <v>248</v>
      </c>
      <c r="G546" s="223" t="str">
        <f>VLOOKUP($B546,'FRS geographical categories'!$A$2:$C$45,2,FALSE)</f>
        <v>Predominantly Urban</v>
      </c>
      <c r="H546" s="223" t="str">
        <f>VLOOKUP($B546,'FRS geographical categories'!$A$2:$C$45,3,FALSE)</f>
        <v>Non-metropolitan</v>
      </c>
      <c r="I546" s="224">
        <v>2191</v>
      </c>
    </row>
    <row r="547" spans="1:9" ht="15.5" x14ac:dyDescent="0.35">
      <c r="A547" s="224" t="s">
        <v>53</v>
      </c>
      <c r="B547" s="224" t="s">
        <v>33</v>
      </c>
      <c r="C547" s="224" t="s">
        <v>86</v>
      </c>
      <c r="D547" s="224" t="s">
        <v>9</v>
      </c>
      <c r="E547" s="224" t="s">
        <v>256</v>
      </c>
      <c r="F547" s="224" t="s">
        <v>249</v>
      </c>
      <c r="G547" s="223" t="str">
        <f>VLOOKUP($B547,'FRS geographical categories'!$A$2:$C$45,2,FALSE)</f>
        <v>Predominantly Urban</v>
      </c>
      <c r="H547" s="223" t="str">
        <f>VLOOKUP($B547,'FRS geographical categories'!$A$2:$C$45,3,FALSE)</f>
        <v>Non-metropolitan</v>
      </c>
      <c r="I547" s="224">
        <v>9443</v>
      </c>
    </row>
    <row r="548" spans="1:9" ht="15.5" x14ac:dyDescent="0.35">
      <c r="A548" s="224" t="s">
        <v>53</v>
      </c>
      <c r="B548" s="224" t="s">
        <v>33</v>
      </c>
      <c r="C548" s="224" t="s">
        <v>86</v>
      </c>
      <c r="D548" s="224" t="s">
        <v>9</v>
      </c>
      <c r="E548" s="224" t="s">
        <v>256</v>
      </c>
      <c r="F548" s="224" t="s">
        <v>250</v>
      </c>
      <c r="G548" s="223" t="str">
        <f>VLOOKUP($B548,'FRS geographical categories'!$A$2:$C$45,2,FALSE)</f>
        <v>Predominantly Urban</v>
      </c>
      <c r="H548" s="223" t="str">
        <f>VLOOKUP($B548,'FRS geographical categories'!$A$2:$C$45,3,FALSE)</f>
        <v>Non-metropolitan</v>
      </c>
      <c r="I548" s="224">
        <v>2957</v>
      </c>
    </row>
    <row r="549" spans="1:9" ht="15.5" x14ac:dyDescent="0.35">
      <c r="A549" s="224" t="s">
        <v>53</v>
      </c>
      <c r="B549" s="224" t="s">
        <v>33</v>
      </c>
      <c r="C549" s="224" t="s">
        <v>86</v>
      </c>
      <c r="D549" s="224" t="s">
        <v>9</v>
      </c>
      <c r="E549" s="224" t="s">
        <v>256</v>
      </c>
      <c r="F549" s="224" t="s">
        <v>10</v>
      </c>
      <c r="G549" s="223" t="str">
        <f>VLOOKUP($B549,'FRS geographical categories'!$A$2:$C$45,2,FALSE)</f>
        <v>Predominantly Urban</v>
      </c>
      <c r="H549" s="223" t="str">
        <f>VLOOKUP($B549,'FRS geographical categories'!$A$2:$C$45,3,FALSE)</f>
        <v>Non-metropolitan</v>
      </c>
      <c r="I549" s="224">
        <v>19461</v>
      </c>
    </row>
    <row r="550" spans="1:9" ht="15.5" x14ac:dyDescent="0.35">
      <c r="A550" s="224" t="s">
        <v>53</v>
      </c>
      <c r="B550" s="224" t="s">
        <v>33</v>
      </c>
      <c r="C550" s="224" t="s">
        <v>89</v>
      </c>
      <c r="D550" s="224" t="s">
        <v>9</v>
      </c>
      <c r="E550" s="224" t="s">
        <v>256</v>
      </c>
      <c r="F550" s="224" t="s">
        <v>248</v>
      </c>
      <c r="G550" s="223" t="str">
        <f>VLOOKUP($B550,'FRS geographical categories'!$A$2:$C$45,2,FALSE)</f>
        <v>Predominantly Urban</v>
      </c>
      <c r="H550" s="223" t="str">
        <f>VLOOKUP($B550,'FRS geographical categories'!$A$2:$C$45,3,FALSE)</f>
        <v>Non-metropolitan</v>
      </c>
      <c r="I550" s="224">
        <v>0</v>
      </c>
    </row>
    <row r="551" spans="1:9" ht="15.5" x14ac:dyDescent="0.35">
      <c r="A551" s="224" t="s">
        <v>53</v>
      </c>
      <c r="B551" s="224" t="s">
        <v>33</v>
      </c>
      <c r="C551" s="224" t="s">
        <v>89</v>
      </c>
      <c r="D551" s="224" t="s">
        <v>9</v>
      </c>
      <c r="E551" s="224" t="s">
        <v>256</v>
      </c>
      <c r="F551" s="224" t="s">
        <v>249</v>
      </c>
      <c r="G551" s="223" t="str">
        <f>VLOOKUP($B551,'FRS geographical categories'!$A$2:$C$45,2,FALSE)</f>
        <v>Predominantly Urban</v>
      </c>
      <c r="H551" s="223" t="str">
        <f>VLOOKUP($B551,'FRS geographical categories'!$A$2:$C$45,3,FALSE)</f>
        <v>Non-metropolitan</v>
      </c>
      <c r="I551" s="224">
        <v>0</v>
      </c>
    </row>
    <row r="552" spans="1:9" ht="15.5" x14ac:dyDescent="0.35">
      <c r="A552" s="224" t="s">
        <v>53</v>
      </c>
      <c r="B552" s="224" t="s">
        <v>33</v>
      </c>
      <c r="C552" s="224" t="s">
        <v>89</v>
      </c>
      <c r="D552" s="224" t="s">
        <v>9</v>
      </c>
      <c r="E552" s="224" t="s">
        <v>256</v>
      </c>
      <c r="F552" s="224" t="s">
        <v>250</v>
      </c>
      <c r="G552" s="223" t="str">
        <f>VLOOKUP($B552,'FRS geographical categories'!$A$2:$C$45,2,FALSE)</f>
        <v>Predominantly Urban</v>
      </c>
      <c r="H552" s="223" t="str">
        <f>VLOOKUP($B552,'FRS geographical categories'!$A$2:$C$45,3,FALSE)</f>
        <v>Non-metropolitan</v>
      </c>
      <c r="I552" s="224">
        <v>0</v>
      </c>
    </row>
    <row r="553" spans="1:9" ht="15.5" x14ac:dyDescent="0.35">
      <c r="A553" s="224" t="s">
        <v>53</v>
      </c>
      <c r="B553" s="224" t="s">
        <v>33</v>
      </c>
      <c r="C553" s="224" t="s">
        <v>89</v>
      </c>
      <c r="D553" s="224" t="s">
        <v>9</v>
      </c>
      <c r="E553" s="224" t="s">
        <v>256</v>
      </c>
      <c r="F553" s="224" t="s">
        <v>10</v>
      </c>
      <c r="G553" s="223" t="str">
        <f>VLOOKUP($B553,'FRS geographical categories'!$A$2:$C$45,2,FALSE)</f>
        <v>Predominantly Urban</v>
      </c>
      <c r="H553" s="223" t="str">
        <f>VLOOKUP($B553,'FRS geographical categories'!$A$2:$C$45,3,FALSE)</f>
        <v>Non-metropolitan</v>
      </c>
      <c r="I553" s="224">
        <v>0</v>
      </c>
    </row>
    <row r="554" spans="1:9" ht="15.5" x14ac:dyDescent="0.35">
      <c r="A554" s="224" t="s">
        <v>53</v>
      </c>
      <c r="B554" s="224" t="s">
        <v>34</v>
      </c>
      <c r="C554" s="224" t="s">
        <v>86</v>
      </c>
      <c r="D554" s="224" t="s">
        <v>9</v>
      </c>
      <c r="E554" s="224" t="s">
        <v>256</v>
      </c>
      <c r="F554" s="224" t="s">
        <v>248</v>
      </c>
      <c r="G554" s="223" t="str">
        <f>VLOOKUP($B554,'FRS geographical categories'!$A$2:$C$45,2,FALSE)</f>
        <v>Significantly Rural</v>
      </c>
      <c r="H554" s="223" t="str">
        <f>VLOOKUP($B554,'FRS geographical categories'!$A$2:$C$45,3,FALSE)</f>
        <v>Non-metropolitan</v>
      </c>
      <c r="I554" s="224">
        <v>578</v>
      </c>
    </row>
    <row r="555" spans="1:9" ht="15.5" x14ac:dyDescent="0.35">
      <c r="A555" s="224" t="s">
        <v>53</v>
      </c>
      <c r="B555" s="224" t="s">
        <v>34</v>
      </c>
      <c r="C555" s="224" t="s">
        <v>86</v>
      </c>
      <c r="D555" s="224" t="s">
        <v>9</v>
      </c>
      <c r="E555" s="224" t="s">
        <v>256</v>
      </c>
      <c r="F555" s="224" t="s">
        <v>249</v>
      </c>
      <c r="G555" s="223" t="str">
        <f>VLOOKUP($B555,'FRS geographical categories'!$A$2:$C$45,2,FALSE)</f>
        <v>Significantly Rural</v>
      </c>
      <c r="H555" s="223" t="str">
        <f>VLOOKUP($B555,'FRS geographical categories'!$A$2:$C$45,3,FALSE)</f>
        <v>Non-metropolitan</v>
      </c>
      <c r="I555" s="224">
        <v>1926</v>
      </c>
    </row>
    <row r="556" spans="1:9" ht="15.5" x14ac:dyDescent="0.35">
      <c r="A556" s="224" t="s">
        <v>53</v>
      </c>
      <c r="B556" s="224" t="s">
        <v>34</v>
      </c>
      <c r="C556" s="224" t="s">
        <v>86</v>
      </c>
      <c r="D556" s="224" t="s">
        <v>9</v>
      </c>
      <c r="E556" s="224" t="s">
        <v>256</v>
      </c>
      <c r="F556" s="224" t="s">
        <v>250</v>
      </c>
      <c r="G556" s="223" t="str">
        <f>VLOOKUP($B556,'FRS geographical categories'!$A$2:$C$45,2,FALSE)</f>
        <v>Significantly Rural</v>
      </c>
      <c r="H556" s="223" t="str">
        <f>VLOOKUP($B556,'FRS geographical categories'!$A$2:$C$45,3,FALSE)</f>
        <v>Non-metropolitan</v>
      </c>
      <c r="I556" s="224">
        <v>1454</v>
      </c>
    </row>
    <row r="557" spans="1:9" ht="15.5" x14ac:dyDescent="0.35">
      <c r="A557" s="224" t="s">
        <v>53</v>
      </c>
      <c r="B557" s="224" t="s">
        <v>34</v>
      </c>
      <c r="C557" s="224" t="s">
        <v>86</v>
      </c>
      <c r="D557" s="224" t="s">
        <v>9</v>
      </c>
      <c r="E557" s="224" t="s">
        <v>256</v>
      </c>
      <c r="F557" s="224" t="s">
        <v>10</v>
      </c>
      <c r="G557" s="223" t="str">
        <f>VLOOKUP($B557,'FRS geographical categories'!$A$2:$C$45,2,FALSE)</f>
        <v>Significantly Rural</v>
      </c>
      <c r="H557" s="223" t="str">
        <f>VLOOKUP($B557,'FRS geographical categories'!$A$2:$C$45,3,FALSE)</f>
        <v>Non-metropolitan</v>
      </c>
      <c r="I557" s="224">
        <v>6542</v>
      </c>
    </row>
    <row r="558" spans="1:9" ht="15.5" x14ac:dyDescent="0.35">
      <c r="A558" s="224" t="s">
        <v>53</v>
      </c>
      <c r="B558" s="224" t="s">
        <v>34</v>
      </c>
      <c r="C558" s="224" t="s">
        <v>89</v>
      </c>
      <c r="D558" s="224" t="s">
        <v>9</v>
      </c>
      <c r="E558" s="224" t="s">
        <v>256</v>
      </c>
      <c r="F558" s="224" t="s">
        <v>248</v>
      </c>
      <c r="G558" s="223" t="str">
        <f>VLOOKUP($B558,'FRS geographical categories'!$A$2:$C$45,2,FALSE)</f>
        <v>Significantly Rural</v>
      </c>
      <c r="H558" s="223" t="str">
        <f>VLOOKUP($B558,'FRS geographical categories'!$A$2:$C$45,3,FALSE)</f>
        <v>Non-metropolitan</v>
      </c>
      <c r="I558" s="224">
        <v>65</v>
      </c>
    </row>
    <row r="559" spans="1:9" ht="15.5" x14ac:dyDescent="0.35">
      <c r="A559" s="224" t="s">
        <v>53</v>
      </c>
      <c r="B559" s="224" t="s">
        <v>34</v>
      </c>
      <c r="C559" s="224" t="s">
        <v>89</v>
      </c>
      <c r="D559" s="224" t="s">
        <v>9</v>
      </c>
      <c r="E559" s="224" t="s">
        <v>256</v>
      </c>
      <c r="F559" s="224" t="s">
        <v>249</v>
      </c>
      <c r="G559" s="223" t="str">
        <f>VLOOKUP($B559,'FRS geographical categories'!$A$2:$C$45,2,FALSE)</f>
        <v>Significantly Rural</v>
      </c>
      <c r="H559" s="223" t="str">
        <f>VLOOKUP($B559,'FRS geographical categories'!$A$2:$C$45,3,FALSE)</f>
        <v>Non-metropolitan</v>
      </c>
      <c r="I559" s="224">
        <v>18</v>
      </c>
    </row>
    <row r="560" spans="1:9" ht="15.5" x14ac:dyDescent="0.35">
      <c r="A560" s="224" t="s">
        <v>53</v>
      </c>
      <c r="B560" s="224" t="s">
        <v>34</v>
      </c>
      <c r="C560" s="224" t="s">
        <v>89</v>
      </c>
      <c r="D560" s="224" t="s">
        <v>9</v>
      </c>
      <c r="E560" s="224" t="s">
        <v>256</v>
      </c>
      <c r="F560" s="224" t="s">
        <v>250</v>
      </c>
      <c r="G560" s="223" t="str">
        <f>VLOOKUP($B560,'FRS geographical categories'!$A$2:$C$45,2,FALSE)</f>
        <v>Significantly Rural</v>
      </c>
      <c r="H560" s="223" t="str">
        <f>VLOOKUP($B560,'FRS geographical categories'!$A$2:$C$45,3,FALSE)</f>
        <v>Non-metropolitan</v>
      </c>
      <c r="I560" s="224">
        <v>41</v>
      </c>
    </row>
    <row r="561" spans="1:9" ht="15.5" x14ac:dyDescent="0.35">
      <c r="A561" s="224" t="s">
        <v>53</v>
      </c>
      <c r="B561" s="224" t="s">
        <v>34</v>
      </c>
      <c r="C561" s="224" t="s">
        <v>89</v>
      </c>
      <c r="D561" s="224" t="s">
        <v>9</v>
      </c>
      <c r="E561" s="224" t="s">
        <v>256</v>
      </c>
      <c r="F561" s="224" t="s">
        <v>10</v>
      </c>
      <c r="G561" s="223" t="str">
        <f>VLOOKUP($B561,'FRS geographical categories'!$A$2:$C$45,2,FALSE)</f>
        <v>Significantly Rural</v>
      </c>
      <c r="H561" s="223" t="str">
        <f>VLOOKUP($B561,'FRS geographical categories'!$A$2:$C$45,3,FALSE)</f>
        <v>Non-metropolitan</v>
      </c>
      <c r="I561" s="224">
        <v>366</v>
      </c>
    </row>
    <row r="562" spans="1:9" ht="15.5" x14ac:dyDescent="0.35">
      <c r="A562" s="224" t="s">
        <v>53</v>
      </c>
      <c r="B562" s="224" t="s">
        <v>35</v>
      </c>
      <c r="C562" s="224" t="s">
        <v>86</v>
      </c>
      <c r="D562" s="224" t="s">
        <v>9</v>
      </c>
      <c r="E562" s="224" t="s">
        <v>256</v>
      </c>
      <c r="F562" s="224" t="s">
        <v>248</v>
      </c>
      <c r="G562" s="223" t="str">
        <f>VLOOKUP($B562,'FRS geographical categories'!$A$2:$C$45,2,FALSE)</f>
        <v>Predominantly Rural</v>
      </c>
      <c r="H562" s="223" t="str">
        <f>VLOOKUP($B562,'FRS geographical categories'!$A$2:$C$45,3,FALSE)</f>
        <v>Non-metropolitan</v>
      </c>
      <c r="I562" s="224">
        <v>631</v>
      </c>
    </row>
    <row r="563" spans="1:9" ht="15.5" x14ac:dyDescent="0.35">
      <c r="A563" s="224" t="s">
        <v>53</v>
      </c>
      <c r="B563" s="224" t="s">
        <v>35</v>
      </c>
      <c r="C563" s="224" t="s">
        <v>86</v>
      </c>
      <c r="D563" s="224" t="s">
        <v>9</v>
      </c>
      <c r="E563" s="224" t="s">
        <v>256</v>
      </c>
      <c r="F563" s="224" t="s">
        <v>249</v>
      </c>
      <c r="G563" s="223" t="str">
        <f>VLOOKUP($B563,'FRS geographical categories'!$A$2:$C$45,2,FALSE)</f>
        <v>Predominantly Rural</v>
      </c>
      <c r="H563" s="223" t="str">
        <f>VLOOKUP($B563,'FRS geographical categories'!$A$2:$C$45,3,FALSE)</f>
        <v>Non-metropolitan</v>
      </c>
      <c r="I563" s="224">
        <v>1521</v>
      </c>
    </row>
    <row r="564" spans="1:9" ht="15.5" x14ac:dyDescent="0.35">
      <c r="A564" s="224" t="s">
        <v>53</v>
      </c>
      <c r="B564" s="224" t="s">
        <v>35</v>
      </c>
      <c r="C564" s="224" t="s">
        <v>86</v>
      </c>
      <c r="D564" s="224" t="s">
        <v>9</v>
      </c>
      <c r="E564" s="224" t="s">
        <v>256</v>
      </c>
      <c r="F564" s="224" t="s">
        <v>250</v>
      </c>
      <c r="G564" s="223" t="str">
        <f>VLOOKUP($B564,'FRS geographical categories'!$A$2:$C$45,2,FALSE)</f>
        <v>Predominantly Rural</v>
      </c>
      <c r="H564" s="223" t="str">
        <f>VLOOKUP($B564,'FRS geographical categories'!$A$2:$C$45,3,FALSE)</f>
        <v>Non-metropolitan</v>
      </c>
      <c r="I564" s="224">
        <v>495</v>
      </c>
    </row>
    <row r="565" spans="1:9" ht="15.5" x14ac:dyDescent="0.35">
      <c r="A565" s="224" t="s">
        <v>53</v>
      </c>
      <c r="B565" s="224" t="s">
        <v>35</v>
      </c>
      <c r="C565" s="224" t="s">
        <v>86</v>
      </c>
      <c r="D565" s="224" t="s">
        <v>9</v>
      </c>
      <c r="E565" s="224" t="s">
        <v>256</v>
      </c>
      <c r="F565" s="224" t="s">
        <v>10</v>
      </c>
      <c r="G565" s="223" t="str">
        <f>VLOOKUP($B565,'FRS geographical categories'!$A$2:$C$45,2,FALSE)</f>
        <v>Predominantly Rural</v>
      </c>
      <c r="H565" s="223" t="str">
        <f>VLOOKUP($B565,'FRS geographical categories'!$A$2:$C$45,3,FALSE)</f>
        <v>Non-metropolitan</v>
      </c>
      <c r="I565" s="224">
        <v>3592</v>
      </c>
    </row>
    <row r="566" spans="1:9" ht="15.5" x14ac:dyDescent="0.35">
      <c r="A566" s="224" t="s">
        <v>53</v>
      </c>
      <c r="B566" s="224" t="s">
        <v>35</v>
      </c>
      <c r="C566" s="224" t="s">
        <v>89</v>
      </c>
      <c r="D566" s="224" t="s">
        <v>9</v>
      </c>
      <c r="E566" s="224" t="s">
        <v>256</v>
      </c>
      <c r="F566" s="224" t="s">
        <v>248</v>
      </c>
      <c r="G566" s="223" t="str">
        <f>VLOOKUP($B566,'FRS geographical categories'!$A$2:$C$45,2,FALSE)</f>
        <v>Predominantly Rural</v>
      </c>
      <c r="H566" s="223" t="str">
        <f>VLOOKUP($B566,'FRS geographical categories'!$A$2:$C$45,3,FALSE)</f>
        <v>Non-metropolitan</v>
      </c>
      <c r="I566" s="224">
        <v>0</v>
      </c>
    </row>
    <row r="567" spans="1:9" ht="15.5" x14ac:dyDescent="0.35">
      <c r="A567" s="224" t="s">
        <v>53</v>
      </c>
      <c r="B567" s="224" t="s">
        <v>35</v>
      </c>
      <c r="C567" s="224" t="s">
        <v>89</v>
      </c>
      <c r="D567" s="224" t="s">
        <v>9</v>
      </c>
      <c r="E567" s="224" t="s">
        <v>256</v>
      </c>
      <c r="F567" s="224" t="s">
        <v>249</v>
      </c>
      <c r="G567" s="223" t="str">
        <f>VLOOKUP($B567,'FRS geographical categories'!$A$2:$C$45,2,FALSE)</f>
        <v>Predominantly Rural</v>
      </c>
      <c r="H567" s="223" t="str">
        <f>VLOOKUP($B567,'FRS geographical categories'!$A$2:$C$45,3,FALSE)</f>
        <v>Non-metropolitan</v>
      </c>
      <c r="I567" s="224">
        <v>0</v>
      </c>
    </row>
    <row r="568" spans="1:9" ht="15.5" x14ac:dyDescent="0.35">
      <c r="A568" s="224" t="s">
        <v>53</v>
      </c>
      <c r="B568" s="224" t="s">
        <v>35</v>
      </c>
      <c r="C568" s="224" t="s">
        <v>89</v>
      </c>
      <c r="D568" s="224" t="s">
        <v>9</v>
      </c>
      <c r="E568" s="224" t="s">
        <v>256</v>
      </c>
      <c r="F568" s="224" t="s">
        <v>250</v>
      </c>
      <c r="G568" s="223" t="str">
        <f>VLOOKUP($B568,'FRS geographical categories'!$A$2:$C$45,2,FALSE)</f>
        <v>Predominantly Rural</v>
      </c>
      <c r="H568" s="223" t="str">
        <f>VLOOKUP($B568,'FRS geographical categories'!$A$2:$C$45,3,FALSE)</f>
        <v>Non-metropolitan</v>
      </c>
      <c r="I568" s="224">
        <v>0</v>
      </c>
    </row>
    <row r="569" spans="1:9" ht="15.5" x14ac:dyDescent="0.35">
      <c r="A569" s="224" t="s">
        <v>53</v>
      </c>
      <c r="B569" s="224" t="s">
        <v>35</v>
      </c>
      <c r="C569" s="224" t="s">
        <v>89</v>
      </c>
      <c r="D569" s="224" t="s">
        <v>9</v>
      </c>
      <c r="E569" s="224" t="s">
        <v>256</v>
      </c>
      <c r="F569" s="224" t="s">
        <v>10</v>
      </c>
      <c r="G569" s="223" t="str">
        <f>VLOOKUP($B569,'FRS geographical categories'!$A$2:$C$45,2,FALSE)</f>
        <v>Predominantly Rural</v>
      </c>
      <c r="H569" s="223" t="str">
        <f>VLOOKUP($B569,'FRS geographical categories'!$A$2:$C$45,3,FALSE)</f>
        <v>Non-metropolitan</v>
      </c>
      <c r="I569" s="224">
        <v>0</v>
      </c>
    </row>
    <row r="570" spans="1:9" ht="15.5" x14ac:dyDescent="0.35">
      <c r="A570" s="224" t="s">
        <v>53</v>
      </c>
      <c r="B570" s="224" t="s">
        <v>36</v>
      </c>
      <c r="C570" s="224" t="s">
        <v>86</v>
      </c>
      <c r="D570" s="224" t="s">
        <v>9</v>
      </c>
      <c r="E570" s="224" t="s">
        <v>256</v>
      </c>
      <c r="F570" s="224" t="s">
        <v>248</v>
      </c>
      <c r="G570" s="223" t="str">
        <f>VLOOKUP($B570,'FRS geographical categories'!$A$2:$C$45,2,FALSE)</f>
        <v>Predominantly Urban</v>
      </c>
      <c r="H570" s="223" t="str">
        <f>VLOOKUP($B570,'FRS geographical categories'!$A$2:$C$45,3,FALSE)</f>
        <v>Metropolitan</v>
      </c>
      <c r="I570" s="224">
        <v>2318</v>
      </c>
    </row>
    <row r="571" spans="1:9" ht="15.5" x14ac:dyDescent="0.35">
      <c r="A571" s="224" t="s">
        <v>53</v>
      </c>
      <c r="B571" s="224" t="s">
        <v>36</v>
      </c>
      <c r="C571" s="224" t="s">
        <v>86</v>
      </c>
      <c r="D571" s="224" t="s">
        <v>9</v>
      </c>
      <c r="E571" s="224" t="s">
        <v>256</v>
      </c>
      <c r="F571" s="224" t="s">
        <v>249</v>
      </c>
      <c r="G571" s="223" t="str">
        <f>VLOOKUP($B571,'FRS geographical categories'!$A$2:$C$45,2,FALSE)</f>
        <v>Predominantly Urban</v>
      </c>
      <c r="H571" s="223" t="str">
        <f>VLOOKUP($B571,'FRS geographical categories'!$A$2:$C$45,3,FALSE)</f>
        <v>Metropolitan</v>
      </c>
      <c r="I571" s="224">
        <v>7302</v>
      </c>
    </row>
    <row r="572" spans="1:9" ht="15.5" x14ac:dyDescent="0.35">
      <c r="A572" s="224" t="s">
        <v>53</v>
      </c>
      <c r="B572" s="224" t="s">
        <v>36</v>
      </c>
      <c r="C572" s="224" t="s">
        <v>86</v>
      </c>
      <c r="D572" s="224" t="s">
        <v>9</v>
      </c>
      <c r="E572" s="224" t="s">
        <v>256</v>
      </c>
      <c r="F572" s="224" t="s">
        <v>250</v>
      </c>
      <c r="G572" s="223" t="str">
        <f>VLOOKUP($B572,'FRS geographical categories'!$A$2:$C$45,2,FALSE)</f>
        <v>Predominantly Urban</v>
      </c>
      <c r="H572" s="223" t="str">
        <f>VLOOKUP($B572,'FRS geographical categories'!$A$2:$C$45,3,FALSE)</f>
        <v>Metropolitan</v>
      </c>
      <c r="I572" s="224">
        <v>26070</v>
      </c>
    </row>
    <row r="573" spans="1:9" ht="15.5" x14ac:dyDescent="0.35">
      <c r="A573" s="224" t="s">
        <v>53</v>
      </c>
      <c r="B573" s="224" t="s">
        <v>36</v>
      </c>
      <c r="C573" s="224" t="s">
        <v>86</v>
      </c>
      <c r="D573" s="224" t="s">
        <v>9</v>
      </c>
      <c r="E573" s="224" t="s">
        <v>256</v>
      </c>
      <c r="F573" s="224" t="s">
        <v>10</v>
      </c>
      <c r="G573" s="223" t="str">
        <f>VLOOKUP($B573,'FRS geographical categories'!$A$2:$C$45,2,FALSE)</f>
        <v>Predominantly Urban</v>
      </c>
      <c r="H573" s="223" t="str">
        <f>VLOOKUP($B573,'FRS geographical categories'!$A$2:$C$45,3,FALSE)</f>
        <v>Metropolitan</v>
      </c>
      <c r="I573" s="224">
        <v>55590</v>
      </c>
    </row>
    <row r="574" spans="1:9" ht="15.5" x14ac:dyDescent="0.35">
      <c r="A574" s="224" t="s">
        <v>53</v>
      </c>
      <c r="B574" s="224" t="s">
        <v>36</v>
      </c>
      <c r="C574" s="224" t="s">
        <v>89</v>
      </c>
      <c r="D574" s="224" t="s">
        <v>9</v>
      </c>
      <c r="E574" s="224" t="s">
        <v>256</v>
      </c>
      <c r="F574" s="224" t="s">
        <v>248</v>
      </c>
      <c r="G574" s="223" t="str">
        <f>VLOOKUP($B574,'FRS geographical categories'!$A$2:$C$45,2,FALSE)</f>
        <v>Predominantly Urban</v>
      </c>
      <c r="H574" s="223" t="str">
        <f>VLOOKUP($B574,'FRS geographical categories'!$A$2:$C$45,3,FALSE)</f>
        <v>Metropolitan</v>
      </c>
      <c r="I574" s="224">
        <v>0</v>
      </c>
    </row>
    <row r="575" spans="1:9" ht="15.5" x14ac:dyDescent="0.35">
      <c r="A575" s="224" t="s">
        <v>53</v>
      </c>
      <c r="B575" s="224" t="s">
        <v>36</v>
      </c>
      <c r="C575" s="224" t="s">
        <v>89</v>
      </c>
      <c r="D575" s="224" t="s">
        <v>9</v>
      </c>
      <c r="E575" s="224" t="s">
        <v>256</v>
      </c>
      <c r="F575" s="224" t="s">
        <v>249</v>
      </c>
      <c r="G575" s="223" t="str">
        <f>VLOOKUP($B575,'FRS geographical categories'!$A$2:$C$45,2,FALSE)</f>
        <v>Predominantly Urban</v>
      </c>
      <c r="H575" s="223" t="str">
        <f>VLOOKUP($B575,'FRS geographical categories'!$A$2:$C$45,3,FALSE)</f>
        <v>Metropolitan</v>
      </c>
      <c r="I575" s="224">
        <v>0</v>
      </c>
    </row>
    <row r="576" spans="1:9" ht="15.5" x14ac:dyDescent="0.35">
      <c r="A576" s="224" t="s">
        <v>53</v>
      </c>
      <c r="B576" s="224" t="s">
        <v>36</v>
      </c>
      <c r="C576" s="224" t="s">
        <v>89</v>
      </c>
      <c r="D576" s="224" t="s">
        <v>9</v>
      </c>
      <c r="E576" s="224" t="s">
        <v>256</v>
      </c>
      <c r="F576" s="224" t="s">
        <v>250</v>
      </c>
      <c r="G576" s="223" t="str">
        <f>VLOOKUP($B576,'FRS geographical categories'!$A$2:$C$45,2,FALSE)</f>
        <v>Predominantly Urban</v>
      </c>
      <c r="H576" s="223" t="str">
        <f>VLOOKUP($B576,'FRS geographical categories'!$A$2:$C$45,3,FALSE)</f>
        <v>Metropolitan</v>
      </c>
      <c r="I576" s="224">
        <v>0</v>
      </c>
    </row>
    <row r="577" spans="1:9" ht="15.5" x14ac:dyDescent="0.35">
      <c r="A577" s="224" t="s">
        <v>53</v>
      </c>
      <c r="B577" s="224" t="s">
        <v>36</v>
      </c>
      <c r="C577" s="224" t="s">
        <v>89</v>
      </c>
      <c r="D577" s="224" t="s">
        <v>9</v>
      </c>
      <c r="E577" s="224" t="s">
        <v>256</v>
      </c>
      <c r="F577" s="224" t="s">
        <v>10</v>
      </c>
      <c r="G577" s="223" t="str">
        <f>VLOOKUP($B577,'FRS geographical categories'!$A$2:$C$45,2,FALSE)</f>
        <v>Predominantly Urban</v>
      </c>
      <c r="H577" s="223" t="str">
        <f>VLOOKUP($B577,'FRS geographical categories'!$A$2:$C$45,3,FALSE)</f>
        <v>Metropolitan</v>
      </c>
      <c r="I577" s="224">
        <v>0</v>
      </c>
    </row>
    <row r="578" spans="1:9" ht="15.5" x14ac:dyDescent="0.35">
      <c r="A578" s="224" t="s">
        <v>53</v>
      </c>
      <c r="B578" s="224" t="s">
        <v>37</v>
      </c>
      <c r="C578" s="224" t="s">
        <v>86</v>
      </c>
      <c r="D578" s="224" t="s">
        <v>9</v>
      </c>
      <c r="E578" s="224" t="s">
        <v>256</v>
      </c>
      <c r="F578" s="224" t="s">
        <v>248</v>
      </c>
      <c r="G578" s="223" t="str">
        <f>VLOOKUP($B578,'FRS geographical categories'!$A$2:$C$45,2,FALSE)</f>
        <v>Predominantly Rural</v>
      </c>
      <c r="H578" s="223" t="str">
        <f>VLOOKUP($B578,'FRS geographical categories'!$A$2:$C$45,3,FALSE)</f>
        <v>Non-metropolitan</v>
      </c>
      <c r="I578" s="224">
        <v>0</v>
      </c>
    </row>
    <row r="579" spans="1:9" ht="15.5" x14ac:dyDescent="0.35">
      <c r="A579" s="224" t="s">
        <v>53</v>
      </c>
      <c r="B579" s="224" t="s">
        <v>37</v>
      </c>
      <c r="C579" s="224" t="s">
        <v>86</v>
      </c>
      <c r="D579" s="224" t="s">
        <v>9</v>
      </c>
      <c r="E579" s="224" t="s">
        <v>256</v>
      </c>
      <c r="F579" s="224" t="s">
        <v>249</v>
      </c>
      <c r="G579" s="223" t="str">
        <f>VLOOKUP($B579,'FRS geographical categories'!$A$2:$C$45,2,FALSE)</f>
        <v>Predominantly Rural</v>
      </c>
      <c r="H579" s="223" t="str">
        <f>VLOOKUP($B579,'FRS geographical categories'!$A$2:$C$45,3,FALSE)</f>
        <v>Non-metropolitan</v>
      </c>
      <c r="I579" s="224">
        <v>0</v>
      </c>
    </row>
    <row r="580" spans="1:9" ht="15.5" x14ac:dyDescent="0.35">
      <c r="A580" s="224" t="s">
        <v>53</v>
      </c>
      <c r="B580" s="224" t="s">
        <v>37</v>
      </c>
      <c r="C580" s="224" t="s">
        <v>86</v>
      </c>
      <c r="D580" s="224" t="s">
        <v>9</v>
      </c>
      <c r="E580" s="224" t="s">
        <v>256</v>
      </c>
      <c r="F580" s="224" t="s">
        <v>250</v>
      </c>
      <c r="G580" s="223" t="str">
        <f>VLOOKUP($B580,'FRS geographical categories'!$A$2:$C$45,2,FALSE)</f>
        <v>Predominantly Rural</v>
      </c>
      <c r="H580" s="223" t="str">
        <f>VLOOKUP($B580,'FRS geographical categories'!$A$2:$C$45,3,FALSE)</f>
        <v>Non-metropolitan</v>
      </c>
      <c r="I580" s="224">
        <v>0</v>
      </c>
    </row>
    <row r="581" spans="1:9" ht="15.5" x14ac:dyDescent="0.35">
      <c r="A581" s="224" t="s">
        <v>53</v>
      </c>
      <c r="B581" s="224" t="s">
        <v>37</v>
      </c>
      <c r="C581" s="224" t="s">
        <v>86</v>
      </c>
      <c r="D581" s="224" t="s">
        <v>9</v>
      </c>
      <c r="E581" s="224" t="s">
        <v>256</v>
      </c>
      <c r="F581" s="224" t="s">
        <v>10</v>
      </c>
      <c r="G581" s="223" t="str">
        <f>VLOOKUP($B581,'FRS geographical categories'!$A$2:$C$45,2,FALSE)</f>
        <v>Predominantly Rural</v>
      </c>
      <c r="H581" s="223" t="str">
        <f>VLOOKUP($B581,'FRS geographical categories'!$A$2:$C$45,3,FALSE)</f>
        <v>Non-metropolitan</v>
      </c>
      <c r="I581" s="224">
        <v>3929</v>
      </c>
    </row>
    <row r="582" spans="1:9" ht="15.5" x14ac:dyDescent="0.35">
      <c r="A582" s="224" t="s">
        <v>53</v>
      </c>
      <c r="B582" s="224" t="s">
        <v>37</v>
      </c>
      <c r="C582" s="224" t="s">
        <v>89</v>
      </c>
      <c r="D582" s="224" t="s">
        <v>9</v>
      </c>
      <c r="E582" s="224" t="s">
        <v>256</v>
      </c>
      <c r="F582" s="224" t="s">
        <v>248</v>
      </c>
      <c r="G582" s="223" t="str">
        <f>VLOOKUP($B582,'FRS geographical categories'!$A$2:$C$45,2,FALSE)</f>
        <v>Predominantly Rural</v>
      </c>
      <c r="H582" s="223" t="str">
        <f>VLOOKUP($B582,'FRS geographical categories'!$A$2:$C$45,3,FALSE)</f>
        <v>Non-metropolitan</v>
      </c>
      <c r="I582" s="224">
        <v>0</v>
      </c>
    </row>
    <row r="583" spans="1:9" ht="15.5" x14ac:dyDescent="0.35">
      <c r="A583" s="224" t="s">
        <v>53</v>
      </c>
      <c r="B583" s="224" t="s">
        <v>37</v>
      </c>
      <c r="C583" s="224" t="s">
        <v>89</v>
      </c>
      <c r="D583" s="224" t="s">
        <v>9</v>
      </c>
      <c r="E583" s="224" t="s">
        <v>256</v>
      </c>
      <c r="F583" s="224" t="s">
        <v>249</v>
      </c>
      <c r="G583" s="223" t="str">
        <f>VLOOKUP($B583,'FRS geographical categories'!$A$2:$C$45,2,FALSE)</f>
        <v>Predominantly Rural</v>
      </c>
      <c r="H583" s="223" t="str">
        <f>VLOOKUP($B583,'FRS geographical categories'!$A$2:$C$45,3,FALSE)</f>
        <v>Non-metropolitan</v>
      </c>
      <c r="I583" s="224">
        <v>0</v>
      </c>
    </row>
    <row r="584" spans="1:9" ht="15.5" x14ac:dyDescent="0.35">
      <c r="A584" s="224" t="s">
        <v>53</v>
      </c>
      <c r="B584" s="224" t="s">
        <v>37</v>
      </c>
      <c r="C584" s="224" t="s">
        <v>89</v>
      </c>
      <c r="D584" s="224" t="s">
        <v>9</v>
      </c>
      <c r="E584" s="224" t="s">
        <v>256</v>
      </c>
      <c r="F584" s="224" t="s">
        <v>250</v>
      </c>
      <c r="G584" s="223" t="str">
        <f>VLOOKUP($B584,'FRS geographical categories'!$A$2:$C$45,2,FALSE)</f>
        <v>Predominantly Rural</v>
      </c>
      <c r="H584" s="223" t="str">
        <f>VLOOKUP($B584,'FRS geographical categories'!$A$2:$C$45,3,FALSE)</f>
        <v>Non-metropolitan</v>
      </c>
      <c r="I584" s="224">
        <v>0</v>
      </c>
    </row>
    <row r="585" spans="1:9" ht="15.5" x14ac:dyDescent="0.35">
      <c r="A585" s="224" t="s">
        <v>53</v>
      </c>
      <c r="B585" s="224" t="s">
        <v>37</v>
      </c>
      <c r="C585" s="224" t="s">
        <v>89</v>
      </c>
      <c r="D585" s="224" t="s">
        <v>9</v>
      </c>
      <c r="E585" s="224" t="s">
        <v>256</v>
      </c>
      <c r="F585" s="224" t="s">
        <v>10</v>
      </c>
      <c r="G585" s="223" t="str">
        <f>VLOOKUP($B585,'FRS geographical categories'!$A$2:$C$45,2,FALSE)</f>
        <v>Predominantly Rural</v>
      </c>
      <c r="H585" s="223" t="str">
        <f>VLOOKUP($B585,'FRS geographical categories'!$A$2:$C$45,3,FALSE)</f>
        <v>Non-metropolitan</v>
      </c>
      <c r="I585" s="224">
        <v>0</v>
      </c>
    </row>
    <row r="586" spans="1:9" ht="15.5" x14ac:dyDescent="0.35">
      <c r="A586" s="224" t="s">
        <v>53</v>
      </c>
      <c r="B586" s="224" t="s">
        <v>38</v>
      </c>
      <c r="C586" s="224" t="s">
        <v>86</v>
      </c>
      <c r="D586" s="224" t="s">
        <v>9</v>
      </c>
      <c r="E586" s="224" t="s">
        <v>256</v>
      </c>
      <c r="F586" s="224" t="s">
        <v>248</v>
      </c>
      <c r="G586" s="223" t="str">
        <f>VLOOKUP($B586,'FRS geographical categories'!$A$2:$C$45,2,FALSE)</f>
        <v>Predominantly Rural</v>
      </c>
      <c r="H586" s="223" t="str">
        <f>VLOOKUP($B586,'FRS geographical categories'!$A$2:$C$45,3,FALSE)</f>
        <v>Non-metropolitan</v>
      </c>
      <c r="I586" s="224">
        <v>0</v>
      </c>
    </row>
    <row r="587" spans="1:9" ht="15.5" x14ac:dyDescent="0.35">
      <c r="A587" s="224" t="s">
        <v>53</v>
      </c>
      <c r="B587" s="224" t="s">
        <v>38</v>
      </c>
      <c r="C587" s="224" t="s">
        <v>86</v>
      </c>
      <c r="D587" s="224" t="s">
        <v>9</v>
      </c>
      <c r="E587" s="224" t="s">
        <v>256</v>
      </c>
      <c r="F587" s="224" t="s">
        <v>249</v>
      </c>
      <c r="G587" s="223" t="str">
        <f>VLOOKUP($B587,'FRS geographical categories'!$A$2:$C$45,2,FALSE)</f>
        <v>Predominantly Rural</v>
      </c>
      <c r="H587" s="223" t="str">
        <f>VLOOKUP($B587,'FRS geographical categories'!$A$2:$C$45,3,FALSE)</f>
        <v>Non-metropolitan</v>
      </c>
      <c r="I587" s="224">
        <v>0</v>
      </c>
    </row>
    <row r="588" spans="1:9" ht="15.5" x14ac:dyDescent="0.35">
      <c r="A588" s="224" t="s">
        <v>53</v>
      </c>
      <c r="B588" s="224" t="s">
        <v>38</v>
      </c>
      <c r="C588" s="224" t="s">
        <v>86</v>
      </c>
      <c r="D588" s="224" t="s">
        <v>9</v>
      </c>
      <c r="E588" s="224" t="s">
        <v>256</v>
      </c>
      <c r="F588" s="224" t="s">
        <v>250</v>
      </c>
      <c r="G588" s="223" t="str">
        <f>VLOOKUP($B588,'FRS geographical categories'!$A$2:$C$45,2,FALSE)</f>
        <v>Predominantly Rural</v>
      </c>
      <c r="H588" s="223" t="str">
        <f>VLOOKUP($B588,'FRS geographical categories'!$A$2:$C$45,3,FALSE)</f>
        <v>Non-metropolitan</v>
      </c>
      <c r="I588" s="224">
        <v>2186</v>
      </c>
    </row>
    <row r="589" spans="1:9" ht="15.5" x14ac:dyDescent="0.35">
      <c r="A589" s="224" t="s">
        <v>53</v>
      </c>
      <c r="B589" s="224" t="s">
        <v>38</v>
      </c>
      <c r="C589" s="224" t="s">
        <v>86</v>
      </c>
      <c r="D589" s="224" t="s">
        <v>9</v>
      </c>
      <c r="E589" s="224" t="s">
        <v>256</v>
      </c>
      <c r="F589" s="224" t="s">
        <v>10</v>
      </c>
      <c r="G589" s="223" t="str">
        <f>VLOOKUP($B589,'FRS geographical categories'!$A$2:$C$45,2,FALSE)</f>
        <v>Predominantly Rural</v>
      </c>
      <c r="H589" s="223" t="str">
        <f>VLOOKUP($B589,'FRS geographical categories'!$A$2:$C$45,3,FALSE)</f>
        <v>Non-metropolitan</v>
      </c>
      <c r="I589" s="224">
        <v>2251</v>
      </c>
    </row>
    <row r="590" spans="1:9" ht="15.5" x14ac:dyDescent="0.35">
      <c r="A590" s="224" t="s">
        <v>53</v>
      </c>
      <c r="B590" s="224" t="s">
        <v>38</v>
      </c>
      <c r="C590" s="224" t="s">
        <v>89</v>
      </c>
      <c r="D590" s="224" t="s">
        <v>9</v>
      </c>
      <c r="E590" s="224" t="s">
        <v>256</v>
      </c>
      <c r="F590" s="224" t="s">
        <v>248</v>
      </c>
      <c r="G590" s="223" t="str">
        <f>VLOOKUP($B590,'FRS geographical categories'!$A$2:$C$45,2,FALSE)</f>
        <v>Predominantly Rural</v>
      </c>
      <c r="H590" s="223" t="str">
        <f>VLOOKUP($B590,'FRS geographical categories'!$A$2:$C$45,3,FALSE)</f>
        <v>Non-metropolitan</v>
      </c>
      <c r="I590" s="224">
        <v>0</v>
      </c>
    </row>
    <row r="591" spans="1:9" ht="15.5" x14ac:dyDescent="0.35">
      <c r="A591" s="224" t="s">
        <v>53</v>
      </c>
      <c r="B591" s="224" t="s">
        <v>38</v>
      </c>
      <c r="C591" s="224" t="s">
        <v>89</v>
      </c>
      <c r="D591" s="224" t="s">
        <v>9</v>
      </c>
      <c r="E591" s="224" t="s">
        <v>256</v>
      </c>
      <c r="F591" s="224" t="s">
        <v>249</v>
      </c>
      <c r="G591" s="223" t="str">
        <f>VLOOKUP($B591,'FRS geographical categories'!$A$2:$C$45,2,FALSE)</f>
        <v>Predominantly Rural</v>
      </c>
      <c r="H591" s="223" t="str">
        <f>VLOOKUP($B591,'FRS geographical categories'!$A$2:$C$45,3,FALSE)</f>
        <v>Non-metropolitan</v>
      </c>
      <c r="I591" s="224">
        <v>0</v>
      </c>
    </row>
    <row r="592" spans="1:9" ht="15.5" x14ac:dyDescent="0.35">
      <c r="A592" s="224" t="s">
        <v>53</v>
      </c>
      <c r="B592" s="224" t="s">
        <v>38</v>
      </c>
      <c r="C592" s="224" t="s">
        <v>89</v>
      </c>
      <c r="D592" s="224" t="s">
        <v>9</v>
      </c>
      <c r="E592" s="224" t="s">
        <v>256</v>
      </c>
      <c r="F592" s="224" t="s">
        <v>250</v>
      </c>
      <c r="G592" s="223" t="str">
        <f>VLOOKUP($B592,'FRS geographical categories'!$A$2:$C$45,2,FALSE)</f>
        <v>Predominantly Rural</v>
      </c>
      <c r="H592" s="223" t="str">
        <f>VLOOKUP($B592,'FRS geographical categories'!$A$2:$C$45,3,FALSE)</f>
        <v>Non-metropolitan</v>
      </c>
      <c r="I592" s="224">
        <v>43</v>
      </c>
    </row>
    <row r="593" spans="1:9" ht="15.5" x14ac:dyDescent="0.35">
      <c r="A593" s="224" t="s">
        <v>53</v>
      </c>
      <c r="B593" s="224" t="s">
        <v>38</v>
      </c>
      <c r="C593" s="224" t="s">
        <v>89</v>
      </c>
      <c r="D593" s="224" t="s">
        <v>9</v>
      </c>
      <c r="E593" s="224" t="s">
        <v>256</v>
      </c>
      <c r="F593" s="224" t="s">
        <v>10</v>
      </c>
      <c r="G593" s="223" t="str">
        <f>VLOOKUP($B593,'FRS geographical categories'!$A$2:$C$45,2,FALSE)</f>
        <v>Predominantly Rural</v>
      </c>
      <c r="H593" s="223" t="str">
        <f>VLOOKUP($B593,'FRS geographical categories'!$A$2:$C$45,3,FALSE)</f>
        <v>Non-metropolitan</v>
      </c>
      <c r="I593" s="224">
        <v>54</v>
      </c>
    </row>
    <row r="594" spans="1:9" ht="15.5" x14ac:dyDescent="0.35">
      <c r="A594" s="224" t="s">
        <v>53</v>
      </c>
      <c r="B594" s="224" t="s">
        <v>39</v>
      </c>
      <c r="C594" s="224" t="s">
        <v>86</v>
      </c>
      <c r="D594" s="224" t="s">
        <v>9</v>
      </c>
      <c r="E594" s="224" t="s">
        <v>256</v>
      </c>
      <c r="F594" s="224" t="s">
        <v>248</v>
      </c>
      <c r="G594" s="223" t="str">
        <f>VLOOKUP($B594,'FRS geographical categories'!$A$2:$C$45,2,FALSE)</f>
        <v>Significantly Rural</v>
      </c>
      <c r="H594" s="223" t="str">
        <f>VLOOKUP($B594,'FRS geographical categories'!$A$2:$C$45,3,FALSE)</f>
        <v>Non-metropolitan</v>
      </c>
      <c r="I594" s="224">
        <v>167</v>
      </c>
    </row>
    <row r="595" spans="1:9" ht="15.5" x14ac:dyDescent="0.35">
      <c r="A595" s="224" t="s">
        <v>53</v>
      </c>
      <c r="B595" s="224" t="s">
        <v>39</v>
      </c>
      <c r="C595" s="224" t="s">
        <v>86</v>
      </c>
      <c r="D595" s="224" t="s">
        <v>9</v>
      </c>
      <c r="E595" s="224" t="s">
        <v>256</v>
      </c>
      <c r="F595" s="224" t="s">
        <v>249</v>
      </c>
      <c r="G595" s="223" t="str">
        <f>VLOOKUP($B595,'FRS geographical categories'!$A$2:$C$45,2,FALSE)</f>
        <v>Significantly Rural</v>
      </c>
      <c r="H595" s="223" t="str">
        <f>VLOOKUP($B595,'FRS geographical categories'!$A$2:$C$45,3,FALSE)</f>
        <v>Non-metropolitan</v>
      </c>
      <c r="I595" s="224">
        <v>739</v>
      </c>
    </row>
    <row r="596" spans="1:9" ht="15.5" x14ac:dyDescent="0.35">
      <c r="A596" s="224" t="s">
        <v>53</v>
      </c>
      <c r="B596" s="224" t="s">
        <v>39</v>
      </c>
      <c r="C596" s="224" t="s">
        <v>86</v>
      </c>
      <c r="D596" s="224" t="s">
        <v>9</v>
      </c>
      <c r="E596" s="224" t="s">
        <v>256</v>
      </c>
      <c r="F596" s="224" t="s">
        <v>250</v>
      </c>
      <c r="G596" s="223" t="str">
        <f>VLOOKUP($B596,'FRS geographical categories'!$A$2:$C$45,2,FALSE)</f>
        <v>Significantly Rural</v>
      </c>
      <c r="H596" s="223" t="str">
        <f>VLOOKUP($B596,'FRS geographical categories'!$A$2:$C$45,3,FALSE)</f>
        <v>Non-metropolitan</v>
      </c>
      <c r="I596" s="224">
        <v>1345</v>
      </c>
    </row>
    <row r="597" spans="1:9" ht="15.5" x14ac:dyDescent="0.35">
      <c r="A597" s="224" t="s">
        <v>53</v>
      </c>
      <c r="B597" s="224" t="s">
        <v>39</v>
      </c>
      <c r="C597" s="224" t="s">
        <v>86</v>
      </c>
      <c r="D597" s="224" t="s">
        <v>9</v>
      </c>
      <c r="E597" s="224" t="s">
        <v>256</v>
      </c>
      <c r="F597" s="224" t="s">
        <v>10</v>
      </c>
      <c r="G597" s="223" t="str">
        <f>VLOOKUP($B597,'FRS geographical categories'!$A$2:$C$45,2,FALSE)</f>
        <v>Significantly Rural</v>
      </c>
      <c r="H597" s="223" t="str">
        <f>VLOOKUP($B597,'FRS geographical categories'!$A$2:$C$45,3,FALSE)</f>
        <v>Non-metropolitan</v>
      </c>
      <c r="I597" s="224">
        <v>3582</v>
      </c>
    </row>
    <row r="598" spans="1:9" ht="15.5" x14ac:dyDescent="0.35">
      <c r="A598" s="224" t="s">
        <v>53</v>
      </c>
      <c r="B598" s="224" t="s">
        <v>39</v>
      </c>
      <c r="C598" s="224" t="s">
        <v>89</v>
      </c>
      <c r="D598" s="224" t="s">
        <v>9</v>
      </c>
      <c r="E598" s="224" t="s">
        <v>256</v>
      </c>
      <c r="F598" s="224" t="s">
        <v>248</v>
      </c>
      <c r="G598" s="223" t="str">
        <f>VLOOKUP($B598,'FRS geographical categories'!$A$2:$C$45,2,FALSE)</f>
        <v>Significantly Rural</v>
      </c>
      <c r="H598" s="223" t="str">
        <f>VLOOKUP($B598,'FRS geographical categories'!$A$2:$C$45,3,FALSE)</f>
        <v>Non-metropolitan</v>
      </c>
      <c r="I598" s="224">
        <v>0</v>
      </c>
    </row>
    <row r="599" spans="1:9" ht="15.5" x14ac:dyDescent="0.35">
      <c r="A599" s="224" t="s">
        <v>53</v>
      </c>
      <c r="B599" s="224" t="s">
        <v>39</v>
      </c>
      <c r="C599" s="224" t="s">
        <v>89</v>
      </c>
      <c r="D599" s="224" t="s">
        <v>9</v>
      </c>
      <c r="E599" s="224" t="s">
        <v>256</v>
      </c>
      <c r="F599" s="224" t="s">
        <v>249</v>
      </c>
      <c r="G599" s="223" t="str">
        <f>VLOOKUP($B599,'FRS geographical categories'!$A$2:$C$45,2,FALSE)</f>
        <v>Significantly Rural</v>
      </c>
      <c r="H599" s="223" t="str">
        <f>VLOOKUP($B599,'FRS geographical categories'!$A$2:$C$45,3,FALSE)</f>
        <v>Non-metropolitan</v>
      </c>
      <c r="I599" s="224">
        <v>0</v>
      </c>
    </row>
    <row r="600" spans="1:9" ht="15.5" x14ac:dyDescent="0.35">
      <c r="A600" s="224" t="s">
        <v>53</v>
      </c>
      <c r="B600" s="224" t="s">
        <v>39</v>
      </c>
      <c r="C600" s="224" t="s">
        <v>89</v>
      </c>
      <c r="D600" s="224" t="s">
        <v>9</v>
      </c>
      <c r="E600" s="224" t="s">
        <v>256</v>
      </c>
      <c r="F600" s="224" t="s">
        <v>250</v>
      </c>
      <c r="G600" s="223" t="str">
        <f>VLOOKUP($B600,'FRS geographical categories'!$A$2:$C$45,2,FALSE)</f>
        <v>Significantly Rural</v>
      </c>
      <c r="H600" s="223" t="str">
        <f>VLOOKUP($B600,'FRS geographical categories'!$A$2:$C$45,3,FALSE)</f>
        <v>Non-metropolitan</v>
      </c>
      <c r="I600" s="224">
        <v>0</v>
      </c>
    </row>
    <row r="601" spans="1:9" ht="15.5" x14ac:dyDescent="0.35">
      <c r="A601" s="224" t="s">
        <v>53</v>
      </c>
      <c r="B601" s="224" t="s">
        <v>39</v>
      </c>
      <c r="C601" s="224" t="s">
        <v>89</v>
      </c>
      <c r="D601" s="224" t="s">
        <v>9</v>
      </c>
      <c r="E601" s="224" t="s">
        <v>256</v>
      </c>
      <c r="F601" s="224" t="s">
        <v>10</v>
      </c>
      <c r="G601" s="223" t="str">
        <f>VLOOKUP($B601,'FRS geographical categories'!$A$2:$C$45,2,FALSE)</f>
        <v>Significantly Rural</v>
      </c>
      <c r="H601" s="223" t="str">
        <f>VLOOKUP($B601,'FRS geographical categories'!$A$2:$C$45,3,FALSE)</f>
        <v>Non-metropolitan</v>
      </c>
      <c r="I601" s="224">
        <v>0</v>
      </c>
    </row>
    <row r="602" spans="1:9" ht="15.5" x14ac:dyDescent="0.35">
      <c r="A602" s="224" t="s">
        <v>53</v>
      </c>
      <c r="B602" s="224" t="s">
        <v>40</v>
      </c>
      <c r="C602" s="224" t="s">
        <v>86</v>
      </c>
      <c r="D602" s="224" t="s">
        <v>9</v>
      </c>
      <c r="E602" s="224" t="s">
        <v>256</v>
      </c>
      <c r="F602" s="224" t="s">
        <v>248</v>
      </c>
      <c r="G602" s="223" t="str">
        <f>VLOOKUP($B602,'FRS geographical categories'!$A$2:$C$45,2,FALSE)</f>
        <v>Predominantly Rural</v>
      </c>
      <c r="H602" s="223" t="str">
        <f>VLOOKUP($B602,'FRS geographical categories'!$A$2:$C$45,3,FALSE)</f>
        <v>Non-metropolitan</v>
      </c>
      <c r="I602" s="224">
        <v>278</v>
      </c>
    </row>
    <row r="603" spans="1:9" ht="15.5" x14ac:dyDescent="0.35">
      <c r="A603" s="224" t="s">
        <v>53</v>
      </c>
      <c r="B603" s="224" t="s">
        <v>40</v>
      </c>
      <c r="C603" s="224" t="s">
        <v>86</v>
      </c>
      <c r="D603" s="224" t="s">
        <v>9</v>
      </c>
      <c r="E603" s="224" t="s">
        <v>256</v>
      </c>
      <c r="F603" s="224" t="s">
        <v>249</v>
      </c>
      <c r="G603" s="223" t="str">
        <f>VLOOKUP($B603,'FRS geographical categories'!$A$2:$C$45,2,FALSE)</f>
        <v>Predominantly Rural</v>
      </c>
      <c r="H603" s="223" t="str">
        <f>VLOOKUP($B603,'FRS geographical categories'!$A$2:$C$45,3,FALSE)</f>
        <v>Non-metropolitan</v>
      </c>
      <c r="I603" s="224">
        <v>891</v>
      </c>
    </row>
    <row r="604" spans="1:9" ht="15.5" x14ac:dyDescent="0.35">
      <c r="A604" s="224" t="s">
        <v>53</v>
      </c>
      <c r="B604" s="224" t="s">
        <v>40</v>
      </c>
      <c r="C604" s="224" t="s">
        <v>86</v>
      </c>
      <c r="D604" s="224" t="s">
        <v>9</v>
      </c>
      <c r="E604" s="224" t="s">
        <v>256</v>
      </c>
      <c r="F604" s="224" t="s">
        <v>250</v>
      </c>
      <c r="G604" s="223" t="str">
        <f>VLOOKUP($B604,'FRS geographical categories'!$A$2:$C$45,2,FALSE)</f>
        <v>Predominantly Rural</v>
      </c>
      <c r="H604" s="223" t="str">
        <f>VLOOKUP($B604,'FRS geographical categories'!$A$2:$C$45,3,FALSE)</f>
        <v>Non-metropolitan</v>
      </c>
      <c r="I604" s="224">
        <v>4221</v>
      </c>
    </row>
    <row r="605" spans="1:9" ht="15.5" x14ac:dyDescent="0.35">
      <c r="A605" s="224" t="s">
        <v>53</v>
      </c>
      <c r="B605" s="224" t="s">
        <v>40</v>
      </c>
      <c r="C605" s="224" t="s">
        <v>86</v>
      </c>
      <c r="D605" s="224" t="s">
        <v>9</v>
      </c>
      <c r="E605" s="224" t="s">
        <v>256</v>
      </c>
      <c r="F605" s="224" t="s">
        <v>10</v>
      </c>
      <c r="G605" s="223" t="str">
        <f>VLOOKUP($B605,'FRS geographical categories'!$A$2:$C$45,2,FALSE)</f>
        <v>Predominantly Rural</v>
      </c>
      <c r="H605" s="223" t="str">
        <f>VLOOKUP($B605,'FRS geographical categories'!$A$2:$C$45,3,FALSE)</f>
        <v>Non-metropolitan</v>
      </c>
      <c r="I605" s="224">
        <v>7694</v>
      </c>
    </row>
    <row r="606" spans="1:9" ht="15.5" x14ac:dyDescent="0.35">
      <c r="A606" s="224" t="s">
        <v>53</v>
      </c>
      <c r="B606" s="224" t="s">
        <v>40</v>
      </c>
      <c r="C606" s="224" t="s">
        <v>89</v>
      </c>
      <c r="D606" s="224" t="s">
        <v>9</v>
      </c>
      <c r="E606" s="224" t="s">
        <v>256</v>
      </c>
      <c r="F606" s="224" t="s">
        <v>248</v>
      </c>
      <c r="G606" s="223" t="str">
        <f>VLOOKUP($B606,'FRS geographical categories'!$A$2:$C$45,2,FALSE)</f>
        <v>Predominantly Rural</v>
      </c>
      <c r="H606" s="223" t="str">
        <f>VLOOKUP($B606,'FRS geographical categories'!$A$2:$C$45,3,FALSE)</f>
        <v>Non-metropolitan</v>
      </c>
      <c r="I606" s="224">
        <v>0</v>
      </c>
    </row>
    <row r="607" spans="1:9" ht="15.5" x14ac:dyDescent="0.35">
      <c r="A607" s="224" t="s">
        <v>53</v>
      </c>
      <c r="B607" s="224" t="s">
        <v>40</v>
      </c>
      <c r="C607" s="224" t="s">
        <v>89</v>
      </c>
      <c r="D607" s="224" t="s">
        <v>9</v>
      </c>
      <c r="E607" s="224" t="s">
        <v>256</v>
      </c>
      <c r="F607" s="224" t="s">
        <v>249</v>
      </c>
      <c r="G607" s="223" t="str">
        <f>VLOOKUP($B607,'FRS geographical categories'!$A$2:$C$45,2,FALSE)</f>
        <v>Predominantly Rural</v>
      </c>
      <c r="H607" s="223" t="str">
        <f>VLOOKUP($B607,'FRS geographical categories'!$A$2:$C$45,3,FALSE)</f>
        <v>Non-metropolitan</v>
      </c>
      <c r="I607" s="224">
        <v>0</v>
      </c>
    </row>
    <row r="608" spans="1:9" ht="15.5" x14ac:dyDescent="0.35">
      <c r="A608" s="224" t="s">
        <v>53</v>
      </c>
      <c r="B608" s="224" t="s">
        <v>40</v>
      </c>
      <c r="C608" s="224" t="s">
        <v>89</v>
      </c>
      <c r="D608" s="224" t="s">
        <v>9</v>
      </c>
      <c r="E608" s="224" t="s">
        <v>256</v>
      </c>
      <c r="F608" s="224" t="s">
        <v>250</v>
      </c>
      <c r="G608" s="223" t="str">
        <f>VLOOKUP($B608,'FRS geographical categories'!$A$2:$C$45,2,FALSE)</f>
        <v>Predominantly Rural</v>
      </c>
      <c r="H608" s="223" t="str">
        <f>VLOOKUP($B608,'FRS geographical categories'!$A$2:$C$45,3,FALSE)</f>
        <v>Non-metropolitan</v>
      </c>
      <c r="I608" s="224">
        <v>0</v>
      </c>
    </row>
    <row r="609" spans="1:9" ht="15.5" x14ac:dyDescent="0.35">
      <c r="A609" s="224" t="s">
        <v>53</v>
      </c>
      <c r="B609" s="224" t="s">
        <v>40</v>
      </c>
      <c r="C609" s="224" t="s">
        <v>89</v>
      </c>
      <c r="D609" s="224" t="s">
        <v>9</v>
      </c>
      <c r="E609" s="224" t="s">
        <v>256</v>
      </c>
      <c r="F609" s="224" t="s">
        <v>10</v>
      </c>
      <c r="G609" s="223" t="str">
        <f>VLOOKUP($B609,'FRS geographical categories'!$A$2:$C$45,2,FALSE)</f>
        <v>Predominantly Rural</v>
      </c>
      <c r="H609" s="223" t="str">
        <f>VLOOKUP($B609,'FRS geographical categories'!$A$2:$C$45,3,FALSE)</f>
        <v>Non-metropolitan</v>
      </c>
      <c r="I609" s="224">
        <v>0</v>
      </c>
    </row>
    <row r="610" spans="1:9" ht="15.5" x14ac:dyDescent="0.35">
      <c r="A610" s="224" t="s">
        <v>53</v>
      </c>
      <c r="B610" s="224" t="s">
        <v>41</v>
      </c>
      <c r="C610" s="224" t="s">
        <v>86</v>
      </c>
      <c r="D610" s="224" t="s">
        <v>9</v>
      </c>
      <c r="E610" s="224" t="s">
        <v>256</v>
      </c>
      <c r="F610" s="224" t="s">
        <v>248</v>
      </c>
      <c r="G610" s="223" t="str">
        <f>VLOOKUP($B610,'FRS geographical categories'!$A$2:$C$45,2,FALSE)</f>
        <v>Predominantly Urban</v>
      </c>
      <c r="H610" s="223" t="str">
        <f>VLOOKUP($B610,'FRS geographical categories'!$A$2:$C$45,3,FALSE)</f>
        <v>Non-metropolitan</v>
      </c>
      <c r="I610" s="224">
        <v>623</v>
      </c>
    </row>
    <row r="611" spans="1:9" ht="15.5" x14ac:dyDescent="0.35">
      <c r="A611" s="224" t="s">
        <v>53</v>
      </c>
      <c r="B611" s="224" t="s">
        <v>41</v>
      </c>
      <c r="C611" s="224" t="s">
        <v>86</v>
      </c>
      <c r="D611" s="224" t="s">
        <v>9</v>
      </c>
      <c r="E611" s="224" t="s">
        <v>256</v>
      </c>
      <c r="F611" s="224" t="s">
        <v>249</v>
      </c>
      <c r="G611" s="223" t="str">
        <f>VLOOKUP($B611,'FRS geographical categories'!$A$2:$C$45,2,FALSE)</f>
        <v>Predominantly Urban</v>
      </c>
      <c r="H611" s="223" t="str">
        <f>VLOOKUP($B611,'FRS geographical categories'!$A$2:$C$45,3,FALSE)</f>
        <v>Non-metropolitan</v>
      </c>
      <c r="I611" s="224">
        <v>1439</v>
      </c>
    </row>
    <row r="612" spans="1:9" ht="15.5" x14ac:dyDescent="0.35">
      <c r="A612" s="224" t="s">
        <v>53</v>
      </c>
      <c r="B612" s="224" t="s">
        <v>41</v>
      </c>
      <c r="C612" s="224" t="s">
        <v>86</v>
      </c>
      <c r="D612" s="224" t="s">
        <v>9</v>
      </c>
      <c r="E612" s="224" t="s">
        <v>256</v>
      </c>
      <c r="F612" s="224" t="s">
        <v>250</v>
      </c>
      <c r="G612" s="223" t="str">
        <f>VLOOKUP($B612,'FRS geographical categories'!$A$2:$C$45,2,FALSE)</f>
        <v>Predominantly Urban</v>
      </c>
      <c r="H612" s="223" t="str">
        <f>VLOOKUP($B612,'FRS geographical categories'!$A$2:$C$45,3,FALSE)</f>
        <v>Non-metropolitan</v>
      </c>
      <c r="I612" s="224">
        <v>2682</v>
      </c>
    </row>
    <row r="613" spans="1:9" ht="15.5" x14ac:dyDescent="0.35">
      <c r="A613" s="224" t="s">
        <v>53</v>
      </c>
      <c r="B613" s="224" t="s">
        <v>41</v>
      </c>
      <c r="C613" s="224" t="s">
        <v>86</v>
      </c>
      <c r="D613" s="224" t="s">
        <v>9</v>
      </c>
      <c r="E613" s="224" t="s">
        <v>256</v>
      </c>
      <c r="F613" s="224" t="s">
        <v>10</v>
      </c>
      <c r="G613" s="223" t="str">
        <f>VLOOKUP($B613,'FRS geographical categories'!$A$2:$C$45,2,FALSE)</f>
        <v>Predominantly Urban</v>
      </c>
      <c r="H613" s="223" t="str">
        <f>VLOOKUP($B613,'FRS geographical categories'!$A$2:$C$45,3,FALSE)</f>
        <v>Non-metropolitan</v>
      </c>
      <c r="I613" s="224">
        <v>7752</v>
      </c>
    </row>
    <row r="614" spans="1:9" ht="15.5" x14ac:dyDescent="0.35">
      <c r="A614" s="224" t="s">
        <v>53</v>
      </c>
      <c r="B614" s="224" t="s">
        <v>41</v>
      </c>
      <c r="C614" s="224" t="s">
        <v>89</v>
      </c>
      <c r="D614" s="224" t="s">
        <v>9</v>
      </c>
      <c r="E614" s="224" t="s">
        <v>256</v>
      </c>
      <c r="F614" s="224" t="s">
        <v>248</v>
      </c>
      <c r="G614" s="223" t="str">
        <f>VLOOKUP($B614,'FRS geographical categories'!$A$2:$C$45,2,FALSE)</f>
        <v>Predominantly Urban</v>
      </c>
      <c r="H614" s="223" t="str">
        <f>VLOOKUP($B614,'FRS geographical categories'!$A$2:$C$45,3,FALSE)</f>
        <v>Non-metropolitan</v>
      </c>
      <c r="I614" s="224">
        <v>121</v>
      </c>
    </row>
    <row r="615" spans="1:9" ht="15.5" x14ac:dyDescent="0.35">
      <c r="A615" s="224" t="s">
        <v>53</v>
      </c>
      <c r="B615" s="224" t="s">
        <v>41</v>
      </c>
      <c r="C615" s="224" t="s">
        <v>89</v>
      </c>
      <c r="D615" s="224" t="s">
        <v>9</v>
      </c>
      <c r="E615" s="224" t="s">
        <v>256</v>
      </c>
      <c r="F615" s="224" t="s">
        <v>249</v>
      </c>
      <c r="G615" s="223" t="str">
        <f>VLOOKUP($B615,'FRS geographical categories'!$A$2:$C$45,2,FALSE)</f>
        <v>Predominantly Urban</v>
      </c>
      <c r="H615" s="223" t="str">
        <f>VLOOKUP($B615,'FRS geographical categories'!$A$2:$C$45,3,FALSE)</f>
        <v>Non-metropolitan</v>
      </c>
      <c r="I615" s="224">
        <v>195</v>
      </c>
    </row>
    <row r="616" spans="1:9" ht="15.5" x14ac:dyDescent="0.35">
      <c r="A616" s="224" t="s">
        <v>53</v>
      </c>
      <c r="B616" s="224" t="s">
        <v>41</v>
      </c>
      <c r="C616" s="224" t="s">
        <v>89</v>
      </c>
      <c r="D616" s="224" t="s">
        <v>9</v>
      </c>
      <c r="E616" s="224" t="s">
        <v>256</v>
      </c>
      <c r="F616" s="224" t="s">
        <v>250</v>
      </c>
      <c r="G616" s="223" t="str">
        <f>VLOOKUP($B616,'FRS geographical categories'!$A$2:$C$45,2,FALSE)</f>
        <v>Predominantly Urban</v>
      </c>
      <c r="H616" s="223" t="str">
        <f>VLOOKUP($B616,'FRS geographical categories'!$A$2:$C$45,3,FALSE)</f>
        <v>Non-metropolitan</v>
      </c>
      <c r="I616" s="224">
        <v>91</v>
      </c>
    </row>
    <row r="617" spans="1:9" ht="15.5" x14ac:dyDescent="0.35">
      <c r="A617" s="224" t="s">
        <v>53</v>
      </c>
      <c r="B617" s="224" t="s">
        <v>41</v>
      </c>
      <c r="C617" s="224" t="s">
        <v>89</v>
      </c>
      <c r="D617" s="224" t="s">
        <v>9</v>
      </c>
      <c r="E617" s="224" t="s">
        <v>256</v>
      </c>
      <c r="F617" s="224" t="s">
        <v>10</v>
      </c>
      <c r="G617" s="223" t="str">
        <f>VLOOKUP($B617,'FRS geographical categories'!$A$2:$C$45,2,FALSE)</f>
        <v>Predominantly Urban</v>
      </c>
      <c r="H617" s="223" t="str">
        <f>VLOOKUP($B617,'FRS geographical categories'!$A$2:$C$45,3,FALSE)</f>
        <v>Non-metropolitan</v>
      </c>
      <c r="I617" s="224">
        <v>520</v>
      </c>
    </row>
    <row r="618" spans="1:9" ht="15.5" x14ac:dyDescent="0.35">
      <c r="A618" s="224" t="s">
        <v>53</v>
      </c>
      <c r="B618" s="224" t="s">
        <v>42</v>
      </c>
      <c r="C618" s="224" t="s">
        <v>86</v>
      </c>
      <c r="D618" s="224" t="s">
        <v>9</v>
      </c>
      <c r="E618" s="224" t="s">
        <v>256</v>
      </c>
      <c r="F618" s="224" t="s">
        <v>248</v>
      </c>
      <c r="G618" s="223" t="str">
        <f>VLOOKUP($B618,'FRS geographical categories'!$A$2:$C$45,2,FALSE)</f>
        <v>Predominantly Rural</v>
      </c>
      <c r="H618" s="223" t="str">
        <f>VLOOKUP($B618,'FRS geographical categories'!$A$2:$C$45,3,FALSE)</f>
        <v>Non-metropolitan</v>
      </c>
      <c r="I618" s="224">
        <v>0</v>
      </c>
    </row>
    <row r="619" spans="1:9" ht="15.5" x14ac:dyDescent="0.35">
      <c r="A619" s="224" t="s">
        <v>53</v>
      </c>
      <c r="B619" s="224" t="s">
        <v>42</v>
      </c>
      <c r="C619" s="224" t="s">
        <v>86</v>
      </c>
      <c r="D619" s="224" t="s">
        <v>9</v>
      </c>
      <c r="E619" s="224" t="s">
        <v>256</v>
      </c>
      <c r="F619" s="224" t="s">
        <v>249</v>
      </c>
      <c r="G619" s="223" t="str">
        <f>VLOOKUP($B619,'FRS geographical categories'!$A$2:$C$45,2,FALSE)</f>
        <v>Predominantly Rural</v>
      </c>
      <c r="H619" s="223" t="str">
        <f>VLOOKUP($B619,'FRS geographical categories'!$A$2:$C$45,3,FALSE)</f>
        <v>Non-metropolitan</v>
      </c>
      <c r="I619" s="224">
        <v>0</v>
      </c>
    </row>
    <row r="620" spans="1:9" ht="15.5" x14ac:dyDescent="0.35">
      <c r="A620" s="224" t="s">
        <v>53</v>
      </c>
      <c r="B620" s="224" t="s">
        <v>42</v>
      </c>
      <c r="C620" s="224" t="s">
        <v>86</v>
      </c>
      <c r="D620" s="224" t="s">
        <v>9</v>
      </c>
      <c r="E620" s="224" t="s">
        <v>256</v>
      </c>
      <c r="F620" s="224" t="s">
        <v>250</v>
      </c>
      <c r="G620" s="223" t="str">
        <f>VLOOKUP($B620,'FRS geographical categories'!$A$2:$C$45,2,FALSE)</f>
        <v>Predominantly Rural</v>
      </c>
      <c r="H620" s="223" t="str">
        <f>VLOOKUP($B620,'FRS geographical categories'!$A$2:$C$45,3,FALSE)</f>
        <v>Non-metropolitan</v>
      </c>
      <c r="I620" s="224">
        <v>2071</v>
      </c>
    </row>
    <row r="621" spans="1:9" ht="15.5" x14ac:dyDescent="0.35">
      <c r="A621" s="224" t="s">
        <v>53</v>
      </c>
      <c r="B621" s="224" t="s">
        <v>42</v>
      </c>
      <c r="C621" s="224" t="s">
        <v>86</v>
      </c>
      <c r="D621" s="224" t="s">
        <v>9</v>
      </c>
      <c r="E621" s="224" t="s">
        <v>256</v>
      </c>
      <c r="F621" s="224" t="s">
        <v>10</v>
      </c>
      <c r="G621" s="223" t="str">
        <f>VLOOKUP($B621,'FRS geographical categories'!$A$2:$C$45,2,FALSE)</f>
        <v>Predominantly Rural</v>
      </c>
      <c r="H621" s="223" t="str">
        <f>VLOOKUP($B621,'FRS geographical categories'!$A$2:$C$45,3,FALSE)</f>
        <v>Non-metropolitan</v>
      </c>
      <c r="I621" s="224">
        <v>2934</v>
      </c>
    </row>
    <row r="622" spans="1:9" ht="15.5" x14ac:dyDescent="0.35">
      <c r="A622" s="224" t="s">
        <v>53</v>
      </c>
      <c r="B622" s="224" t="s">
        <v>42</v>
      </c>
      <c r="C622" s="224" t="s">
        <v>89</v>
      </c>
      <c r="D622" s="224" t="s">
        <v>9</v>
      </c>
      <c r="E622" s="224" t="s">
        <v>256</v>
      </c>
      <c r="F622" s="224" t="s">
        <v>248</v>
      </c>
      <c r="G622" s="223" t="str">
        <f>VLOOKUP($B622,'FRS geographical categories'!$A$2:$C$45,2,FALSE)</f>
        <v>Predominantly Rural</v>
      </c>
      <c r="H622" s="223" t="str">
        <f>VLOOKUP($B622,'FRS geographical categories'!$A$2:$C$45,3,FALSE)</f>
        <v>Non-metropolitan</v>
      </c>
      <c r="I622" s="224">
        <v>0</v>
      </c>
    </row>
    <row r="623" spans="1:9" ht="15.5" x14ac:dyDescent="0.35">
      <c r="A623" s="224" t="s">
        <v>53</v>
      </c>
      <c r="B623" s="224" t="s">
        <v>42</v>
      </c>
      <c r="C623" s="224" t="s">
        <v>89</v>
      </c>
      <c r="D623" s="224" t="s">
        <v>9</v>
      </c>
      <c r="E623" s="224" t="s">
        <v>256</v>
      </c>
      <c r="F623" s="224" t="s">
        <v>249</v>
      </c>
      <c r="G623" s="223" t="str">
        <f>VLOOKUP($B623,'FRS geographical categories'!$A$2:$C$45,2,FALSE)</f>
        <v>Predominantly Rural</v>
      </c>
      <c r="H623" s="223" t="str">
        <f>VLOOKUP($B623,'FRS geographical categories'!$A$2:$C$45,3,FALSE)</f>
        <v>Non-metropolitan</v>
      </c>
      <c r="I623" s="224">
        <v>0</v>
      </c>
    </row>
    <row r="624" spans="1:9" ht="15.5" x14ac:dyDescent="0.35">
      <c r="A624" s="224" t="s">
        <v>53</v>
      </c>
      <c r="B624" s="224" t="s">
        <v>42</v>
      </c>
      <c r="C624" s="224" t="s">
        <v>89</v>
      </c>
      <c r="D624" s="224" t="s">
        <v>9</v>
      </c>
      <c r="E624" s="224" t="s">
        <v>256</v>
      </c>
      <c r="F624" s="224" t="s">
        <v>250</v>
      </c>
      <c r="G624" s="223" t="str">
        <f>VLOOKUP($B624,'FRS geographical categories'!$A$2:$C$45,2,FALSE)</f>
        <v>Predominantly Rural</v>
      </c>
      <c r="H624" s="223" t="str">
        <f>VLOOKUP($B624,'FRS geographical categories'!$A$2:$C$45,3,FALSE)</f>
        <v>Non-metropolitan</v>
      </c>
      <c r="I624" s="224">
        <v>0</v>
      </c>
    </row>
    <row r="625" spans="1:9" ht="15.5" x14ac:dyDescent="0.35">
      <c r="A625" s="224" t="s">
        <v>53</v>
      </c>
      <c r="B625" s="224" t="s">
        <v>42</v>
      </c>
      <c r="C625" s="224" t="s">
        <v>89</v>
      </c>
      <c r="D625" s="224" t="s">
        <v>9</v>
      </c>
      <c r="E625" s="224" t="s">
        <v>256</v>
      </c>
      <c r="F625" s="224" t="s">
        <v>10</v>
      </c>
      <c r="G625" s="223" t="str">
        <f>VLOOKUP($B625,'FRS geographical categories'!$A$2:$C$45,2,FALSE)</f>
        <v>Predominantly Rural</v>
      </c>
      <c r="H625" s="223" t="str">
        <f>VLOOKUP($B625,'FRS geographical categories'!$A$2:$C$45,3,FALSE)</f>
        <v>Non-metropolitan</v>
      </c>
      <c r="I625" s="224">
        <v>0</v>
      </c>
    </row>
    <row r="626" spans="1:9" ht="15.5" x14ac:dyDescent="0.35">
      <c r="A626" s="224" t="s">
        <v>53</v>
      </c>
      <c r="B626" s="224" t="s">
        <v>43</v>
      </c>
      <c r="C626" s="224" t="s">
        <v>86</v>
      </c>
      <c r="D626" s="224" t="s">
        <v>9</v>
      </c>
      <c r="E626" s="224" t="s">
        <v>256</v>
      </c>
      <c r="F626" s="224" t="s">
        <v>248</v>
      </c>
      <c r="G626" s="223" t="str">
        <f>VLOOKUP($B626,'FRS geographical categories'!$A$2:$C$45,2,FALSE)</f>
        <v>Predominantly Rural</v>
      </c>
      <c r="H626" s="223" t="str">
        <f>VLOOKUP($B626,'FRS geographical categories'!$A$2:$C$45,3,FALSE)</f>
        <v>Non-metropolitan</v>
      </c>
      <c r="I626" s="224">
        <v>153</v>
      </c>
    </row>
    <row r="627" spans="1:9" ht="15.5" x14ac:dyDescent="0.35">
      <c r="A627" s="224" t="s">
        <v>53</v>
      </c>
      <c r="B627" s="224" t="s">
        <v>43</v>
      </c>
      <c r="C627" s="224" t="s">
        <v>86</v>
      </c>
      <c r="D627" s="224" t="s">
        <v>9</v>
      </c>
      <c r="E627" s="224" t="s">
        <v>256</v>
      </c>
      <c r="F627" s="224" t="s">
        <v>249</v>
      </c>
      <c r="G627" s="223" t="str">
        <f>VLOOKUP($B627,'FRS geographical categories'!$A$2:$C$45,2,FALSE)</f>
        <v>Predominantly Rural</v>
      </c>
      <c r="H627" s="223" t="str">
        <f>VLOOKUP($B627,'FRS geographical categories'!$A$2:$C$45,3,FALSE)</f>
        <v>Non-metropolitan</v>
      </c>
      <c r="I627" s="224">
        <v>827</v>
      </c>
    </row>
    <row r="628" spans="1:9" ht="15.5" x14ac:dyDescent="0.35">
      <c r="A628" s="224" t="s">
        <v>53</v>
      </c>
      <c r="B628" s="224" t="s">
        <v>43</v>
      </c>
      <c r="C628" s="224" t="s">
        <v>86</v>
      </c>
      <c r="D628" s="224" t="s">
        <v>9</v>
      </c>
      <c r="E628" s="224" t="s">
        <v>256</v>
      </c>
      <c r="F628" s="224" t="s">
        <v>250</v>
      </c>
      <c r="G628" s="223" t="str">
        <f>VLOOKUP($B628,'FRS geographical categories'!$A$2:$C$45,2,FALSE)</f>
        <v>Predominantly Rural</v>
      </c>
      <c r="H628" s="223" t="str">
        <f>VLOOKUP($B628,'FRS geographical categories'!$A$2:$C$45,3,FALSE)</f>
        <v>Non-metropolitan</v>
      </c>
      <c r="I628" s="224">
        <v>2179</v>
      </c>
    </row>
    <row r="629" spans="1:9" ht="15.5" x14ac:dyDescent="0.35">
      <c r="A629" s="224" t="s">
        <v>53</v>
      </c>
      <c r="B629" s="224" t="s">
        <v>43</v>
      </c>
      <c r="C629" s="224" t="s">
        <v>86</v>
      </c>
      <c r="D629" s="224" t="s">
        <v>9</v>
      </c>
      <c r="E629" s="224" t="s">
        <v>256</v>
      </c>
      <c r="F629" s="224" t="s">
        <v>10</v>
      </c>
      <c r="G629" s="223" t="str">
        <f>VLOOKUP($B629,'FRS geographical categories'!$A$2:$C$45,2,FALSE)</f>
        <v>Predominantly Rural</v>
      </c>
      <c r="H629" s="223" t="str">
        <f>VLOOKUP($B629,'FRS geographical categories'!$A$2:$C$45,3,FALSE)</f>
        <v>Non-metropolitan</v>
      </c>
      <c r="I629" s="224">
        <v>3815</v>
      </c>
    </row>
    <row r="630" spans="1:9" ht="15.5" x14ac:dyDescent="0.35">
      <c r="A630" s="224" t="s">
        <v>53</v>
      </c>
      <c r="B630" s="224" t="s">
        <v>43</v>
      </c>
      <c r="C630" s="224" t="s">
        <v>89</v>
      </c>
      <c r="D630" s="224" t="s">
        <v>9</v>
      </c>
      <c r="E630" s="224" t="s">
        <v>256</v>
      </c>
      <c r="F630" s="224" t="s">
        <v>248</v>
      </c>
      <c r="G630" s="223" t="str">
        <f>VLOOKUP($B630,'FRS geographical categories'!$A$2:$C$45,2,FALSE)</f>
        <v>Predominantly Rural</v>
      </c>
      <c r="H630" s="223" t="str">
        <f>VLOOKUP($B630,'FRS geographical categories'!$A$2:$C$45,3,FALSE)</f>
        <v>Non-metropolitan</v>
      </c>
      <c r="I630" s="224">
        <v>0</v>
      </c>
    </row>
    <row r="631" spans="1:9" ht="15.5" x14ac:dyDescent="0.35">
      <c r="A631" s="224" t="s">
        <v>53</v>
      </c>
      <c r="B631" s="224" t="s">
        <v>43</v>
      </c>
      <c r="C631" s="224" t="s">
        <v>89</v>
      </c>
      <c r="D631" s="224" t="s">
        <v>9</v>
      </c>
      <c r="E631" s="224" t="s">
        <v>256</v>
      </c>
      <c r="F631" s="224" t="s">
        <v>249</v>
      </c>
      <c r="G631" s="223" t="str">
        <f>VLOOKUP($B631,'FRS geographical categories'!$A$2:$C$45,2,FALSE)</f>
        <v>Predominantly Rural</v>
      </c>
      <c r="H631" s="223" t="str">
        <f>VLOOKUP($B631,'FRS geographical categories'!$A$2:$C$45,3,FALSE)</f>
        <v>Non-metropolitan</v>
      </c>
      <c r="I631" s="224">
        <v>0</v>
      </c>
    </row>
    <row r="632" spans="1:9" ht="15.5" x14ac:dyDescent="0.35">
      <c r="A632" s="224" t="s">
        <v>53</v>
      </c>
      <c r="B632" s="224" t="s">
        <v>43</v>
      </c>
      <c r="C632" s="224" t="s">
        <v>89</v>
      </c>
      <c r="D632" s="224" t="s">
        <v>9</v>
      </c>
      <c r="E632" s="224" t="s">
        <v>256</v>
      </c>
      <c r="F632" s="224" t="s">
        <v>250</v>
      </c>
      <c r="G632" s="223" t="str">
        <f>VLOOKUP($B632,'FRS geographical categories'!$A$2:$C$45,2,FALSE)</f>
        <v>Predominantly Rural</v>
      </c>
      <c r="H632" s="223" t="str">
        <f>VLOOKUP($B632,'FRS geographical categories'!$A$2:$C$45,3,FALSE)</f>
        <v>Non-metropolitan</v>
      </c>
      <c r="I632" s="224">
        <v>0</v>
      </c>
    </row>
    <row r="633" spans="1:9" ht="15.5" x14ac:dyDescent="0.35">
      <c r="A633" s="224" t="s">
        <v>53</v>
      </c>
      <c r="B633" s="224" t="s">
        <v>43</v>
      </c>
      <c r="C633" s="224" t="s">
        <v>89</v>
      </c>
      <c r="D633" s="224" t="s">
        <v>9</v>
      </c>
      <c r="E633" s="224" t="s">
        <v>256</v>
      </c>
      <c r="F633" s="224" t="s">
        <v>10</v>
      </c>
      <c r="G633" s="223" t="str">
        <f>VLOOKUP($B633,'FRS geographical categories'!$A$2:$C$45,2,FALSE)</f>
        <v>Predominantly Rural</v>
      </c>
      <c r="H633" s="223" t="str">
        <f>VLOOKUP($B633,'FRS geographical categories'!$A$2:$C$45,3,FALSE)</f>
        <v>Non-metropolitan</v>
      </c>
      <c r="I633" s="224">
        <v>768</v>
      </c>
    </row>
    <row r="634" spans="1:9" ht="15.5" x14ac:dyDescent="0.35">
      <c r="A634" s="224" t="s">
        <v>53</v>
      </c>
      <c r="B634" s="224" t="s">
        <v>44</v>
      </c>
      <c r="C634" s="224" t="s">
        <v>86</v>
      </c>
      <c r="D634" s="224" t="s">
        <v>9</v>
      </c>
      <c r="E634" s="224" t="s">
        <v>256</v>
      </c>
      <c r="F634" s="224" t="s">
        <v>248</v>
      </c>
      <c r="G634" s="223" t="str">
        <f>VLOOKUP($B634,'FRS geographical categories'!$A$2:$C$45,2,FALSE)</f>
        <v>Predominantly Urban</v>
      </c>
      <c r="H634" s="223" t="str">
        <f>VLOOKUP($B634,'FRS geographical categories'!$A$2:$C$45,3,FALSE)</f>
        <v>Metropolitan</v>
      </c>
      <c r="I634" s="224">
        <v>1067</v>
      </c>
    </row>
    <row r="635" spans="1:9" ht="15.5" x14ac:dyDescent="0.35">
      <c r="A635" s="224" t="s">
        <v>53</v>
      </c>
      <c r="B635" s="224" t="s">
        <v>44</v>
      </c>
      <c r="C635" s="224" t="s">
        <v>86</v>
      </c>
      <c r="D635" s="224" t="s">
        <v>9</v>
      </c>
      <c r="E635" s="224" t="s">
        <v>256</v>
      </c>
      <c r="F635" s="224" t="s">
        <v>249</v>
      </c>
      <c r="G635" s="223" t="str">
        <f>VLOOKUP($B635,'FRS geographical categories'!$A$2:$C$45,2,FALSE)</f>
        <v>Predominantly Urban</v>
      </c>
      <c r="H635" s="223" t="str">
        <f>VLOOKUP($B635,'FRS geographical categories'!$A$2:$C$45,3,FALSE)</f>
        <v>Metropolitan</v>
      </c>
      <c r="I635" s="224">
        <v>2596</v>
      </c>
    </row>
    <row r="636" spans="1:9" ht="15.5" x14ac:dyDescent="0.35">
      <c r="A636" s="224" t="s">
        <v>53</v>
      </c>
      <c r="B636" s="224" t="s">
        <v>44</v>
      </c>
      <c r="C636" s="224" t="s">
        <v>86</v>
      </c>
      <c r="D636" s="224" t="s">
        <v>9</v>
      </c>
      <c r="E636" s="224" t="s">
        <v>256</v>
      </c>
      <c r="F636" s="224" t="s">
        <v>250</v>
      </c>
      <c r="G636" s="223" t="str">
        <f>VLOOKUP($B636,'FRS geographical categories'!$A$2:$C$45,2,FALSE)</f>
        <v>Predominantly Urban</v>
      </c>
      <c r="H636" s="223" t="str">
        <f>VLOOKUP($B636,'FRS geographical categories'!$A$2:$C$45,3,FALSE)</f>
        <v>Metropolitan</v>
      </c>
      <c r="I636" s="224">
        <v>6485</v>
      </c>
    </row>
    <row r="637" spans="1:9" ht="15.5" x14ac:dyDescent="0.35">
      <c r="A637" s="224" t="s">
        <v>53</v>
      </c>
      <c r="B637" s="224" t="s">
        <v>44</v>
      </c>
      <c r="C637" s="224" t="s">
        <v>86</v>
      </c>
      <c r="D637" s="224" t="s">
        <v>9</v>
      </c>
      <c r="E637" s="224" t="s">
        <v>256</v>
      </c>
      <c r="F637" s="224" t="s">
        <v>10</v>
      </c>
      <c r="G637" s="223" t="str">
        <f>VLOOKUP($B637,'FRS geographical categories'!$A$2:$C$45,2,FALSE)</f>
        <v>Predominantly Urban</v>
      </c>
      <c r="H637" s="223" t="str">
        <f>VLOOKUP($B637,'FRS geographical categories'!$A$2:$C$45,3,FALSE)</f>
        <v>Metropolitan</v>
      </c>
      <c r="I637" s="224">
        <v>17480</v>
      </c>
    </row>
    <row r="638" spans="1:9" ht="15.5" x14ac:dyDescent="0.35">
      <c r="A638" s="224" t="s">
        <v>53</v>
      </c>
      <c r="B638" s="224" t="s">
        <v>44</v>
      </c>
      <c r="C638" s="224" t="s">
        <v>89</v>
      </c>
      <c r="D638" s="224" t="s">
        <v>9</v>
      </c>
      <c r="E638" s="224" t="s">
        <v>256</v>
      </c>
      <c r="F638" s="224" t="s">
        <v>248</v>
      </c>
      <c r="G638" s="223" t="str">
        <f>VLOOKUP($B638,'FRS geographical categories'!$A$2:$C$45,2,FALSE)</f>
        <v>Predominantly Urban</v>
      </c>
      <c r="H638" s="223" t="str">
        <f>VLOOKUP($B638,'FRS geographical categories'!$A$2:$C$45,3,FALSE)</f>
        <v>Metropolitan</v>
      </c>
      <c r="I638" s="224">
        <v>4</v>
      </c>
    </row>
    <row r="639" spans="1:9" ht="15.5" x14ac:dyDescent="0.35">
      <c r="A639" s="224" t="s">
        <v>53</v>
      </c>
      <c r="B639" s="224" t="s">
        <v>44</v>
      </c>
      <c r="C639" s="224" t="s">
        <v>89</v>
      </c>
      <c r="D639" s="224" t="s">
        <v>9</v>
      </c>
      <c r="E639" s="224" t="s">
        <v>256</v>
      </c>
      <c r="F639" s="224" t="s">
        <v>249</v>
      </c>
      <c r="G639" s="223" t="str">
        <f>VLOOKUP($B639,'FRS geographical categories'!$A$2:$C$45,2,FALSE)</f>
        <v>Predominantly Urban</v>
      </c>
      <c r="H639" s="223" t="str">
        <f>VLOOKUP($B639,'FRS geographical categories'!$A$2:$C$45,3,FALSE)</f>
        <v>Metropolitan</v>
      </c>
      <c r="I639" s="224">
        <v>0</v>
      </c>
    </row>
    <row r="640" spans="1:9" ht="15.5" x14ac:dyDescent="0.35">
      <c r="A640" s="224" t="s">
        <v>53</v>
      </c>
      <c r="B640" s="224" t="s">
        <v>44</v>
      </c>
      <c r="C640" s="224" t="s">
        <v>89</v>
      </c>
      <c r="D640" s="224" t="s">
        <v>9</v>
      </c>
      <c r="E640" s="224" t="s">
        <v>256</v>
      </c>
      <c r="F640" s="224" t="s">
        <v>250</v>
      </c>
      <c r="G640" s="223" t="str">
        <f>VLOOKUP($B640,'FRS geographical categories'!$A$2:$C$45,2,FALSE)</f>
        <v>Predominantly Urban</v>
      </c>
      <c r="H640" s="223" t="str">
        <f>VLOOKUP($B640,'FRS geographical categories'!$A$2:$C$45,3,FALSE)</f>
        <v>Metropolitan</v>
      </c>
      <c r="I640" s="224">
        <v>5</v>
      </c>
    </row>
    <row r="641" spans="1:9" ht="15.5" x14ac:dyDescent="0.35">
      <c r="A641" s="224" t="s">
        <v>53</v>
      </c>
      <c r="B641" s="224" t="s">
        <v>44</v>
      </c>
      <c r="C641" s="224" t="s">
        <v>89</v>
      </c>
      <c r="D641" s="224" t="s">
        <v>9</v>
      </c>
      <c r="E641" s="224" t="s">
        <v>256</v>
      </c>
      <c r="F641" s="224" t="s">
        <v>10</v>
      </c>
      <c r="G641" s="223" t="str">
        <f>VLOOKUP($B641,'FRS geographical categories'!$A$2:$C$45,2,FALSE)</f>
        <v>Predominantly Urban</v>
      </c>
      <c r="H641" s="223" t="str">
        <f>VLOOKUP($B641,'FRS geographical categories'!$A$2:$C$45,3,FALSE)</f>
        <v>Metropolitan</v>
      </c>
      <c r="I641" s="224">
        <v>28</v>
      </c>
    </row>
    <row r="642" spans="1:9" ht="15.5" x14ac:dyDescent="0.35">
      <c r="A642" s="224" t="s">
        <v>53</v>
      </c>
      <c r="B642" s="224" t="s">
        <v>45</v>
      </c>
      <c r="C642" s="224" t="s">
        <v>86</v>
      </c>
      <c r="D642" s="224" t="s">
        <v>9</v>
      </c>
      <c r="E642" s="224" t="s">
        <v>256</v>
      </c>
      <c r="F642" s="224" t="s">
        <v>248</v>
      </c>
      <c r="G642" s="223" t="str">
        <f>VLOOKUP($B642,'FRS geographical categories'!$A$2:$C$45,2,FALSE)</f>
        <v>Significantly Rural</v>
      </c>
      <c r="H642" s="223" t="str">
        <f>VLOOKUP($B642,'FRS geographical categories'!$A$2:$C$45,3,FALSE)</f>
        <v>Non-metropolitan</v>
      </c>
      <c r="I642" s="224">
        <v>1541</v>
      </c>
    </row>
    <row r="643" spans="1:9" ht="15.5" x14ac:dyDescent="0.35">
      <c r="A643" s="224" t="s">
        <v>53</v>
      </c>
      <c r="B643" s="224" t="s">
        <v>45</v>
      </c>
      <c r="C643" s="224" t="s">
        <v>86</v>
      </c>
      <c r="D643" s="224" t="s">
        <v>9</v>
      </c>
      <c r="E643" s="224" t="s">
        <v>256</v>
      </c>
      <c r="F643" s="224" t="s">
        <v>249</v>
      </c>
      <c r="G643" s="223" t="str">
        <f>VLOOKUP($B643,'FRS geographical categories'!$A$2:$C$45,2,FALSE)</f>
        <v>Significantly Rural</v>
      </c>
      <c r="H643" s="223" t="str">
        <f>VLOOKUP($B643,'FRS geographical categories'!$A$2:$C$45,3,FALSE)</f>
        <v>Non-metropolitan</v>
      </c>
      <c r="I643" s="224">
        <v>7541</v>
      </c>
    </row>
    <row r="644" spans="1:9" ht="15.5" x14ac:dyDescent="0.35">
      <c r="A644" s="224" t="s">
        <v>53</v>
      </c>
      <c r="B644" s="224" t="s">
        <v>45</v>
      </c>
      <c r="C644" s="224" t="s">
        <v>86</v>
      </c>
      <c r="D644" s="224" t="s">
        <v>9</v>
      </c>
      <c r="E644" s="224" t="s">
        <v>256</v>
      </c>
      <c r="F644" s="224" t="s">
        <v>250</v>
      </c>
      <c r="G644" s="223" t="str">
        <f>VLOOKUP($B644,'FRS geographical categories'!$A$2:$C$45,2,FALSE)</f>
        <v>Significantly Rural</v>
      </c>
      <c r="H644" s="223" t="str">
        <f>VLOOKUP($B644,'FRS geographical categories'!$A$2:$C$45,3,FALSE)</f>
        <v>Non-metropolitan</v>
      </c>
      <c r="I644" s="224">
        <v>8953</v>
      </c>
    </row>
    <row r="645" spans="1:9" ht="15.5" x14ac:dyDescent="0.35">
      <c r="A645" s="224" t="s">
        <v>53</v>
      </c>
      <c r="B645" s="224" t="s">
        <v>45</v>
      </c>
      <c r="C645" s="224" t="s">
        <v>86</v>
      </c>
      <c r="D645" s="224" t="s">
        <v>9</v>
      </c>
      <c r="E645" s="224" t="s">
        <v>256</v>
      </c>
      <c r="F645" s="224" t="s">
        <v>10</v>
      </c>
      <c r="G645" s="223" t="str">
        <f>VLOOKUP($B645,'FRS geographical categories'!$A$2:$C$45,2,FALSE)</f>
        <v>Significantly Rural</v>
      </c>
      <c r="H645" s="223" t="str">
        <f>VLOOKUP($B645,'FRS geographical categories'!$A$2:$C$45,3,FALSE)</f>
        <v>Non-metropolitan</v>
      </c>
      <c r="I645" s="224">
        <v>26908</v>
      </c>
    </row>
    <row r="646" spans="1:9" ht="15.5" x14ac:dyDescent="0.35">
      <c r="A646" s="224" t="s">
        <v>53</v>
      </c>
      <c r="B646" s="224" t="s">
        <v>45</v>
      </c>
      <c r="C646" s="224" t="s">
        <v>89</v>
      </c>
      <c r="D646" s="224" t="s">
        <v>9</v>
      </c>
      <c r="E646" s="224" t="s">
        <v>256</v>
      </c>
      <c r="F646" s="224" t="s">
        <v>248</v>
      </c>
      <c r="G646" s="223" t="str">
        <f>VLOOKUP($B646,'FRS geographical categories'!$A$2:$C$45,2,FALSE)</f>
        <v>Significantly Rural</v>
      </c>
      <c r="H646" s="223" t="str">
        <f>VLOOKUP($B646,'FRS geographical categories'!$A$2:$C$45,3,FALSE)</f>
        <v>Non-metropolitan</v>
      </c>
      <c r="I646" s="224">
        <v>1</v>
      </c>
    </row>
    <row r="647" spans="1:9" ht="15.5" x14ac:dyDescent="0.35">
      <c r="A647" s="224" t="s">
        <v>53</v>
      </c>
      <c r="B647" s="224" t="s">
        <v>45</v>
      </c>
      <c r="C647" s="224" t="s">
        <v>89</v>
      </c>
      <c r="D647" s="224" t="s">
        <v>9</v>
      </c>
      <c r="E647" s="224" t="s">
        <v>256</v>
      </c>
      <c r="F647" s="224" t="s">
        <v>249</v>
      </c>
      <c r="G647" s="223" t="str">
        <f>VLOOKUP($B647,'FRS geographical categories'!$A$2:$C$45,2,FALSE)</f>
        <v>Significantly Rural</v>
      </c>
      <c r="H647" s="223" t="str">
        <f>VLOOKUP($B647,'FRS geographical categories'!$A$2:$C$45,3,FALSE)</f>
        <v>Non-metropolitan</v>
      </c>
      <c r="I647" s="224">
        <v>0</v>
      </c>
    </row>
    <row r="648" spans="1:9" ht="15.5" x14ac:dyDescent="0.35">
      <c r="A648" s="224" t="s">
        <v>53</v>
      </c>
      <c r="B648" s="224" t="s">
        <v>45</v>
      </c>
      <c r="C648" s="224" t="s">
        <v>89</v>
      </c>
      <c r="D648" s="224" t="s">
        <v>9</v>
      </c>
      <c r="E648" s="224" t="s">
        <v>256</v>
      </c>
      <c r="F648" s="224" t="s">
        <v>250</v>
      </c>
      <c r="G648" s="223" t="str">
        <f>VLOOKUP($B648,'FRS geographical categories'!$A$2:$C$45,2,FALSE)</f>
        <v>Significantly Rural</v>
      </c>
      <c r="H648" s="223" t="str">
        <f>VLOOKUP($B648,'FRS geographical categories'!$A$2:$C$45,3,FALSE)</f>
        <v>Non-metropolitan</v>
      </c>
      <c r="I648" s="224">
        <v>0</v>
      </c>
    </row>
    <row r="649" spans="1:9" ht="15.5" x14ac:dyDescent="0.35">
      <c r="A649" s="224" t="s">
        <v>53</v>
      </c>
      <c r="B649" s="224" t="s">
        <v>45</v>
      </c>
      <c r="C649" s="224" t="s">
        <v>89</v>
      </c>
      <c r="D649" s="224" t="s">
        <v>9</v>
      </c>
      <c r="E649" s="224" t="s">
        <v>256</v>
      </c>
      <c r="F649" s="224" t="s">
        <v>10</v>
      </c>
      <c r="G649" s="223" t="str">
        <f>VLOOKUP($B649,'FRS geographical categories'!$A$2:$C$45,2,FALSE)</f>
        <v>Significantly Rural</v>
      </c>
      <c r="H649" s="223" t="str">
        <f>VLOOKUP($B649,'FRS geographical categories'!$A$2:$C$45,3,FALSE)</f>
        <v>Non-metropolitan</v>
      </c>
      <c r="I649" s="224">
        <v>1</v>
      </c>
    </row>
    <row r="650" spans="1:9" ht="15.5" x14ac:dyDescent="0.35">
      <c r="A650" s="224" t="s">
        <v>53</v>
      </c>
      <c r="B650" s="224" t="s">
        <v>46</v>
      </c>
      <c r="C650" s="224" t="s">
        <v>86</v>
      </c>
      <c r="D650" s="224" t="s">
        <v>9</v>
      </c>
      <c r="E650" s="224" t="s">
        <v>256</v>
      </c>
      <c r="F650" s="224" t="s">
        <v>248</v>
      </c>
      <c r="G650" s="223" t="str">
        <f>VLOOKUP($B650,'FRS geographical categories'!$A$2:$C$45,2,FALSE)</f>
        <v>Predominantly Rural</v>
      </c>
      <c r="H650" s="223" t="str">
        <f>VLOOKUP($B650,'FRS geographical categories'!$A$2:$C$45,3,FALSE)</f>
        <v>Non-metropolitan</v>
      </c>
      <c r="I650" s="224">
        <v>44</v>
      </c>
    </row>
    <row r="651" spans="1:9" ht="15.5" x14ac:dyDescent="0.35">
      <c r="A651" s="224" t="s">
        <v>53</v>
      </c>
      <c r="B651" s="224" t="s">
        <v>46</v>
      </c>
      <c r="C651" s="224" t="s">
        <v>86</v>
      </c>
      <c r="D651" s="224" t="s">
        <v>9</v>
      </c>
      <c r="E651" s="224" t="s">
        <v>256</v>
      </c>
      <c r="F651" s="224" t="s">
        <v>249</v>
      </c>
      <c r="G651" s="223" t="str">
        <f>VLOOKUP($B651,'FRS geographical categories'!$A$2:$C$45,2,FALSE)</f>
        <v>Predominantly Rural</v>
      </c>
      <c r="H651" s="223" t="str">
        <f>VLOOKUP($B651,'FRS geographical categories'!$A$2:$C$45,3,FALSE)</f>
        <v>Non-metropolitan</v>
      </c>
      <c r="I651" s="224">
        <v>424</v>
      </c>
    </row>
    <row r="652" spans="1:9" ht="15.5" x14ac:dyDescent="0.35">
      <c r="A652" s="224" t="s">
        <v>53</v>
      </c>
      <c r="B652" s="224" t="s">
        <v>46</v>
      </c>
      <c r="C652" s="224" t="s">
        <v>86</v>
      </c>
      <c r="D652" s="224" t="s">
        <v>9</v>
      </c>
      <c r="E652" s="224" t="s">
        <v>256</v>
      </c>
      <c r="F652" s="224" t="s">
        <v>250</v>
      </c>
      <c r="G652" s="223" t="str">
        <f>VLOOKUP($B652,'FRS geographical categories'!$A$2:$C$45,2,FALSE)</f>
        <v>Predominantly Rural</v>
      </c>
      <c r="H652" s="223" t="str">
        <f>VLOOKUP($B652,'FRS geographical categories'!$A$2:$C$45,3,FALSE)</f>
        <v>Non-metropolitan</v>
      </c>
      <c r="I652" s="224">
        <v>1653</v>
      </c>
    </row>
    <row r="653" spans="1:9" ht="15.5" x14ac:dyDescent="0.35">
      <c r="A653" s="224" t="s">
        <v>53</v>
      </c>
      <c r="B653" s="224" t="s">
        <v>46</v>
      </c>
      <c r="C653" s="224" t="s">
        <v>86</v>
      </c>
      <c r="D653" s="224" t="s">
        <v>9</v>
      </c>
      <c r="E653" s="224" t="s">
        <v>256</v>
      </c>
      <c r="F653" s="224" t="s">
        <v>10</v>
      </c>
      <c r="G653" s="223" t="str">
        <f>VLOOKUP($B653,'FRS geographical categories'!$A$2:$C$45,2,FALSE)</f>
        <v>Predominantly Rural</v>
      </c>
      <c r="H653" s="223" t="str">
        <f>VLOOKUP($B653,'FRS geographical categories'!$A$2:$C$45,3,FALSE)</f>
        <v>Non-metropolitan</v>
      </c>
      <c r="I653" s="224">
        <v>2876</v>
      </c>
    </row>
    <row r="654" spans="1:9" ht="15.5" x14ac:dyDescent="0.35">
      <c r="A654" s="224" t="s">
        <v>53</v>
      </c>
      <c r="B654" s="224" t="s">
        <v>46</v>
      </c>
      <c r="C654" s="224" t="s">
        <v>89</v>
      </c>
      <c r="D654" s="224" t="s">
        <v>9</v>
      </c>
      <c r="E654" s="224" t="s">
        <v>256</v>
      </c>
      <c r="F654" s="224" t="s">
        <v>248</v>
      </c>
      <c r="G654" s="223" t="str">
        <f>VLOOKUP($B654,'FRS geographical categories'!$A$2:$C$45,2,FALSE)</f>
        <v>Predominantly Rural</v>
      </c>
      <c r="H654" s="223" t="str">
        <f>VLOOKUP($B654,'FRS geographical categories'!$A$2:$C$45,3,FALSE)</f>
        <v>Non-metropolitan</v>
      </c>
      <c r="I654" s="224">
        <v>0</v>
      </c>
    </row>
    <row r="655" spans="1:9" ht="15.5" x14ac:dyDescent="0.35">
      <c r="A655" s="224" t="s">
        <v>53</v>
      </c>
      <c r="B655" s="224" t="s">
        <v>46</v>
      </c>
      <c r="C655" s="224" t="s">
        <v>89</v>
      </c>
      <c r="D655" s="224" t="s">
        <v>9</v>
      </c>
      <c r="E655" s="224" t="s">
        <v>256</v>
      </c>
      <c r="F655" s="224" t="s">
        <v>249</v>
      </c>
      <c r="G655" s="223" t="str">
        <f>VLOOKUP($B655,'FRS geographical categories'!$A$2:$C$45,2,FALSE)</f>
        <v>Predominantly Rural</v>
      </c>
      <c r="H655" s="223" t="str">
        <f>VLOOKUP($B655,'FRS geographical categories'!$A$2:$C$45,3,FALSE)</f>
        <v>Non-metropolitan</v>
      </c>
      <c r="I655" s="224">
        <v>0</v>
      </c>
    </row>
    <row r="656" spans="1:9" ht="15.5" x14ac:dyDescent="0.35">
      <c r="A656" s="224" t="s">
        <v>53</v>
      </c>
      <c r="B656" s="224" t="s">
        <v>46</v>
      </c>
      <c r="C656" s="224" t="s">
        <v>89</v>
      </c>
      <c r="D656" s="224" t="s">
        <v>9</v>
      </c>
      <c r="E656" s="224" t="s">
        <v>256</v>
      </c>
      <c r="F656" s="224" t="s">
        <v>250</v>
      </c>
      <c r="G656" s="223" t="str">
        <f>VLOOKUP($B656,'FRS geographical categories'!$A$2:$C$45,2,FALSE)</f>
        <v>Predominantly Rural</v>
      </c>
      <c r="H656" s="223" t="str">
        <f>VLOOKUP($B656,'FRS geographical categories'!$A$2:$C$45,3,FALSE)</f>
        <v>Non-metropolitan</v>
      </c>
      <c r="I656" s="224">
        <v>0</v>
      </c>
    </row>
    <row r="657" spans="1:9" ht="15.5" x14ac:dyDescent="0.35">
      <c r="A657" s="224" t="s">
        <v>53</v>
      </c>
      <c r="B657" s="224" t="s">
        <v>46</v>
      </c>
      <c r="C657" s="224" t="s">
        <v>89</v>
      </c>
      <c r="D657" s="224" t="s">
        <v>9</v>
      </c>
      <c r="E657" s="224" t="s">
        <v>256</v>
      </c>
      <c r="F657" s="224" t="s">
        <v>10</v>
      </c>
      <c r="G657" s="223" t="str">
        <f>VLOOKUP($B657,'FRS geographical categories'!$A$2:$C$45,2,FALSE)</f>
        <v>Predominantly Rural</v>
      </c>
      <c r="H657" s="223" t="str">
        <f>VLOOKUP($B657,'FRS geographical categories'!$A$2:$C$45,3,FALSE)</f>
        <v>Non-metropolitan</v>
      </c>
      <c r="I657" s="224">
        <v>94</v>
      </c>
    </row>
    <row r="658" spans="1:9" ht="15.5" x14ac:dyDescent="0.35">
      <c r="A658" s="224" t="s">
        <v>53</v>
      </c>
      <c r="B658" s="224" t="s">
        <v>47</v>
      </c>
      <c r="C658" s="224" t="s">
        <v>86</v>
      </c>
      <c r="D658" s="224" t="s">
        <v>9</v>
      </c>
      <c r="E658" s="224" t="s">
        <v>256</v>
      </c>
      <c r="F658" s="224" t="s">
        <v>248</v>
      </c>
      <c r="G658" s="223" t="str">
        <f>VLOOKUP($B658,'FRS geographical categories'!$A$2:$C$45,2,FALSE)</f>
        <v>Predominantly Urban</v>
      </c>
      <c r="H658" s="223" t="str">
        <f>VLOOKUP($B658,'FRS geographical categories'!$A$2:$C$45,3,FALSE)</f>
        <v>Non-metropolitan</v>
      </c>
      <c r="I658" s="224">
        <v>467</v>
      </c>
    </row>
    <row r="659" spans="1:9" ht="15.5" x14ac:dyDescent="0.35">
      <c r="A659" s="224" t="s">
        <v>53</v>
      </c>
      <c r="B659" s="224" t="s">
        <v>47</v>
      </c>
      <c r="C659" s="224" t="s">
        <v>86</v>
      </c>
      <c r="D659" s="224" t="s">
        <v>9</v>
      </c>
      <c r="E659" s="224" t="s">
        <v>256</v>
      </c>
      <c r="F659" s="224" t="s">
        <v>249</v>
      </c>
      <c r="G659" s="223" t="str">
        <f>VLOOKUP($B659,'FRS geographical categories'!$A$2:$C$45,2,FALSE)</f>
        <v>Predominantly Urban</v>
      </c>
      <c r="H659" s="223" t="str">
        <f>VLOOKUP($B659,'FRS geographical categories'!$A$2:$C$45,3,FALSE)</f>
        <v>Non-metropolitan</v>
      </c>
      <c r="I659" s="224">
        <v>2497</v>
      </c>
    </row>
    <row r="660" spans="1:9" ht="15.5" x14ac:dyDescent="0.35">
      <c r="A660" s="224" t="s">
        <v>53</v>
      </c>
      <c r="B660" s="224" t="s">
        <v>47</v>
      </c>
      <c r="C660" s="224" t="s">
        <v>86</v>
      </c>
      <c r="D660" s="224" t="s">
        <v>9</v>
      </c>
      <c r="E660" s="224" t="s">
        <v>256</v>
      </c>
      <c r="F660" s="224" t="s">
        <v>250</v>
      </c>
      <c r="G660" s="223" t="str">
        <f>VLOOKUP($B660,'FRS geographical categories'!$A$2:$C$45,2,FALSE)</f>
        <v>Predominantly Urban</v>
      </c>
      <c r="H660" s="223" t="str">
        <f>VLOOKUP($B660,'FRS geographical categories'!$A$2:$C$45,3,FALSE)</f>
        <v>Non-metropolitan</v>
      </c>
      <c r="I660" s="224">
        <v>1354</v>
      </c>
    </row>
    <row r="661" spans="1:9" ht="15.5" x14ac:dyDescent="0.35">
      <c r="A661" s="224" t="s">
        <v>53</v>
      </c>
      <c r="B661" s="224" t="s">
        <v>47</v>
      </c>
      <c r="C661" s="224" t="s">
        <v>86</v>
      </c>
      <c r="D661" s="224" t="s">
        <v>9</v>
      </c>
      <c r="E661" s="224" t="s">
        <v>256</v>
      </c>
      <c r="F661" s="224" t="s">
        <v>10</v>
      </c>
      <c r="G661" s="223" t="str">
        <f>VLOOKUP($B661,'FRS geographical categories'!$A$2:$C$45,2,FALSE)</f>
        <v>Predominantly Urban</v>
      </c>
      <c r="H661" s="223" t="str">
        <f>VLOOKUP($B661,'FRS geographical categories'!$A$2:$C$45,3,FALSE)</f>
        <v>Non-metropolitan</v>
      </c>
      <c r="I661" s="224">
        <v>5045</v>
      </c>
    </row>
    <row r="662" spans="1:9" ht="15.5" x14ac:dyDescent="0.35">
      <c r="A662" s="224" t="s">
        <v>53</v>
      </c>
      <c r="B662" s="224" t="s">
        <v>47</v>
      </c>
      <c r="C662" s="224" t="s">
        <v>89</v>
      </c>
      <c r="D662" s="224" t="s">
        <v>9</v>
      </c>
      <c r="E662" s="224" t="s">
        <v>256</v>
      </c>
      <c r="F662" s="224" t="s">
        <v>248</v>
      </c>
      <c r="G662" s="223" t="str">
        <f>VLOOKUP($B662,'FRS geographical categories'!$A$2:$C$45,2,FALSE)</f>
        <v>Predominantly Urban</v>
      </c>
      <c r="H662" s="223" t="str">
        <f>VLOOKUP($B662,'FRS geographical categories'!$A$2:$C$45,3,FALSE)</f>
        <v>Non-metropolitan</v>
      </c>
      <c r="I662" s="224">
        <v>0</v>
      </c>
    </row>
    <row r="663" spans="1:9" ht="15.5" x14ac:dyDescent="0.35">
      <c r="A663" s="224" t="s">
        <v>53</v>
      </c>
      <c r="B663" s="224" t="s">
        <v>47</v>
      </c>
      <c r="C663" s="224" t="s">
        <v>89</v>
      </c>
      <c r="D663" s="224" t="s">
        <v>9</v>
      </c>
      <c r="E663" s="224" t="s">
        <v>256</v>
      </c>
      <c r="F663" s="224" t="s">
        <v>249</v>
      </c>
      <c r="G663" s="223" t="str">
        <f>VLOOKUP($B663,'FRS geographical categories'!$A$2:$C$45,2,FALSE)</f>
        <v>Predominantly Urban</v>
      </c>
      <c r="H663" s="223" t="str">
        <f>VLOOKUP($B663,'FRS geographical categories'!$A$2:$C$45,3,FALSE)</f>
        <v>Non-metropolitan</v>
      </c>
      <c r="I663" s="224">
        <v>0</v>
      </c>
    </row>
    <row r="664" spans="1:9" ht="15.5" x14ac:dyDescent="0.35">
      <c r="A664" s="224" t="s">
        <v>53</v>
      </c>
      <c r="B664" s="224" t="s">
        <v>47</v>
      </c>
      <c r="C664" s="224" t="s">
        <v>89</v>
      </c>
      <c r="D664" s="224" t="s">
        <v>9</v>
      </c>
      <c r="E664" s="224" t="s">
        <v>256</v>
      </c>
      <c r="F664" s="224" t="s">
        <v>250</v>
      </c>
      <c r="G664" s="223" t="str">
        <f>VLOOKUP($B664,'FRS geographical categories'!$A$2:$C$45,2,FALSE)</f>
        <v>Predominantly Urban</v>
      </c>
      <c r="H664" s="223" t="str">
        <f>VLOOKUP($B664,'FRS geographical categories'!$A$2:$C$45,3,FALSE)</f>
        <v>Non-metropolitan</v>
      </c>
      <c r="I664" s="224">
        <v>0</v>
      </c>
    </row>
    <row r="665" spans="1:9" ht="15.5" x14ac:dyDescent="0.35">
      <c r="A665" s="224" t="s">
        <v>53</v>
      </c>
      <c r="B665" s="224" t="s">
        <v>47</v>
      </c>
      <c r="C665" s="224" t="s">
        <v>89</v>
      </c>
      <c r="D665" s="224" t="s">
        <v>9</v>
      </c>
      <c r="E665" s="224" t="s">
        <v>256</v>
      </c>
      <c r="F665" s="224" t="s">
        <v>10</v>
      </c>
      <c r="G665" s="223" t="str">
        <f>VLOOKUP($B665,'FRS geographical categories'!$A$2:$C$45,2,FALSE)</f>
        <v>Predominantly Urban</v>
      </c>
      <c r="H665" s="223" t="str">
        <f>VLOOKUP($B665,'FRS geographical categories'!$A$2:$C$45,3,FALSE)</f>
        <v>Non-metropolitan</v>
      </c>
      <c r="I665" s="224">
        <v>0</v>
      </c>
    </row>
    <row r="666" spans="1:9" ht="15.5" x14ac:dyDescent="0.35">
      <c r="A666" s="224" t="s">
        <v>53</v>
      </c>
      <c r="B666" s="224" t="s">
        <v>48</v>
      </c>
      <c r="C666" s="224" t="s">
        <v>86</v>
      </c>
      <c r="D666" s="224" t="s">
        <v>9</v>
      </c>
      <c r="E666" s="224" t="s">
        <v>256</v>
      </c>
      <c r="F666" s="224" t="s">
        <v>248</v>
      </c>
      <c r="G666" s="223" t="str">
        <f>VLOOKUP($B666,'FRS geographical categories'!$A$2:$C$45,2,FALSE)</f>
        <v>Predominantly Urban</v>
      </c>
      <c r="H666" s="223" t="str">
        <f>VLOOKUP($B666,'FRS geographical categories'!$A$2:$C$45,3,FALSE)</f>
        <v>Metropolitan</v>
      </c>
      <c r="I666" s="224">
        <v>1708</v>
      </c>
    </row>
    <row r="667" spans="1:9" ht="15.5" x14ac:dyDescent="0.35">
      <c r="A667" s="224" t="s">
        <v>53</v>
      </c>
      <c r="B667" s="224" t="s">
        <v>48</v>
      </c>
      <c r="C667" s="224" t="s">
        <v>86</v>
      </c>
      <c r="D667" s="224" t="s">
        <v>9</v>
      </c>
      <c r="E667" s="224" t="s">
        <v>256</v>
      </c>
      <c r="F667" s="224" t="s">
        <v>249</v>
      </c>
      <c r="G667" s="223" t="str">
        <f>VLOOKUP($B667,'FRS geographical categories'!$A$2:$C$45,2,FALSE)</f>
        <v>Predominantly Urban</v>
      </c>
      <c r="H667" s="223" t="str">
        <f>VLOOKUP($B667,'FRS geographical categories'!$A$2:$C$45,3,FALSE)</f>
        <v>Metropolitan</v>
      </c>
      <c r="I667" s="224">
        <v>4648</v>
      </c>
    </row>
    <row r="668" spans="1:9" ht="15.5" x14ac:dyDescent="0.35">
      <c r="A668" s="224" t="s">
        <v>53</v>
      </c>
      <c r="B668" s="224" t="s">
        <v>48</v>
      </c>
      <c r="C668" s="224" t="s">
        <v>86</v>
      </c>
      <c r="D668" s="224" t="s">
        <v>9</v>
      </c>
      <c r="E668" s="224" t="s">
        <v>256</v>
      </c>
      <c r="F668" s="224" t="s">
        <v>250</v>
      </c>
      <c r="G668" s="223" t="str">
        <f>VLOOKUP($B668,'FRS geographical categories'!$A$2:$C$45,2,FALSE)</f>
        <v>Predominantly Urban</v>
      </c>
      <c r="H668" s="223" t="str">
        <f>VLOOKUP($B668,'FRS geographical categories'!$A$2:$C$45,3,FALSE)</f>
        <v>Metropolitan</v>
      </c>
      <c r="I668" s="224">
        <v>8479</v>
      </c>
    </row>
    <row r="669" spans="1:9" ht="15.5" x14ac:dyDescent="0.35">
      <c r="A669" s="224" t="s">
        <v>53</v>
      </c>
      <c r="B669" s="224" t="s">
        <v>48</v>
      </c>
      <c r="C669" s="224" t="s">
        <v>86</v>
      </c>
      <c r="D669" s="224" t="s">
        <v>9</v>
      </c>
      <c r="E669" s="224" t="s">
        <v>256</v>
      </c>
      <c r="F669" s="224" t="s">
        <v>10</v>
      </c>
      <c r="G669" s="223" t="str">
        <f>VLOOKUP($B669,'FRS geographical categories'!$A$2:$C$45,2,FALSE)</f>
        <v>Predominantly Urban</v>
      </c>
      <c r="H669" s="223" t="str">
        <f>VLOOKUP($B669,'FRS geographical categories'!$A$2:$C$45,3,FALSE)</f>
        <v>Metropolitan</v>
      </c>
      <c r="I669" s="224">
        <v>26586</v>
      </c>
    </row>
    <row r="670" spans="1:9" ht="15.5" x14ac:dyDescent="0.35">
      <c r="A670" s="224" t="s">
        <v>53</v>
      </c>
      <c r="B670" s="224" t="s">
        <v>48</v>
      </c>
      <c r="C670" s="224" t="s">
        <v>89</v>
      </c>
      <c r="D670" s="224" t="s">
        <v>9</v>
      </c>
      <c r="E670" s="224" t="s">
        <v>256</v>
      </c>
      <c r="F670" s="224" t="s">
        <v>248</v>
      </c>
      <c r="G670" s="223" t="str">
        <f>VLOOKUP($B670,'FRS geographical categories'!$A$2:$C$45,2,FALSE)</f>
        <v>Predominantly Urban</v>
      </c>
      <c r="H670" s="223" t="str">
        <f>VLOOKUP($B670,'FRS geographical categories'!$A$2:$C$45,3,FALSE)</f>
        <v>Metropolitan</v>
      </c>
      <c r="I670" s="224">
        <v>1042</v>
      </c>
    </row>
    <row r="671" spans="1:9" ht="15.5" x14ac:dyDescent="0.35">
      <c r="A671" s="224" t="s">
        <v>53</v>
      </c>
      <c r="B671" s="224" t="s">
        <v>48</v>
      </c>
      <c r="C671" s="224" t="s">
        <v>89</v>
      </c>
      <c r="D671" s="224" t="s">
        <v>9</v>
      </c>
      <c r="E671" s="224" t="s">
        <v>256</v>
      </c>
      <c r="F671" s="224" t="s">
        <v>249</v>
      </c>
      <c r="G671" s="223" t="str">
        <f>VLOOKUP($B671,'FRS geographical categories'!$A$2:$C$45,2,FALSE)</f>
        <v>Predominantly Urban</v>
      </c>
      <c r="H671" s="223" t="str">
        <f>VLOOKUP($B671,'FRS geographical categories'!$A$2:$C$45,3,FALSE)</f>
        <v>Metropolitan</v>
      </c>
      <c r="I671" s="224">
        <v>1553</v>
      </c>
    </row>
    <row r="672" spans="1:9" ht="15.5" x14ac:dyDescent="0.35">
      <c r="A672" s="224" t="s">
        <v>53</v>
      </c>
      <c r="B672" s="224" t="s">
        <v>48</v>
      </c>
      <c r="C672" s="224" t="s">
        <v>89</v>
      </c>
      <c r="D672" s="224" t="s">
        <v>9</v>
      </c>
      <c r="E672" s="224" t="s">
        <v>256</v>
      </c>
      <c r="F672" s="224" t="s">
        <v>250</v>
      </c>
      <c r="G672" s="223" t="str">
        <f>VLOOKUP($B672,'FRS geographical categories'!$A$2:$C$45,2,FALSE)</f>
        <v>Predominantly Urban</v>
      </c>
      <c r="H672" s="223" t="str">
        <f>VLOOKUP($B672,'FRS geographical categories'!$A$2:$C$45,3,FALSE)</f>
        <v>Metropolitan</v>
      </c>
      <c r="I672" s="224">
        <v>1326</v>
      </c>
    </row>
    <row r="673" spans="1:9" ht="15.5" x14ac:dyDescent="0.35">
      <c r="A673" s="224" t="s">
        <v>53</v>
      </c>
      <c r="B673" s="224" t="s">
        <v>48</v>
      </c>
      <c r="C673" s="224" t="s">
        <v>89</v>
      </c>
      <c r="D673" s="224" t="s">
        <v>9</v>
      </c>
      <c r="E673" s="224" t="s">
        <v>256</v>
      </c>
      <c r="F673" s="224" t="s">
        <v>10</v>
      </c>
      <c r="G673" s="223" t="str">
        <f>VLOOKUP($B673,'FRS geographical categories'!$A$2:$C$45,2,FALSE)</f>
        <v>Predominantly Urban</v>
      </c>
      <c r="H673" s="223" t="str">
        <f>VLOOKUP($B673,'FRS geographical categories'!$A$2:$C$45,3,FALSE)</f>
        <v>Metropolitan</v>
      </c>
      <c r="I673" s="224">
        <v>6887</v>
      </c>
    </row>
    <row r="674" spans="1:9" ht="15.5" x14ac:dyDescent="0.35">
      <c r="A674" s="224" t="s">
        <v>53</v>
      </c>
      <c r="B674" s="224" t="s">
        <v>49</v>
      </c>
      <c r="C674" s="224" t="s">
        <v>86</v>
      </c>
      <c r="D674" s="224" t="s">
        <v>9</v>
      </c>
      <c r="E674" s="224" t="s">
        <v>256</v>
      </c>
      <c r="F674" s="224" t="s">
        <v>248</v>
      </c>
      <c r="G674" s="223" t="str">
        <f>VLOOKUP($B674,'FRS geographical categories'!$A$2:$C$45,2,FALSE)</f>
        <v>Significantly Rural</v>
      </c>
      <c r="H674" s="223" t="str">
        <f>VLOOKUP($B674,'FRS geographical categories'!$A$2:$C$45,3,FALSE)</f>
        <v>Non-metropolitan</v>
      </c>
      <c r="I674" s="224">
        <v>899</v>
      </c>
    </row>
    <row r="675" spans="1:9" ht="15.5" x14ac:dyDescent="0.35">
      <c r="A675" s="224" t="s">
        <v>53</v>
      </c>
      <c r="B675" s="224" t="s">
        <v>49</v>
      </c>
      <c r="C675" s="224" t="s">
        <v>86</v>
      </c>
      <c r="D675" s="224" t="s">
        <v>9</v>
      </c>
      <c r="E675" s="224" t="s">
        <v>256</v>
      </c>
      <c r="F675" s="224" t="s">
        <v>249</v>
      </c>
      <c r="G675" s="223" t="str">
        <f>VLOOKUP($B675,'FRS geographical categories'!$A$2:$C$45,2,FALSE)</f>
        <v>Significantly Rural</v>
      </c>
      <c r="H675" s="223" t="str">
        <f>VLOOKUP($B675,'FRS geographical categories'!$A$2:$C$45,3,FALSE)</f>
        <v>Non-metropolitan</v>
      </c>
      <c r="I675" s="224">
        <v>876</v>
      </c>
    </row>
    <row r="676" spans="1:9" ht="15.5" x14ac:dyDescent="0.35">
      <c r="A676" s="224" t="s">
        <v>53</v>
      </c>
      <c r="B676" s="224" t="s">
        <v>49</v>
      </c>
      <c r="C676" s="224" t="s">
        <v>86</v>
      </c>
      <c r="D676" s="224" t="s">
        <v>9</v>
      </c>
      <c r="E676" s="224" t="s">
        <v>256</v>
      </c>
      <c r="F676" s="224" t="s">
        <v>250</v>
      </c>
      <c r="G676" s="223" t="str">
        <f>VLOOKUP($B676,'FRS geographical categories'!$A$2:$C$45,2,FALSE)</f>
        <v>Significantly Rural</v>
      </c>
      <c r="H676" s="223" t="str">
        <f>VLOOKUP($B676,'FRS geographical categories'!$A$2:$C$45,3,FALSE)</f>
        <v>Non-metropolitan</v>
      </c>
      <c r="I676" s="224">
        <v>1860</v>
      </c>
    </row>
    <row r="677" spans="1:9" ht="15.5" x14ac:dyDescent="0.35">
      <c r="A677" s="224" t="s">
        <v>53</v>
      </c>
      <c r="B677" s="224" t="s">
        <v>49</v>
      </c>
      <c r="C677" s="224" t="s">
        <v>86</v>
      </c>
      <c r="D677" s="224" t="s">
        <v>9</v>
      </c>
      <c r="E677" s="224" t="s">
        <v>256</v>
      </c>
      <c r="F677" s="224" t="s">
        <v>10</v>
      </c>
      <c r="G677" s="223" t="str">
        <f>VLOOKUP($B677,'FRS geographical categories'!$A$2:$C$45,2,FALSE)</f>
        <v>Significantly Rural</v>
      </c>
      <c r="H677" s="223" t="str">
        <f>VLOOKUP($B677,'FRS geographical categories'!$A$2:$C$45,3,FALSE)</f>
        <v>Non-metropolitan</v>
      </c>
      <c r="I677" s="224">
        <v>6208</v>
      </c>
    </row>
    <row r="678" spans="1:9" ht="15.5" x14ac:dyDescent="0.35">
      <c r="A678" s="224" t="s">
        <v>53</v>
      </c>
      <c r="B678" s="224" t="s">
        <v>49</v>
      </c>
      <c r="C678" s="224" t="s">
        <v>89</v>
      </c>
      <c r="D678" s="224" t="s">
        <v>9</v>
      </c>
      <c r="E678" s="224" t="s">
        <v>256</v>
      </c>
      <c r="F678" s="224" t="s">
        <v>248</v>
      </c>
      <c r="G678" s="223" t="str">
        <f>VLOOKUP($B678,'FRS geographical categories'!$A$2:$C$45,2,FALSE)</f>
        <v>Significantly Rural</v>
      </c>
      <c r="H678" s="223" t="str">
        <f>VLOOKUP($B678,'FRS geographical categories'!$A$2:$C$45,3,FALSE)</f>
        <v>Non-metropolitan</v>
      </c>
      <c r="I678" s="224">
        <v>0</v>
      </c>
    </row>
    <row r="679" spans="1:9" ht="15.5" x14ac:dyDescent="0.35">
      <c r="A679" s="224" t="s">
        <v>53</v>
      </c>
      <c r="B679" s="224" t="s">
        <v>49</v>
      </c>
      <c r="C679" s="224" t="s">
        <v>89</v>
      </c>
      <c r="D679" s="224" t="s">
        <v>9</v>
      </c>
      <c r="E679" s="224" t="s">
        <v>256</v>
      </c>
      <c r="F679" s="224" t="s">
        <v>249</v>
      </c>
      <c r="G679" s="223" t="str">
        <f>VLOOKUP($B679,'FRS geographical categories'!$A$2:$C$45,2,FALSE)</f>
        <v>Significantly Rural</v>
      </c>
      <c r="H679" s="223" t="str">
        <f>VLOOKUP($B679,'FRS geographical categories'!$A$2:$C$45,3,FALSE)</f>
        <v>Non-metropolitan</v>
      </c>
      <c r="I679" s="224">
        <v>0</v>
      </c>
    </row>
    <row r="680" spans="1:9" ht="15.5" x14ac:dyDescent="0.35">
      <c r="A680" s="224" t="s">
        <v>53</v>
      </c>
      <c r="B680" s="224" t="s">
        <v>49</v>
      </c>
      <c r="C680" s="224" t="s">
        <v>89</v>
      </c>
      <c r="D680" s="224" t="s">
        <v>9</v>
      </c>
      <c r="E680" s="224" t="s">
        <v>256</v>
      </c>
      <c r="F680" s="224" t="s">
        <v>250</v>
      </c>
      <c r="G680" s="223" t="str">
        <f>VLOOKUP($B680,'FRS geographical categories'!$A$2:$C$45,2,FALSE)</f>
        <v>Significantly Rural</v>
      </c>
      <c r="H680" s="223" t="str">
        <f>VLOOKUP($B680,'FRS geographical categories'!$A$2:$C$45,3,FALSE)</f>
        <v>Non-metropolitan</v>
      </c>
      <c r="I680" s="224">
        <v>0</v>
      </c>
    </row>
    <row r="681" spans="1:9" ht="15.5" x14ac:dyDescent="0.35">
      <c r="A681" s="224" t="s">
        <v>53</v>
      </c>
      <c r="B681" s="224" t="s">
        <v>49</v>
      </c>
      <c r="C681" s="224" t="s">
        <v>89</v>
      </c>
      <c r="D681" s="224" t="s">
        <v>9</v>
      </c>
      <c r="E681" s="224" t="s">
        <v>256</v>
      </c>
      <c r="F681" s="224" t="s">
        <v>10</v>
      </c>
      <c r="G681" s="223" t="str">
        <f>VLOOKUP($B681,'FRS geographical categories'!$A$2:$C$45,2,FALSE)</f>
        <v>Significantly Rural</v>
      </c>
      <c r="H681" s="223" t="str">
        <f>VLOOKUP($B681,'FRS geographical categories'!$A$2:$C$45,3,FALSE)</f>
        <v>Non-metropolitan</v>
      </c>
      <c r="I681" s="224">
        <v>0</v>
      </c>
    </row>
    <row r="682" spans="1:9" ht="15.5" x14ac:dyDescent="0.35">
      <c r="A682" s="224" t="s">
        <v>53</v>
      </c>
      <c r="B682" s="224" t="s">
        <v>50</v>
      </c>
      <c r="C682" s="224" t="s">
        <v>86</v>
      </c>
      <c r="D682" s="224" t="s">
        <v>9</v>
      </c>
      <c r="E682" s="224" t="s">
        <v>256</v>
      </c>
      <c r="F682" s="224" t="s">
        <v>248</v>
      </c>
      <c r="G682" s="223" t="str">
        <f>VLOOKUP($B682,'FRS geographical categories'!$A$2:$C$45,2,FALSE)</f>
        <v>Predominantly Urban</v>
      </c>
      <c r="H682" s="223" t="str">
        <f>VLOOKUP($B682,'FRS geographical categories'!$A$2:$C$45,3,FALSE)</f>
        <v>Metropolitan</v>
      </c>
      <c r="I682" s="224">
        <v>4959</v>
      </c>
    </row>
    <row r="683" spans="1:9" ht="15.5" x14ac:dyDescent="0.35">
      <c r="A683" s="224" t="s">
        <v>53</v>
      </c>
      <c r="B683" s="224" t="s">
        <v>50</v>
      </c>
      <c r="C683" s="224" t="s">
        <v>86</v>
      </c>
      <c r="D683" s="224" t="s">
        <v>9</v>
      </c>
      <c r="E683" s="224" t="s">
        <v>256</v>
      </c>
      <c r="F683" s="224" t="s">
        <v>249</v>
      </c>
      <c r="G683" s="223" t="str">
        <f>VLOOKUP($B683,'FRS geographical categories'!$A$2:$C$45,2,FALSE)</f>
        <v>Predominantly Urban</v>
      </c>
      <c r="H683" s="223" t="str">
        <f>VLOOKUP($B683,'FRS geographical categories'!$A$2:$C$45,3,FALSE)</f>
        <v>Metropolitan</v>
      </c>
      <c r="I683" s="224">
        <v>12896</v>
      </c>
    </row>
    <row r="684" spans="1:9" ht="15.5" x14ac:dyDescent="0.35">
      <c r="A684" s="224" t="s">
        <v>53</v>
      </c>
      <c r="B684" s="224" t="s">
        <v>50</v>
      </c>
      <c r="C684" s="224" t="s">
        <v>86</v>
      </c>
      <c r="D684" s="224" t="s">
        <v>9</v>
      </c>
      <c r="E684" s="224" t="s">
        <v>256</v>
      </c>
      <c r="F684" s="224" t="s">
        <v>250</v>
      </c>
      <c r="G684" s="223" t="str">
        <f>VLOOKUP($B684,'FRS geographical categories'!$A$2:$C$45,2,FALSE)</f>
        <v>Predominantly Urban</v>
      </c>
      <c r="H684" s="223" t="str">
        <f>VLOOKUP($B684,'FRS geographical categories'!$A$2:$C$45,3,FALSE)</f>
        <v>Metropolitan</v>
      </c>
      <c r="I684" s="224">
        <v>2707</v>
      </c>
    </row>
    <row r="685" spans="1:9" ht="15.5" x14ac:dyDescent="0.35">
      <c r="A685" s="224" t="s">
        <v>53</v>
      </c>
      <c r="B685" s="224" t="s">
        <v>50</v>
      </c>
      <c r="C685" s="224" t="s">
        <v>86</v>
      </c>
      <c r="D685" s="224" t="s">
        <v>9</v>
      </c>
      <c r="E685" s="224" t="s">
        <v>256</v>
      </c>
      <c r="F685" s="224" t="s">
        <v>10</v>
      </c>
      <c r="G685" s="223" t="str">
        <f>VLOOKUP($B685,'FRS geographical categories'!$A$2:$C$45,2,FALSE)</f>
        <v>Predominantly Urban</v>
      </c>
      <c r="H685" s="223" t="str">
        <f>VLOOKUP($B685,'FRS geographical categories'!$A$2:$C$45,3,FALSE)</f>
        <v>Metropolitan</v>
      </c>
      <c r="I685" s="224">
        <v>35429</v>
      </c>
    </row>
    <row r="686" spans="1:9" ht="15.5" x14ac:dyDescent="0.35">
      <c r="A686" s="224" t="s">
        <v>53</v>
      </c>
      <c r="B686" s="224" t="s">
        <v>50</v>
      </c>
      <c r="C686" s="224" t="s">
        <v>89</v>
      </c>
      <c r="D686" s="224" t="s">
        <v>9</v>
      </c>
      <c r="E686" s="224" t="s">
        <v>256</v>
      </c>
      <c r="F686" s="224" t="s">
        <v>248</v>
      </c>
      <c r="G686" s="223" t="str">
        <f>VLOOKUP($B686,'FRS geographical categories'!$A$2:$C$45,2,FALSE)</f>
        <v>Predominantly Urban</v>
      </c>
      <c r="H686" s="223" t="str">
        <f>VLOOKUP($B686,'FRS geographical categories'!$A$2:$C$45,3,FALSE)</f>
        <v>Metropolitan</v>
      </c>
      <c r="I686" s="224">
        <v>0</v>
      </c>
    </row>
    <row r="687" spans="1:9" ht="15.5" x14ac:dyDescent="0.35">
      <c r="A687" s="224" t="s">
        <v>53</v>
      </c>
      <c r="B687" s="224" t="s">
        <v>50</v>
      </c>
      <c r="C687" s="224" t="s">
        <v>89</v>
      </c>
      <c r="D687" s="224" t="s">
        <v>9</v>
      </c>
      <c r="E687" s="224" t="s">
        <v>256</v>
      </c>
      <c r="F687" s="224" t="s">
        <v>249</v>
      </c>
      <c r="G687" s="223" t="str">
        <f>VLOOKUP($B687,'FRS geographical categories'!$A$2:$C$45,2,FALSE)</f>
        <v>Predominantly Urban</v>
      </c>
      <c r="H687" s="223" t="str">
        <f>VLOOKUP($B687,'FRS geographical categories'!$A$2:$C$45,3,FALSE)</f>
        <v>Metropolitan</v>
      </c>
      <c r="I687" s="224">
        <v>0</v>
      </c>
    </row>
    <row r="688" spans="1:9" ht="15.5" x14ac:dyDescent="0.35">
      <c r="A688" s="224" t="s">
        <v>53</v>
      </c>
      <c r="B688" s="224" t="s">
        <v>50</v>
      </c>
      <c r="C688" s="224" t="s">
        <v>89</v>
      </c>
      <c r="D688" s="224" t="s">
        <v>9</v>
      </c>
      <c r="E688" s="224" t="s">
        <v>256</v>
      </c>
      <c r="F688" s="224" t="s">
        <v>250</v>
      </c>
      <c r="G688" s="223" t="str">
        <f>VLOOKUP($B688,'FRS geographical categories'!$A$2:$C$45,2,FALSE)</f>
        <v>Predominantly Urban</v>
      </c>
      <c r="H688" s="223" t="str">
        <f>VLOOKUP($B688,'FRS geographical categories'!$A$2:$C$45,3,FALSE)</f>
        <v>Metropolitan</v>
      </c>
      <c r="I688" s="224">
        <v>0</v>
      </c>
    </row>
    <row r="689" spans="1:9" ht="15.5" x14ac:dyDescent="0.35">
      <c r="A689" s="224" t="s">
        <v>53</v>
      </c>
      <c r="B689" s="224" t="s">
        <v>50</v>
      </c>
      <c r="C689" s="224" t="s">
        <v>89</v>
      </c>
      <c r="D689" s="224" t="s">
        <v>9</v>
      </c>
      <c r="E689" s="224" t="s">
        <v>256</v>
      </c>
      <c r="F689" s="224" t="s">
        <v>10</v>
      </c>
      <c r="G689" s="223" t="str">
        <f>VLOOKUP($B689,'FRS geographical categories'!$A$2:$C$45,2,FALSE)</f>
        <v>Predominantly Urban</v>
      </c>
      <c r="H689" s="223" t="str">
        <f>VLOOKUP($B689,'FRS geographical categories'!$A$2:$C$45,3,FALSE)</f>
        <v>Metropolitan</v>
      </c>
      <c r="I689" s="224">
        <v>0</v>
      </c>
    </row>
    <row r="690" spans="1:9" ht="15.5" x14ac:dyDescent="0.35">
      <c r="A690" s="224" t="s">
        <v>53</v>
      </c>
      <c r="B690" s="224" t="s">
        <v>51</v>
      </c>
      <c r="C690" s="224" t="s">
        <v>86</v>
      </c>
      <c r="D690" s="224" t="s">
        <v>9</v>
      </c>
      <c r="E690" s="224" t="s">
        <v>256</v>
      </c>
      <c r="F690" s="224" t="s">
        <v>248</v>
      </c>
      <c r="G690" s="223" t="str">
        <f>VLOOKUP($B690,'FRS geographical categories'!$A$2:$C$45,2,FALSE)</f>
        <v>Significantly Rural</v>
      </c>
      <c r="H690" s="223" t="str">
        <f>VLOOKUP($B690,'FRS geographical categories'!$A$2:$C$45,3,FALSE)</f>
        <v>Non-metropolitan</v>
      </c>
      <c r="I690" s="224">
        <v>610</v>
      </c>
    </row>
    <row r="691" spans="1:9" ht="15.5" x14ac:dyDescent="0.35">
      <c r="A691" s="224" t="s">
        <v>53</v>
      </c>
      <c r="B691" s="224" t="s">
        <v>51</v>
      </c>
      <c r="C691" s="224" t="s">
        <v>86</v>
      </c>
      <c r="D691" s="224" t="s">
        <v>9</v>
      </c>
      <c r="E691" s="224" t="s">
        <v>256</v>
      </c>
      <c r="F691" s="224" t="s">
        <v>249</v>
      </c>
      <c r="G691" s="223" t="str">
        <f>VLOOKUP($B691,'FRS geographical categories'!$A$2:$C$45,2,FALSE)</f>
        <v>Significantly Rural</v>
      </c>
      <c r="H691" s="223" t="str">
        <f>VLOOKUP($B691,'FRS geographical categories'!$A$2:$C$45,3,FALSE)</f>
        <v>Non-metropolitan</v>
      </c>
      <c r="I691" s="224">
        <v>986</v>
      </c>
    </row>
    <row r="692" spans="1:9" ht="15.5" x14ac:dyDescent="0.35">
      <c r="A692" s="224" t="s">
        <v>53</v>
      </c>
      <c r="B692" s="224" t="s">
        <v>51</v>
      </c>
      <c r="C692" s="224" t="s">
        <v>86</v>
      </c>
      <c r="D692" s="224" t="s">
        <v>9</v>
      </c>
      <c r="E692" s="224" t="s">
        <v>256</v>
      </c>
      <c r="F692" s="224" t="s">
        <v>250</v>
      </c>
      <c r="G692" s="223" t="str">
        <f>VLOOKUP($B692,'FRS geographical categories'!$A$2:$C$45,2,FALSE)</f>
        <v>Significantly Rural</v>
      </c>
      <c r="H692" s="223" t="str">
        <f>VLOOKUP($B692,'FRS geographical categories'!$A$2:$C$45,3,FALSE)</f>
        <v>Non-metropolitan</v>
      </c>
      <c r="I692" s="224">
        <v>3103</v>
      </c>
    </row>
    <row r="693" spans="1:9" ht="15.5" x14ac:dyDescent="0.35">
      <c r="A693" s="224" t="s">
        <v>53</v>
      </c>
      <c r="B693" s="224" t="s">
        <v>51</v>
      </c>
      <c r="C693" s="224" t="s">
        <v>86</v>
      </c>
      <c r="D693" s="224" t="s">
        <v>9</v>
      </c>
      <c r="E693" s="224" t="s">
        <v>256</v>
      </c>
      <c r="F693" s="224" t="s">
        <v>10</v>
      </c>
      <c r="G693" s="223" t="str">
        <f>VLOOKUP($B693,'FRS geographical categories'!$A$2:$C$45,2,FALSE)</f>
        <v>Significantly Rural</v>
      </c>
      <c r="H693" s="223" t="str">
        <f>VLOOKUP($B693,'FRS geographical categories'!$A$2:$C$45,3,FALSE)</f>
        <v>Non-metropolitan</v>
      </c>
      <c r="I693" s="224">
        <v>4699</v>
      </c>
    </row>
    <row r="694" spans="1:9" ht="15.5" x14ac:dyDescent="0.35">
      <c r="A694" s="224" t="s">
        <v>53</v>
      </c>
      <c r="B694" s="224" t="s">
        <v>51</v>
      </c>
      <c r="C694" s="224" t="s">
        <v>89</v>
      </c>
      <c r="D694" s="224" t="s">
        <v>9</v>
      </c>
      <c r="E694" s="224" t="s">
        <v>256</v>
      </c>
      <c r="F694" s="224" t="s">
        <v>248</v>
      </c>
      <c r="G694" s="223" t="str">
        <f>VLOOKUP($B694,'FRS geographical categories'!$A$2:$C$45,2,FALSE)</f>
        <v>Significantly Rural</v>
      </c>
      <c r="H694" s="223" t="str">
        <f>VLOOKUP($B694,'FRS geographical categories'!$A$2:$C$45,3,FALSE)</f>
        <v>Non-metropolitan</v>
      </c>
      <c r="I694" s="224">
        <v>0</v>
      </c>
    </row>
    <row r="695" spans="1:9" ht="15.5" x14ac:dyDescent="0.35">
      <c r="A695" s="224" t="s">
        <v>53</v>
      </c>
      <c r="B695" s="224" t="s">
        <v>51</v>
      </c>
      <c r="C695" s="224" t="s">
        <v>89</v>
      </c>
      <c r="D695" s="224" t="s">
        <v>9</v>
      </c>
      <c r="E695" s="224" t="s">
        <v>256</v>
      </c>
      <c r="F695" s="224" t="s">
        <v>249</v>
      </c>
      <c r="G695" s="223" t="str">
        <f>VLOOKUP($B695,'FRS geographical categories'!$A$2:$C$45,2,FALSE)</f>
        <v>Significantly Rural</v>
      </c>
      <c r="H695" s="223" t="str">
        <f>VLOOKUP($B695,'FRS geographical categories'!$A$2:$C$45,3,FALSE)</f>
        <v>Non-metropolitan</v>
      </c>
      <c r="I695" s="224">
        <v>0</v>
      </c>
    </row>
    <row r="696" spans="1:9" ht="15.5" x14ac:dyDescent="0.35">
      <c r="A696" s="224" t="s">
        <v>53</v>
      </c>
      <c r="B696" s="224" t="s">
        <v>51</v>
      </c>
      <c r="C696" s="224" t="s">
        <v>89</v>
      </c>
      <c r="D696" s="224" t="s">
        <v>9</v>
      </c>
      <c r="E696" s="224" t="s">
        <v>256</v>
      </c>
      <c r="F696" s="224" t="s">
        <v>250</v>
      </c>
      <c r="G696" s="223" t="str">
        <f>VLOOKUP($B696,'FRS geographical categories'!$A$2:$C$45,2,FALSE)</f>
        <v>Significantly Rural</v>
      </c>
      <c r="H696" s="223" t="str">
        <f>VLOOKUP($B696,'FRS geographical categories'!$A$2:$C$45,3,FALSE)</f>
        <v>Non-metropolitan</v>
      </c>
      <c r="I696" s="224">
        <v>0</v>
      </c>
    </row>
    <row r="697" spans="1:9" ht="15.5" x14ac:dyDescent="0.35">
      <c r="A697" s="224" t="s">
        <v>53</v>
      </c>
      <c r="B697" s="224" t="s">
        <v>51</v>
      </c>
      <c r="C697" s="224" t="s">
        <v>89</v>
      </c>
      <c r="D697" s="224" t="s">
        <v>9</v>
      </c>
      <c r="E697" s="224" t="s">
        <v>256</v>
      </c>
      <c r="F697" s="224" t="s">
        <v>10</v>
      </c>
      <c r="G697" s="223" t="str">
        <f>VLOOKUP($B697,'FRS geographical categories'!$A$2:$C$45,2,FALSE)</f>
        <v>Significantly Rural</v>
      </c>
      <c r="H697" s="223" t="str">
        <f>VLOOKUP($B697,'FRS geographical categories'!$A$2:$C$45,3,FALSE)</f>
        <v>Non-metropolitan</v>
      </c>
      <c r="I697" s="224">
        <v>0</v>
      </c>
    </row>
    <row r="698" spans="1:9" ht="15.5" x14ac:dyDescent="0.35">
      <c r="A698" s="224" t="s">
        <v>53</v>
      </c>
      <c r="B698" s="224" t="s">
        <v>52</v>
      </c>
      <c r="C698" s="224" t="s">
        <v>86</v>
      </c>
      <c r="D698" s="224" t="s">
        <v>9</v>
      </c>
      <c r="E698" s="224" t="s">
        <v>256</v>
      </c>
      <c r="F698" s="224" t="s">
        <v>248</v>
      </c>
      <c r="G698" s="223" t="str">
        <f>VLOOKUP($B698,'FRS geographical categories'!$A$2:$C$45,2,FALSE)</f>
        <v>Predominantly Urban</v>
      </c>
      <c r="H698" s="223" t="str">
        <f>VLOOKUP($B698,'FRS geographical categories'!$A$2:$C$45,3,FALSE)</f>
        <v>Metropolitan</v>
      </c>
      <c r="I698" s="224">
        <v>1314</v>
      </c>
    </row>
    <row r="699" spans="1:9" ht="15.5" x14ac:dyDescent="0.35">
      <c r="A699" s="224" t="s">
        <v>53</v>
      </c>
      <c r="B699" s="224" t="s">
        <v>52</v>
      </c>
      <c r="C699" s="224" t="s">
        <v>86</v>
      </c>
      <c r="D699" s="224" t="s">
        <v>9</v>
      </c>
      <c r="E699" s="224" t="s">
        <v>256</v>
      </c>
      <c r="F699" s="224" t="s">
        <v>249</v>
      </c>
      <c r="G699" s="223" t="str">
        <f>VLOOKUP($B699,'FRS geographical categories'!$A$2:$C$45,2,FALSE)</f>
        <v>Predominantly Urban</v>
      </c>
      <c r="H699" s="223" t="str">
        <f>VLOOKUP($B699,'FRS geographical categories'!$A$2:$C$45,3,FALSE)</f>
        <v>Metropolitan</v>
      </c>
      <c r="I699" s="224">
        <v>3921</v>
      </c>
    </row>
    <row r="700" spans="1:9" ht="15.5" x14ac:dyDescent="0.35">
      <c r="A700" s="224" t="s">
        <v>53</v>
      </c>
      <c r="B700" s="224" t="s">
        <v>52</v>
      </c>
      <c r="C700" s="224" t="s">
        <v>86</v>
      </c>
      <c r="D700" s="224" t="s">
        <v>9</v>
      </c>
      <c r="E700" s="224" t="s">
        <v>256</v>
      </c>
      <c r="F700" s="224" t="s">
        <v>250</v>
      </c>
      <c r="G700" s="223" t="str">
        <f>VLOOKUP($B700,'FRS geographical categories'!$A$2:$C$45,2,FALSE)</f>
        <v>Predominantly Urban</v>
      </c>
      <c r="H700" s="223" t="str">
        <f>VLOOKUP($B700,'FRS geographical categories'!$A$2:$C$45,3,FALSE)</f>
        <v>Metropolitan</v>
      </c>
      <c r="I700" s="224">
        <v>4934</v>
      </c>
    </row>
    <row r="701" spans="1:9" ht="15.5" x14ac:dyDescent="0.35">
      <c r="A701" s="224" t="s">
        <v>53</v>
      </c>
      <c r="B701" s="224" t="s">
        <v>52</v>
      </c>
      <c r="C701" s="224" t="s">
        <v>86</v>
      </c>
      <c r="D701" s="224" t="s">
        <v>9</v>
      </c>
      <c r="E701" s="224" t="s">
        <v>256</v>
      </c>
      <c r="F701" s="224" t="s">
        <v>10</v>
      </c>
      <c r="G701" s="223" t="str">
        <f>VLOOKUP($B701,'FRS geographical categories'!$A$2:$C$45,2,FALSE)</f>
        <v>Predominantly Urban</v>
      </c>
      <c r="H701" s="223" t="str">
        <f>VLOOKUP($B701,'FRS geographical categories'!$A$2:$C$45,3,FALSE)</f>
        <v>Metropolitan</v>
      </c>
      <c r="I701" s="224">
        <v>15528</v>
      </c>
    </row>
    <row r="702" spans="1:9" ht="15.5" x14ac:dyDescent="0.35">
      <c r="A702" s="224" t="s">
        <v>53</v>
      </c>
      <c r="B702" s="224" t="s">
        <v>52</v>
      </c>
      <c r="C702" s="224" t="s">
        <v>89</v>
      </c>
      <c r="D702" s="224" t="s">
        <v>9</v>
      </c>
      <c r="E702" s="224" t="s">
        <v>256</v>
      </c>
      <c r="F702" s="224" t="s">
        <v>248</v>
      </c>
      <c r="G702" s="223" t="str">
        <f>VLOOKUP($B702,'FRS geographical categories'!$A$2:$C$45,2,FALSE)</f>
        <v>Predominantly Urban</v>
      </c>
      <c r="H702" s="223" t="str">
        <f>VLOOKUP($B702,'FRS geographical categories'!$A$2:$C$45,3,FALSE)</f>
        <v>Metropolitan</v>
      </c>
      <c r="I702" s="224">
        <v>0</v>
      </c>
    </row>
    <row r="703" spans="1:9" ht="15.5" x14ac:dyDescent="0.35">
      <c r="A703" s="224" t="s">
        <v>53</v>
      </c>
      <c r="B703" s="224" t="s">
        <v>52</v>
      </c>
      <c r="C703" s="224" t="s">
        <v>89</v>
      </c>
      <c r="D703" s="224" t="s">
        <v>9</v>
      </c>
      <c r="E703" s="224" t="s">
        <v>256</v>
      </c>
      <c r="F703" s="224" t="s">
        <v>249</v>
      </c>
      <c r="G703" s="223" t="str">
        <f>VLOOKUP($B703,'FRS geographical categories'!$A$2:$C$45,2,FALSE)</f>
        <v>Predominantly Urban</v>
      </c>
      <c r="H703" s="223" t="str">
        <f>VLOOKUP($B703,'FRS geographical categories'!$A$2:$C$45,3,FALSE)</f>
        <v>Metropolitan</v>
      </c>
      <c r="I703" s="224">
        <v>0</v>
      </c>
    </row>
    <row r="704" spans="1:9" ht="15.5" x14ac:dyDescent="0.35">
      <c r="A704" s="224" t="s">
        <v>53</v>
      </c>
      <c r="B704" s="224" t="s">
        <v>52</v>
      </c>
      <c r="C704" s="224" t="s">
        <v>89</v>
      </c>
      <c r="D704" s="224" t="s">
        <v>9</v>
      </c>
      <c r="E704" s="224" t="s">
        <v>256</v>
      </c>
      <c r="F704" s="224" t="s">
        <v>250</v>
      </c>
      <c r="G704" s="223" t="str">
        <f>VLOOKUP($B704,'FRS geographical categories'!$A$2:$C$45,2,FALSE)</f>
        <v>Predominantly Urban</v>
      </c>
      <c r="H704" s="223" t="str">
        <f>VLOOKUP($B704,'FRS geographical categories'!$A$2:$C$45,3,FALSE)</f>
        <v>Metropolitan</v>
      </c>
      <c r="I704" s="224">
        <v>0</v>
      </c>
    </row>
    <row r="705" spans="1:9" ht="15.5" x14ac:dyDescent="0.35">
      <c r="A705" s="224" t="s">
        <v>53</v>
      </c>
      <c r="B705" s="224" t="s">
        <v>52</v>
      </c>
      <c r="C705" s="224" t="s">
        <v>89</v>
      </c>
      <c r="D705" s="224" t="s">
        <v>9</v>
      </c>
      <c r="E705" s="224" t="s">
        <v>256</v>
      </c>
      <c r="F705" s="224" t="s">
        <v>10</v>
      </c>
      <c r="G705" s="223" t="str">
        <f>VLOOKUP($B705,'FRS geographical categories'!$A$2:$C$45,2,FALSE)</f>
        <v>Predominantly Urban</v>
      </c>
      <c r="H705" s="223" t="str">
        <f>VLOOKUP($B705,'FRS geographical categories'!$A$2:$C$45,3,FALSE)</f>
        <v>Metropolitan</v>
      </c>
      <c r="I705" s="224">
        <v>0</v>
      </c>
    </row>
    <row r="706" spans="1:9" ht="15.5" x14ac:dyDescent="0.35">
      <c r="A706" s="224" t="s">
        <v>54</v>
      </c>
      <c r="B706" s="224" t="s">
        <v>8</v>
      </c>
      <c r="C706" s="224" t="s">
        <v>86</v>
      </c>
      <c r="D706" s="224" t="s">
        <v>9</v>
      </c>
      <c r="E706" s="224" t="s">
        <v>256</v>
      </c>
      <c r="F706" s="224" t="s">
        <v>248</v>
      </c>
      <c r="G706" s="223" t="str">
        <f>VLOOKUP($B706,'FRS geographical categories'!$A$2:$C$45,2,FALSE)</f>
        <v>Predominantly Urban</v>
      </c>
      <c r="H706" s="223" t="str">
        <f>VLOOKUP($B706,'FRS geographical categories'!$A$2:$C$45,3,FALSE)</f>
        <v>Non-metropolitan</v>
      </c>
      <c r="I706" s="224">
        <v>351</v>
      </c>
    </row>
    <row r="707" spans="1:9" ht="15.5" x14ac:dyDescent="0.35">
      <c r="A707" s="224" t="s">
        <v>54</v>
      </c>
      <c r="B707" s="224" t="s">
        <v>8</v>
      </c>
      <c r="C707" s="224" t="s">
        <v>86</v>
      </c>
      <c r="D707" s="224" t="s">
        <v>9</v>
      </c>
      <c r="E707" s="224" t="s">
        <v>256</v>
      </c>
      <c r="F707" s="224" t="s">
        <v>249</v>
      </c>
      <c r="G707" s="223" t="str">
        <f>VLOOKUP($B707,'FRS geographical categories'!$A$2:$C$45,2,FALSE)</f>
        <v>Predominantly Urban</v>
      </c>
      <c r="H707" s="223" t="str">
        <f>VLOOKUP($B707,'FRS geographical categories'!$A$2:$C$45,3,FALSE)</f>
        <v>Non-metropolitan</v>
      </c>
      <c r="I707" s="224">
        <v>1460</v>
      </c>
    </row>
    <row r="708" spans="1:9" ht="15.5" x14ac:dyDescent="0.35">
      <c r="A708" s="224" t="s">
        <v>54</v>
      </c>
      <c r="B708" s="224" t="s">
        <v>8</v>
      </c>
      <c r="C708" s="224" t="s">
        <v>86</v>
      </c>
      <c r="D708" s="224" t="s">
        <v>9</v>
      </c>
      <c r="E708" s="224" t="s">
        <v>256</v>
      </c>
      <c r="F708" s="224" t="s">
        <v>250</v>
      </c>
      <c r="G708" s="223" t="str">
        <f>VLOOKUP($B708,'FRS geographical categories'!$A$2:$C$45,2,FALSE)</f>
        <v>Predominantly Urban</v>
      </c>
      <c r="H708" s="223" t="str">
        <f>VLOOKUP($B708,'FRS geographical categories'!$A$2:$C$45,3,FALSE)</f>
        <v>Non-metropolitan</v>
      </c>
      <c r="I708" s="224">
        <v>741</v>
      </c>
    </row>
    <row r="709" spans="1:9" ht="15.5" x14ac:dyDescent="0.35">
      <c r="A709" s="224" t="s">
        <v>54</v>
      </c>
      <c r="B709" s="224" t="s">
        <v>8</v>
      </c>
      <c r="C709" s="224" t="s">
        <v>86</v>
      </c>
      <c r="D709" s="224" t="s">
        <v>9</v>
      </c>
      <c r="E709" s="224" t="s">
        <v>256</v>
      </c>
      <c r="F709" s="224" t="s">
        <v>111</v>
      </c>
      <c r="G709" s="223" t="str">
        <f>VLOOKUP($B709,'FRS geographical categories'!$A$2:$C$45,2,FALSE)</f>
        <v>Predominantly Urban</v>
      </c>
      <c r="H709" s="223" t="str">
        <f>VLOOKUP($B709,'FRS geographical categories'!$A$2:$C$45,3,FALSE)</f>
        <v>Non-metropolitan</v>
      </c>
      <c r="I709" s="224">
        <v>2479</v>
      </c>
    </row>
    <row r="710" spans="1:9" ht="15.5" x14ac:dyDescent="0.35">
      <c r="A710" s="224" t="s">
        <v>54</v>
      </c>
      <c r="B710" s="224" t="s">
        <v>8</v>
      </c>
      <c r="C710" s="224" t="s">
        <v>86</v>
      </c>
      <c r="D710" s="224" t="s">
        <v>9</v>
      </c>
      <c r="E710" s="224" t="s">
        <v>256</v>
      </c>
      <c r="F710" s="224" t="s">
        <v>10</v>
      </c>
      <c r="G710" s="223" t="str">
        <f>VLOOKUP($B710,'FRS geographical categories'!$A$2:$C$45,2,FALSE)</f>
        <v>Predominantly Urban</v>
      </c>
      <c r="H710" s="223" t="str">
        <f>VLOOKUP($B710,'FRS geographical categories'!$A$2:$C$45,3,FALSE)</f>
        <v>Non-metropolitan</v>
      </c>
      <c r="I710" s="224">
        <v>3037</v>
      </c>
    </row>
    <row r="711" spans="1:9" ht="15.5" x14ac:dyDescent="0.35">
      <c r="A711" s="224" t="s">
        <v>54</v>
      </c>
      <c r="B711" s="224" t="s">
        <v>8</v>
      </c>
      <c r="C711" s="224" t="s">
        <v>86</v>
      </c>
      <c r="D711" s="224" t="s">
        <v>55</v>
      </c>
      <c r="E711" s="224" t="s">
        <v>256</v>
      </c>
      <c r="F711" s="224" t="s">
        <v>248</v>
      </c>
      <c r="G711" s="223" t="str">
        <f>VLOOKUP($B711,'FRS geographical categories'!$A$2:$C$45,2,FALSE)</f>
        <v>Predominantly Urban</v>
      </c>
      <c r="H711" s="223" t="str">
        <f>VLOOKUP($B711,'FRS geographical categories'!$A$2:$C$45,3,FALSE)</f>
        <v>Non-metropolitan</v>
      </c>
      <c r="I711" s="224">
        <v>0</v>
      </c>
    </row>
    <row r="712" spans="1:9" ht="15.5" x14ac:dyDescent="0.35">
      <c r="A712" s="224" t="s">
        <v>54</v>
      </c>
      <c r="B712" s="224" t="s">
        <v>8</v>
      </c>
      <c r="C712" s="224" t="s">
        <v>86</v>
      </c>
      <c r="D712" s="224" t="s">
        <v>55</v>
      </c>
      <c r="E712" s="224" t="s">
        <v>256</v>
      </c>
      <c r="F712" s="224" t="s">
        <v>249</v>
      </c>
      <c r="G712" s="223" t="str">
        <f>VLOOKUP($B712,'FRS geographical categories'!$A$2:$C$45,2,FALSE)</f>
        <v>Predominantly Urban</v>
      </c>
      <c r="H712" s="223" t="str">
        <f>VLOOKUP($B712,'FRS geographical categories'!$A$2:$C$45,3,FALSE)</f>
        <v>Non-metropolitan</v>
      </c>
      <c r="I712" s="224">
        <v>0</v>
      </c>
    </row>
    <row r="713" spans="1:9" ht="15.5" x14ac:dyDescent="0.35">
      <c r="A713" s="224" t="s">
        <v>54</v>
      </c>
      <c r="B713" s="224" t="s">
        <v>8</v>
      </c>
      <c r="C713" s="224" t="s">
        <v>86</v>
      </c>
      <c r="D713" s="224" t="s">
        <v>55</v>
      </c>
      <c r="E713" s="224" t="s">
        <v>256</v>
      </c>
      <c r="F713" s="224" t="s">
        <v>250</v>
      </c>
      <c r="G713" s="223" t="str">
        <f>VLOOKUP($B713,'FRS geographical categories'!$A$2:$C$45,2,FALSE)</f>
        <v>Predominantly Urban</v>
      </c>
      <c r="H713" s="223" t="str">
        <f>VLOOKUP($B713,'FRS geographical categories'!$A$2:$C$45,3,FALSE)</f>
        <v>Non-metropolitan</v>
      </c>
      <c r="I713" s="224">
        <v>0</v>
      </c>
    </row>
    <row r="714" spans="1:9" ht="15.5" x14ac:dyDescent="0.35">
      <c r="A714" s="224" t="s">
        <v>54</v>
      </c>
      <c r="B714" s="224" t="s">
        <v>8</v>
      </c>
      <c r="C714" s="224" t="s">
        <v>86</v>
      </c>
      <c r="D714" s="224" t="s">
        <v>55</v>
      </c>
      <c r="E714" s="224" t="s">
        <v>256</v>
      </c>
      <c r="F714" s="224" t="s">
        <v>111</v>
      </c>
      <c r="G714" s="223" t="str">
        <f>VLOOKUP($B714,'FRS geographical categories'!$A$2:$C$45,2,FALSE)</f>
        <v>Predominantly Urban</v>
      </c>
      <c r="H714" s="223" t="str">
        <f>VLOOKUP($B714,'FRS geographical categories'!$A$2:$C$45,3,FALSE)</f>
        <v>Non-metropolitan</v>
      </c>
      <c r="I714" s="224">
        <v>0</v>
      </c>
    </row>
    <row r="715" spans="1:9" ht="15.5" x14ac:dyDescent="0.35">
      <c r="A715" s="224" t="s">
        <v>54</v>
      </c>
      <c r="B715" s="224" t="s">
        <v>8</v>
      </c>
      <c r="C715" s="224" t="s">
        <v>86</v>
      </c>
      <c r="D715" s="224" t="s">
        <v>55</v>
      </c>
      <c r="E715" s="224" t="s">
        <v>256</v>
      </c>
      <c r="F715" s="224" t="s">
        <v>10</v>
      </c>
      <c r="G715" s="223" t="str">
        <f>VLOOKUP($B715,'FRS geographical categories'!$A$2:$C$45,2,FALSE)</f>
        <v>Predominantly Urban</v>
      </c>
      <c r="H715" s="223" t="str">
        <f>VLOOKUP($B715,'FRS geographical categories'!$A$2:$C$45,3,FALSE)</f>
        <v>Non-metropolitan</v>
      </c>
      <c r="I715" s="224">
        <v>0</v>
      </c>
    </row>
    <row r="716" spans="1:9" ht="15.5" x14ac:dyDescent="0.35">
      <c r="A716" s="224" t="s">
        <v>54</v>
      </c>
      <c r="B716" s="224" t="s">
        <v>8</v>
      </c>
      <c r="C716" s="224" t="s">
        <v>89</v>
      </c>
      <c r="D716" s="224" t="s">
        <v>9</v>
      </c>
      <c r="E716" s="224" t="s">
        <v>256</v>
      </c>
      <c r="F716" s="224" t="s">
        <v>248</v>
      </c>
      <c r="G716" s="223" t="str">
        <f>VLOOKUP($B716,'FRS geographical categories'!$A$2:$C$45,2,FALSE)</f>
        <v>Predominantly Urban</v>
      </c>
      <c r="H716" s="223" t="str">
        <f>VLOOKUP($B716,'FRS geographical categories'!$A$2:$C$45,3,FALSE)</f>
        <v>Non-metropolitan</v>
      </c>
      <c r="I716" s="224">
        <v>0</v>
      </c>
    </row>
    <row r="717" spans="1:9" ht="15.5" x14ac:dyDescent="0.35">
      <c r="A717" s="224" t="s">
        <v>54</v>
      </c>
      <c r="B717" s="224" t="s">
        <v>8</v>
      </c>
      <c r="C717" s="224" t="s">
        <v>89</v>
      </c>
      <c r="D717" s="224" t="s">
        <v>9</v>
      </c>
      <c r="E717" s="224" t="s">
        <v>256</v>
      </c>
      <c r="F717" s="224" t="s">
        <v>249</v>
      </c>
      <c r="G717" s="223" t="str">
        <f>VLOOKUP($B717,'FRS geographical categories'!$A$2:$C$45,2,FALSE)</f>
        <v>Predominantly Urban</v>
      </c>
      <c r="H717" s="223" t="str">
        <f>VLOOKUP($B717,'FRS geographical categories'!$A$2:$C$45,3,FALSE)</f>
        <v>Non-metropolitan</v>
      </c>
      <c r="I717" s="224">
        <v>0</v>
      </c>
    </row>
    <row r="718" spans="1:9" ht="15.5" x14ac:dyDescent="0.35">
      <c r="A718" s="224" t="s">
        <v>54</v>
      </c>
      <c r="B718" s="224" t="s">
        <v>8</v>
      </c>
      <c r="C718" s="224" t="s">
        <v>89</v>
      </c>
      <c r="D718" s="224" t="s">
        <v>9</v>
      </c>
      <c r="E718" s="224" t="s">
        <v>256</v>
      </c>
      <c r="F718" s="224" t="s">
        <v>250</v>
      </c>
      <c r="G718" s="223" t="str">
        <f>VLOOKUP($B718,'FRS geographical categories'!$A$2:$C$45,2,FALSE)</f>
        <v>Predominantly Urban</v>
      </c>
      <c r="H718" s="223" t="str">
        <f>VLOOKUP($B718,'FRS geographical categories'!$A$2:$C$45,3,FALSE)</f>
        <v>Non-metropolitan</v>
      </c>
      <c r="I718" s="224">
        <v>0</v>
      </c>
    </row>
    <row r="719" spans="1:9" ht="15.5" x14ac:dyDescent="0.35">
      <c r="A719" s="224" t="s">
        <v>54</v>
      </c>
      <c r="B719" s="224" t="s">
        <v>8</v>
      </c>
      <c r="C719" s="224" t="s">
        <v>89</v>
      </c>
      <c r="D719" s="224" t="s">
        <v>9</v>
      </c>
      <c r="E719" s="224" t="s">
        <v>256</v>
      </c>
      <c r="F719" s="224" t="s">
        <v>10</v>
      </c>
      <c r="G719" s="223" t="str">
        <f>VLOOKUP($B719,'FRS geographical categories'!$A$2:$C$45,2,FALSE)</f>
        <v>Predominantly Urban</v>
      </c>
      <c r="H719" s="223" t="str">
        <f>VLOOKUP($B719,'FRS geographical categories'!$A$2:$C$45,3,FALSE)</f>
        <v>Non-metropolitan</v>
      </c>
      <c r="I719" s="224">
        <v>0</v>
      </c>
    </row>
    <row r="720" spans="1:9" ht="15.5" x14ac:dyDescent="0.35">
      <c r="A720" s="224" t="s">
        <v>54</v>
      </c>
      <c r="B720" s="224" t="s">
        <v>8</v>
      </c>
      <c r="C720" s="224" t="s">
        <v>89</v>
      </c>
      <c r="D720" s="224" t="s">
        <v>55</v>
      </c>
      <c r="E720" s="224" t="s">
        <v>256</v>
      </c>
      <c r="F720" s="224" t="s">
        <v>248</v>
      </c>
      <c r="G720" s="223" t="str">
        <f>VLOOKUP($B720,'FRS geographical categories'!$A$2:$C$45,2,FALSE)</f>
        <v>Predominantly Urban</v>
      </c>
      <c r="H720" s="223" t="str">
        <f>VLOOKUP($B720,'FRS geographical categories'!$A$2:$C$45,3,FALSE)</f>
        <v>Non-metropolitan</v>
      </c>
      <c r="I720" s="224">
        <v>0</v>
      </c>
    </row>
    <row r="721" spans="1:9" ht="15.5" x14ac:dyDescent="0.35">
      <c r="A721" s="224" t="s">
        <v>54</v>
      </c>
      <c r="B721" s="224" t="s">
        <v>8</v>
      </c>
      <c r="C721" s="224" t="s">
        <v>89</v>
      </c>
      <c r="D721" s="224" t="s">
        <v>55</v>
      </c>
      <c r="E721" s="224" t="s">
        <v>256</v>
      </c>
      <c r="F721" s="224" t="s">
        <v>249</v>
      </c>
      <c r="G721" s="223" t="str">
        <f>VLOOKUP($B721,'FRS geographical categories'!$A$2:$C$45,2,FALSE)</f>
        <v>Predominantly Urban</v>
      </c>
      <c r="H721" s="223" t="str">
        <f>VLOOKUP($B721,'FRS geographical categories'!$A$2:$C$45,3,FALSE)</f>
        <v>Non-metropolitan</v>
      </c>
      <c r="I721" s="224">
        <v>0</v>
      </c>
    </row>
    <row r="722" spans="1:9" ht="15.5" x14ac:dyDescent="0.35">
      <c r="A722" s="224" t="s">
        <v>54</v>
      </c>
      <c r="B722" s="224" t="s">
        <v>8</v>
      </c>
      <c r="C722" s="224" t="s">
        <v>89</v>
      </c>
      <c r="D722" s="224" t="s">
        <v>55</v>
      </c>
      <c r="E722" s="224" t="s">
        <v>256</v>
      </c>
      <c r="F722" s="224" t="s">
        <v>250</v>
      </c>
      <c r="G722" s="223" t="str">
        <f>VLOOKUP($B722,'FRS geographical categories'!$A$2:$C$45,2,FALSE)</f>
        <v>Predominantly Urban</v>
      </c>
      <c r="H722" s="223" t="str">
        <f>VLOOKUP($B722,'FRS geographical categories'!$A$2:$C$45,3,FALSE)</f>
        <v>Non-metropolitan</v>
      </c>
      <c r="I722" s="224">
        <v>0</v>
      </c>
    </row>
    <row r="723" spans="1:9" ht="15.5" x14ac:dyDescent="0.35">
      <c r="A723" s="224" t="s">
        <v>54</v>
      </c>
      <c r="B723" s="224" t="s">
        <v>8</v>
      </c>
      <c r="C723" s="224" t="s">
        <v>89</v>
      </c>
      <c r="D723" s="224" t="s">
        <v>55</v>
      </c>
      <c r="E723" s="224" t="s">
        <v>256</v>
      </c>
      <c r="F723" s="224" t="s">
        <v>10</v>
      </c>
      <c r="G723" s="223" t="str">
        <f>VLOOKUP($B723,'FRS geographical categories'!$A$2:$C$45,2,FALSE)</f>
        <v>Predominantly Urban</v>
      </c>
      <c r="H723" s="223" t="str">
        <f>VLOOKUP($B723,'FRS geographical categories'!$A$2:$C$45,3,FALSE)</f>
        <v>Non-metropolitan</v>
      </c>
      <c r="I723" s="224">
        <v>0</v>
      </c>
    </row>
    <row r="724" spans="1:9" ht="15.5" x14ac:dyDescent="0.35">
      <c r="A724" s="224" t="s">
        <v>54</v>
      </c>
      <c r="B724" s="224" t="s">
        <v>11</v>
      </c>
      <c r="C724" s="224" t="s">
        <v>86</v>
      </c>
      <c r="D724" s="224" t="s">
        <v>9</v>
      </c>
      <c r="E724" s="224" t="s">
        <v>256</v>
      </c>
      <c r="F724" s="224" t="s">
        <v>248</v>
      </c>
      <c r="G724" s="223" t="str">
        <f>VLOOKUP($B724,'FRS geographical categories'!$A$2:$C$45,2,FALSE)</f>
        <v>Significantly Rural</v>
      </c>
      <c r="H724" s="223" t="str">
        <f>VLOOKUP($B724,'FRS geographical categories'!$A$2:$C$45,3,FALSE)</f>
        <v>Non-metropolitan</v>
      </c>
      <c r="I724" s="224">
        <v>236</v>
      </c>
    </row>
    <row r="725" spans="1:9" ht="15.5" x14ac:dyDescent="0.35">
      <c r="A725" s="224" t="s">
        <v>54</v>
      </c>
      <c r="B725" s="224" t="s">
        <v>11</v>
      </c>
      <c r="C725" s="224" t="s">
        <v>86</v>
      </c>
      <c r="D725" s="224" t="s">
        <v>9</v>
      </c>
      <c r="E725" s="224" t="s">
        <v>256</v>
      </c>
      <c r="F725" s="224" t="s">
        <v>249</v>
      </c>
      <c r="G725" s="223" t="str">
        <f>VLOOKUP($B725,'FRS geographical categories'!$A$2:$C$45,2,FALSE)</f>
        <v>Significantly Rural</v>
      </c>
      <c r="H725" s="223" t="str">
        <f>VLOOKUP($B725,'FRS geographical categories'!$A$2:$C$45,3,FALSE)</f>
        <v>Non-metropolitan</v>
      </c>
      <c r="I725" s="224">
        <v>271</v>
      </c>
    </row>
    <row r="726" spans="1:9" ht="15.5" x14ac:dyDescent="0.35">
      <c r="A726" s="224" t="s">
        <v>54</v>
      </c>
      <c r="B726" s="224" t="s">
        <v>11</v>
      </c>
      <c r="C726" s="224" t="s">
        <v>86</v>
      </c>
      <c r="D726" s="224" t="s">
        <v>9</v>
      </c>
      <c r="E726" s="224" t="s">
        <v>256</v>
      </c>
      <c r="F726" s="224" t="s">
        <v>250</v>
      </c>
      <c r="G726" s="223" t="str">
        <f>VLOOKUP($B726,'FRS geographical categories'!$A$2:$C$45,2,FALSE)</f>
        <v>Significantly Rural</v>
      </c>
      <c r="H726" s="223" t="str">
        <f>VLOOKUP($B726,'FRS geographical categories'!$A$2:$C$45,3,FALSE)</f>
        <v>Non-metropolitan</v>
      </c>
      <c r="I726" s="224">
        <v>1755</v>
      </c>
    </row>
    <row r="727" spans="1:9" ht="15.5" x14ac:dyDescent="0.35">
      <c r="A727" s="224" t="s">
        <v>54</v>
      </c>
      <c r="B727" s="224" t="s">
        <v>11</v>
      </c>
      <c r="C727" s="224" t="s">
        <v>86</v>
      </c>
      <c r="D727" s="224" t="s">
        <v>9</v>
      </c>
      <c r="E727" s="224" t="s">
        <v>256</v>
      </c>
      <c r="F727" s="224" t="s">
        <v>111</v>
      </c>
      <c r="G727" s="223" t="str">
        <f>VLOOKUP($B727,'FRS geographical categories'!$A$2:$C$45,2,FALSE)</f>
        <v>Significantly Rural</v>
      </c>
      <c r="H727" s="223" t="str">
        <f>VLOOKUP($B727,'FRS geographical categories'!$A$2:$C$45,3,FALSE)</f>
        <v>Non-metropolitan</v>
      </c>
      <c r="I727" s="224">
        <v>3777</v>
      </c>
    </row>
    <row r="728" spans="1:9" ht="15.5" x14ac:dyDescent="0.35">
      <c r="A728" s="224" t="s">
        <v>54</v>
      </c>
      <c r="B728" s="224" t="s">
        <v>11</v>
      </c>
      <c r="C728" s="224" t="s">
        <v>86</v>
      </c>
      <c r="D728" s="224" t="s">
        <v>9</v>
      </c>
      <c r="E728" s="224" t="s">
        <v>256</v>
      </c>
      <c r="F728" s="224" t="s">
        <v>10</v>
      </c>
      <c r="G728" s="223" t="str">
        <f>VLOOKUP($B728,'FRS geographical categories'!$A$2:$C$45,2,FALSE)</f>
        <v>Significantly Rural</v>
      </c>
      <c r="H728" s="223" t="str">
        <f>VLOOKUP($B728,'FRS geographical categories'!$A$2:$C$45,3,FALSE)</f>
        <v>Non-metropolitan</v>
      </c>
      <c r="I728" s="224">
        <v>4124</v>
      </c>
    </row>
    <row r="729" spans="1:9" ht="15.5" x14ac:dyDescent="0.35">
      <c r="A729" s="224" t="s">
        <v>54</v>
      </c>
      <c r="B729" s="224" t="s">
        <v>11</v>
      </c>
      <c r="C729" s="224" t="s">
        <v>86</v>
      </c>
      <c r="D729" s="224" t="s">
        <v>55</v>
      </c>
      <c r="E729" s="224" t="s">
        <v>256</v>
      </c>
      <c r="F729" s="224" t="s">
        <v>248</v>
      </c>
      <c r="G729" s="223" t="str">
        <f>VLOOKUP($B729,'FRS geographical categories'!$A$2:$C$45,2,FALSE)</f>
        <v>Significantly Rural</v>
      </c>
      <c r="H729" s="223" t="str">
        <f>VLOOKUP($B729,'FRS geographical categories'!$A$2:$C$45,3,FALSE)</f>
        <v>Non-metropolitan</v>
      </c>
      <c r="I729" s="224">
        <v>4</v>
      </c>
    </row>
    <row r="730" spans="1:9" ht="15.5" x14ac:dyDescent="0.35">
      <c r="A730" s="224" t="s">
        <v>54</v>
      </c>
      <c r="B730" s="224" t="s">
        <v>11</v>
      </c>
      <c r="C730" s="224" t="s">
        <v>86</v>
      </c>
      <c r="D730" s="224" t="s">
        <v>55</v>
      </c>
      <c r="E730" s="224" t="s">
        <v>256</v>
      </c>
      <c r="F730" s="224" t="s">
        <v>249</v>
      </c>
      <c r="G730" s="223" t="str">
        <f>VLOOKUP($B730,'FRS geographical categories'!$A$2:$C$45,2,FALSE)</f>
        <v>Significantly Rural</v>
      </c>
      <c r="H730" s="223" t="str">
        <f>VLOOKUP($B730,'FRS geographical categories'!$A$2:$C$45,3,FALSE)</f>
        <v>Non-metropolitan</v>
      </c>
      <c r="I730" s="224">
        <v>10</v>
      </c>
    </row>
    <row r="731" spans="1:9" ht="15.5" x14ac:dyDescent="0.35">
      <c r="A731" s="224" t="s">
        <v>54</v>
      </c>
      <c r="B731" s="224" t="s">
        <v>11</v>
      </c>
      <c r="C731" s="224" t="s">
        <v>86</v>
      </c>
      <c r="D731" s="224" t="s">
        <v>55</v>
      </c>
      <c r="E731" s="224" t="s">
        <v>256</v>
      </c>
      <c r="F731" s="224" t="s">
        <v>250</v>
      </c>
      <c r="G731" s="223" t="str">
        <f>VLOOKUP($B731,'FRS geographical categories'!$A$2:$C$45,2,FALSE)</f>
        <v>Significantly Rural</v>
      </c>
      <c r="H731" s="223" t="str">
        <f>VLOOKUP($B731,'FRS geographical categories'!$A$2:$C$45,3,FALSE)</f>
        <v>Non-metropolitan</v>
      </c>
      <c r="I731" s="224">
        <v>990</v>
      </c>
    </row>
    <row r="732" spans="1:9" ht="15.5" x14ac:dyDescent="0.35">
      <c r="A732" s="224" t="s">
        <v>54</v>
      </c>
      <c r="B732" s="224" t="s">
        <v>11</v>
      </c>
      <c r="C732" s="224" t="s">
        <v>86</v>
      </c>
      <c r="D732" s="224" t="s">
        <v>55</v>
      </c>
      <c r="E732" s="224" t="s">
        <v>256</v>
      </c>
      <c r="F732" s="224" t="s">
        <v>111</v>
      </c>
      <c r="G732" s="223" t="str">
        <f>VLOOKUP($B732,'FRS geographical categories'!$A$2:$C$45,2,FALSE)</f>
        <v>Significantly Rural</v>
      </c>
      <c r="H732" s="223" t="str">
        <f>VLOOKUP($B732,'FRS geographical categories'!$A$2:$C$45,3,FALSE)</f>
        <v>Non-metropolitan</v>
      </c>
      <c r="I732" s="224">
        <v>2140</v>
      </c>
    </row>
    <row r="733" spans="1:9" ht="15.5" x14ac:dyDescent="0.35">
      <c r="A733" s="224" t="s">
        <v>54</v>
      </c>
      <c r="B733" s="224" t="s">
        <v>11</v>
      </c>
      <c r="C733" s="224" t="s">
        <v>86</v>
      </c>
      <c r="D733" s="224" t="s">
        <v>55</v>
      </c>
      <c r="E733" s="224" t="s">
        <v>256</v>
      </c>
      <c r="F733" s="224" t="s">
        <v>10</v>
      </c>
      <c r="G733" s="223" t="str">
        <f>VLOOKUP($B733,'FRS geographical categories'!$A$2:$C$45,2,FALSE)</f>
        <v>Significantly Rural</v>
      </c>
      <c r="H733" s="223" t="str">
        <f>VLOOKUP($B733,'FRS geographical categories'!$A$2:$C$45,3,FALSE)</f>
        <v>Non-metropolitan</v>
      </c>
      <c r="I733" s="224">
        <v>2607</v>
      </c>
    </row>
    <row r="734" spans="1:9" ht="15.5" x14ac:dyDescent="0.35">
      <c r="A734" s="224" t="s">
        <v>54</v>
      </c>
      <c r="B734" s="224" t="s">
        <v>11</v>
      </c>
      <c r="C734" s="224" t="s">
        <v>89</v>
      </c>
      <c r="D734" s="224" t="s">
        <v>9</v>
      </c>
      <c r="E734" s="224" t="s">
        <v>256</v>
      </c>
      <c r="F734" s="224" t="s">
        <v>248</v>
      </c>
      <c r="G734" s="223" t="str">
        <f>VLOOKUP($B734,'FRS geographical categories'!$A$2:$C$45,2,FALSE)</f>
        <v>Significantly Rural</v>
      </c>
      <c r="H734" s="223" t="str">
        <f>VLOOKUP($B734,'FRS geographical categories'!$A$2:$C$45,3,FALSE)</f>
        <v>Non-metropolitan</v>
      </c>
      <c r="I734" s="224">
        <v>27</v>
      </c>
    </row>
    <row r="735" spans="1:9" ht="15.5" x14ac:dyDescent="0.35">
      <c r="A735" s="224" t="s">
        <v>54</v>
      </c>
      <c r="B735" s="224" t="s">
        <v>11</v>
      </c>
      <c r="C735" s="224" t="s">
        <v>89</v>
      </c>
      <c r="D735" s="224" t="s">
        <v>9</v>
      </c>
      <c r="E735" s="224" t="s">
        <v>256</v>
      </c>
      <c r="F735" s="224" t="s">
        <v>249</v>
      </c>
      <c r="G735" s="223" t="str">
        <f>VLOOKUP($B735,'FRS geographical categories'!$A$2:$C$45,2,FALSE)</f>
        <v>Significantly Rural</v>
      </c>
      <c r="H735" s="223" t="str">
        <f>VLOOKUP($B735,'FRS geographical categories'!$A$2:$C$45,3,FALSE)</f>
        <v>Non-metropolitan</v>
      </c>
      <c r="I735" s="224">
        <v>1</v>
      </c>
    </row>
    <row r="736" spans="1:9" ht="15.5" x14ac:dyDescent="0.35">
      <c r="A736" s="224" t="s">
        <v>54</v>
      </c>
      <c r="B736" s="224" t="s">
        <v>11</v>
      </c>
      <c r="C736" s="224" t="s">
        <v>89</v>
      </c>
      <c r="D736" s="224" t="s">
        <v>9</v>
      </c>
      <c r="E736" s="224" t="s">
        <v>256</v>
      </c>
      <c r="F736" s="224" t="s">
        <v>250</v>
      </c>
      <c r="G736" s="223" t="str">
        <f>VLOOKUP($B736,'FRS geographical categories'!$A$2:$C$45,2,FALSE)</f>
        <v>Significantly Rural</v>
      </c>
      <c r="H736" s="223" t="str">
        <f>VLOOKUP($B736,'FRS geographical categories'!$A$2:$C$45,3,FALSE)</f>
        <v>Non-metropolitan</v>
      </c>
      <c r="I736" s="224">
        <v>19</v>
      </c>
    </row>
    <row r="737" spans="1:9" ht="15.5" x14ac:dyDescent="0.35">
      <c r="A737" s="224" t="s">
        <v>54</v>
      </c>
      <c r="B737" s="224" t="s">
        <v>11</v>
      </c>
      <c r="C737" s="224" t="s">
        <v>89</v>
      </c>
      <c r="D737" s="224" t="s">
        <v>9</v>
      </c>
      <c r="E737" s="224" t="s">
        <v>256</v>
      </c>
      <c r="F737" s="224" t="s">
        <v>10</v>
      </c>
      <c r="G737" s="223" t="str">
        <f>VLOOKUP($B737,'FRS geographical categories'!$A$2:$C$45,2,FALSE)</f>
        <v>Significantly Rural</v>
      </c>
      <c r="H737" s="223" t="str">
        <f>VLOOKUP($B737,'FRS geographical categories'!$A$2:$C$45,3,FALSE)</f>
        <v>Non-metropolitan</v>
      </c>
      <c r="I737" s="224">
        <v>61</v>
      </c>
    </row>
    <row r="738" spans="1:9" ht="15.5" x14ac:dyDescent="0.35">
      <c r="A738" s="224" t="s">
        <v>54</v>
      </c>
      <c r="B738" s="224" t="s">
        <v>11</v>
      </c>
      <c r="C738" s="224" t="s">
        <v>89</v>
      </c>
      <c r="D738" s="224" t="s">
        <v>55</v>
      </c>
      <c r="E738" s="224" t="s">
        <v>256</v>
      </c>
      <c r="F738" s="224" t="s">
        <v>248</v>
      </c>
      <c r="G738" s="223" t="str">
        <f>VLOOKUP($B738,'FRS geographical categories'!$A$2:$C$45,2,FALSE)</f>
        <v>Significantly Rural</v>
      </c>
      <c r="H738" s="223" t="str">
        <f>VLOOKUP($B738,'FRS geographical categories'!$A$2:$C$45,3,FALSE)</f>
        <v>Non-metropolitan</v>
      </c>
      <c r="I738" s="224">
        <v>8</v>
      </c>
    </row>
    <row r="739" spans="1:9" ht="15.5" x14ac:dyDescent="0.35">
      <c r="A739" s="224" t="s">
        <v>54</v>
      </c>
      <c r="B739" s="224" t="s">
        <v>11</v>
      </c>
      <c r="C739" s="224" t="s">
        <v>89</v>
      </c>
      <c r="D739" s="224" t="s">
        <v>55</v>
      </c>
      <c r="E739" s="224" t="s">
        <v>256</v>
      </c>
      <c r="F739" s="224" t="s">
        <v>249</v>
      </c>
      <c r="G739" s="223" t="str">
        <f>VLOOKUP($B739,'FRS geographical categories'!$A$2:$C$45,2,FALSE)</f>
        <v>Significantly Rural</v>
      </c>
      <c r="H739" s="223" t="str">
        <f>VLOOKUP($B739,'FRS geographical categories'!$A$2:$C$45,3,FALSE)</f>
        <v>Non-metropolitan</v>
      </c>
      <c r="I739" s="224">
        <v>0</v>
      </c>
    </row>
    <row r="740" spans="1:9" ht="15.5" x14ac:dyDescent="0.35">
      <c r="A740" s="224" t="s">
        <v>54</v>
      </c>
      <c r="B740" s="224" t="s">
        <v>11</v>
      </c>
      <c r="C740" s="224" t="s">
        <v>89</v>
      </c>
      <c r="D740" s="224" t="s">
        <v>55</v>
      </c>
      <c r="E740" s="224" t="s">
        <v>256</v>
      </c>
      <c r="F740" s="224" t="s">
        <v>250</v>
      </c>
      <c r="G740" s="223" t="str">
        <f>VLOOKUP($B740,'FRS geographical categories'!$A$2:$C$45,2,FALSE)</f>
        <v>Significantly Rural</v>
      </c>
      <c r="H740" s="223" t="str">
        <f>VLOOKUP($B740,'FRS geographical categories'!$A$2:$C$45,3,FALSE)</f>
        <v>Non-metropolitan</v>
      </c>
      <c r="I740" s="224">
        <v>6</v>
      </c>
    </row>
    <row r="741" spans="1:9" ht="15.5" x14ac:dyDescent="0.35">
      <c r="A741" s="224" t="s">
        <v>54</v>
      </c>
      <c r="B741" s="224" t="s">
        <v>11</v>
      </c>
      <c r="C741" s="224" t="s">
        <v>89</v>
      </c>
      <c r="D741" s="224" t="s">
        <v>55</v>
      </c>
      <c r="E741" s="224" t="s">
        <v>256</v>
      </c>
      <c r="F741" s="224" t="s">
        <v>10</v>
      </c>
      <c r="G741" s="223" t="str">
        <f>VLOOKUP($B741,'FRS geographical categories'!$A$2:$C$45,2,FALSE)</f>
        <v>Significantly Rural</v>
      </c>
      <c r="H741" s="223" t="str">
        <f>VLOOKUP($B741,'FRS geographical categories'!$A$2:$C$45,3,FALSE)</f>
        <v>Non-metropolitan</v>
      </c>
      <c r="I741" s="224">
        <v>16</v>
      </c>
    </row>
    <row r="742" spans="1:9" ht="15.5" x14ac:dyDescent="0.35">
      <c r="A742" s="224" t="s">
        <v>54</v>
      </c>
      <c r="B742" s="224" t="s">
        <v>12</v>
      </c>
      <c r="C742" s="224" t="s">
        <v>86</v>
      </c>
      <c r="D742" s="224" t="s">
        <v>9</v>
      </c>
      <c r="E742" s="224" t="s">
        <v>256</v>
      </c>
      <c r="F742" s="224" t="s">
        <v>248</v>
      </c>
      <c r="G742" s="223" t="str">
        <f>VLOOKUP($B742,'FRS geographical categories'!$A$2:$C$45,2,FALSE)</f>
        <v>Predominantly Urban</v>
      </c>
      <c r="H742" s="223" t="str">
        <f>VLOOKUP($B742,'FRS geographical categories'!$A$2:$C$45,3,FALSE)</f>
        <v>Non-metropolitan</v>
      </c>
      <c r="I742" s="224">
        <v>99</v>
      </c>
    </row>
    <row r="743" spans="1:9" ht="15.5" x14ac:dyDescent="0.35">
      <c r="A743" s="224" t="s">
        <v>54</v>
      </c>
      <c r="B743" s="224" t="s">
        <v>12</v>
      </c>
      <c r="C743" s="224" t="s">
        <v>86</v>
      </c>
      <c r="D743" s="224" t="s">
        <v>9</v>
      </c>
      <c r="E743" s="224" t="s">
        <v>256</v>
      </c>
      <c r="F743" s="224" t="s">
        <v>249</v>
      </c>
      <c r="G743" s="223" t="str">
        <f>VLOOKUP($B743,'FRS geographical categories'!$A$2:$C$45,2,FALSE)</f>
        <v>Predominantly Urban</v>
      </c>
      <c r="H743" s="223" t="str">
        <f>VLOOKUP($B743,'FRS geographical categories'!$A$2:$C$45,3,FALSE)</f>
        <v>Non-metropolitan</v>
      </c>
      <c r="I743" s="224">
        <v>591</v>
      </c>
    </row>
    <row r="744" spans="1:9" ht="15.5" x14ac:dyDescent="0.35">
      <c r="A744" s="224" t="s">
        <v>54</v>
      </c>
      <c r="B744" s="224" t="s">
        <v>12</v>
      </c>
      <c r="C744" s="224" t="s">
        <v>86</v>
      </c>
      <c r="D744" s="224" t="s">
        <v>9</v>
      </c>
      <c r="E744" s="224" t="s">
        <v>256</v>
      </c>
      <c r="F744" s="224" t="s">
        <v>250</v>
      </c>
      <c r="G744" s="223" t="str">
        <f>VLOOKUP($B744,'FRS geographical categories'!$A$2:$C$45,2,FALSE)</f>
        <v>Predominantly Urban</v>
      </c>
      <c r="H744" s="223" t="str">
        <f>VLOOKUP($B744,'FRS geographical categories'!$A$2:$C$45,3,FALSE)</f>
        <v>Non-metropolitan</v>
      </c>
      <c r="I744" s="224">
        <v>960</v>
      </c>
    </row>
    <row r="745" spans="1:9" ht="15.5" x14ac:dyDescent="0.35">
      <c r="A745" s="224" t="s">
        <v>54</v>
      </c>
      <c r="B745" s="224" t="s">
        <v>12</v>
      </c>
      <c r="C745" s="224" t="s">
        <v>86</v>
      </c>
      <c r="D745" s="224" t="s">
        <v>9</v>
      </c>
      <c r="E745" s="224" t="s">
        <v>256</v>
      </c>
      <c r="F745" s="224" t="s">
        <v>111</v>
      </c>
      <c r="G745" s="223" t="str">
        <f>VLOOKUP($B745,'FRS geographical categories'!$A$2:$C$45,2,FALSE)</f>
        <v>Predominantly Urban</v>
      </c>
      <c r="H745" s="223" t="str">
        <f>VLOOKUP($B745,'FRS geographical categories'!$A$2:$C$45,3,FALSE)</f>
        <v>Non-metropolitan</v>
      </c>
      <c r="I745" s="224">
        <v>1949</v>
      </c>
    </row>
    <row r="746" spans="1:9" ht="15.5" x14ac:dyDescent="0.35">
      <c r="A746" s="224" t="s">
        <v>54</v>
      </c>
      <c r="B746" s="224" t="s">
        <v>12</v>
      </c>
      <c r="C746" s="224" t="s">
        <v>86</v>
      </c>
      <c r="D746" s="224" t="s">
        <v>9</v>
      </c>
      <c r="E746" s="224" t="s">
        <v>256</v>
      </c>
      <c r="F746" s="224" t="s">
        <v>10</v>
      </c>
      <c r="G746" s="223" t="str">
        <f>VLOOKUP($B746,'FRS geographical categories'!$A$2:$C$45,2,FALSE)</f>
        <v>Predominantly Urban</v>
      </c>
      <c r="H746" s="223" t="str">
        <f>VLOOKUP($B746,'FRS geographical categories'!$A$2:$C$45,3,FALSE)</f>
        <v>Non-metropolitan</v>
      </c>
      <c r="I746" s="224">
        <v>1949</v>
      </c>
    </row>
    <row r="747" spans="1:9" ht="15.5" x14ac:dyDescent="0.35">
      <c r="A747" s="224" t="s">
        <v>54</v>
      </c>
      <c r="B747" s="224" t="s">
        <v>12</v>
      </c>
      <c r="C747" s="224" t="s">
        <v>86</v>
      </c>
      <c r="D747" s="224" t="s">
        <v>55</v>
      </c>
      <c r="E747" s="224" t="s">
        <v>256</v>
      </c>
      <c r="F747" s="224" t="s">
        <v>248</v>
      </c>
      <c r="G747" s="223" t="str">
        <f>VLOOKUP($B747,'FRS geographical categories'!$A$2:$C$45,2,FALSE)</f>
        <v>Predominantly Urban</v>
      </c>
      <c r="H747" s="223" t="str">
        <f>VLOOKUP($B747,'FRS geographical categories'!$A$2:$C$45,3,FALSE)</f>
        <v>Non-metropolitan</v>
      </c>
      <c r="I747" s="224">
        <v>0</v>
      </c>
    </row>
    <row r="748" spans="1:9" ht="15.5" x14ac:dyDescent="0.35">
      <c r="A748" s="224" t="s">
        <v>54</v>
      </c>
      <c r="B748" s="224" t="s">
        <v>12</v>
      </c>
      <c r="C748" s="224" t="s">
        <v>86</v>
      </c>
      <c r="D748" s="224" t="s">
        <v>55</v>
      </c>
      <c r="E748" s="224" t="s">
        <v>256</v>
      </c>
      <c r="F748" s="224" t="s">
        <v>249</v>
      </c>
      <c r="G748" s="223" t="str">
        <f>VLOOKUP($B748,'FRS geographical categories'!$A$2:$C$45,2,FALSE)</f>
        <v>Predominantly Urban</v>
      </c>
      <c r="H748" s="223" t="str">
        <f>VLOOKUP($B748,'FRS geographical categories'!$A$2:$C$45,3,FALSE)</f>
        <v>Non-metropolitan</v>
      </c>
      <c r="I748" s="224">
        <v>0</v>
      </c>
    </row>
    <row r="749" spans="1:9" ht="15.5" x14ac:dyDescent="0.35">
      <c r="A749" s="224" t="s">
        <v>54</v>
      </c>
      <c r="B749" s="224" t="s">
        <v>12</v>
      </c>
      <c r="C749" s="224" t="s">
        <v>86</v>
      </c>
      <c r="D749" s="224" t="s">
        <v>55</v>
      </c>
      <c r="E749" s="224" t="s">
        <v>256</v>
      </c>
      <c r="F749" s="224" t="s">
        <v>250</v>
      </c>
      <c r="G749" s="223" t="str">
        <f>VLOOKUP($B749,'FRS geographical categories'!$A$2:$C$45,2,FALSE)</f>
        <v>Predominantly Urban</v>
      </c>
      <c r="H749" s="223" t="str">
        <f>VLOOKUP($B749,'FRS geographical categories'!$A$2:$C$45,3,FALSE)</f>
        <v>Non-metropolitan</v>
      </c>
      <c r="I749" s="224">
        <v>0</v>
      </c>
    </row>
    <row r="750" spans="1:9" ht="15.5" x14ac:dyDescent="0.35">
      <c r="A750" s="224" t="s">
        <v>54</v>
      </c>
      <c r="B750" s="224" t="s">
        <v>12</v>
      </c>
      <c r="C750" s="224" t="s">
        <v>86</v>
      </c>
      <c r="D750" s="224" t="s">
        <v>55</v>
      </c>
      <c r="E750" s="224" t="s">
        <v>256</v>
      </c>
      <c r="F750" s="224" t="s">
        <v>111</v>
      </c>
      <c r="G750" s="223" t="str">
        <f>VLOOKUP($B750,'FRS geographical categories'!$A$2:$C$45,2,FALSE)</f>
        <v>Predominantly Urban</v>
      </c>
      <c r="H750" s="223" t="str">
        <f>VLOOKUP($B750,'FRS geographical categories'!$A$2:$C$45,3,FALSE)</f>
        <v>Non-metropolitan</v>
      </c>
      <c r="I750" s="224">
        <v>71</v>
      </c>
    </row>
    <row r="751" spans="1:9" ht="15.5" x14ac:dyDescent="0.35">
      <c r="A751" s="224" t="s">
        <v>54</v>
      </c>
      <c r="B751" s="224" t="s">
        <v>12</v>
      </c>
      <c r="C751" s="224" t="s">
        <v>86</v>
      </c>
      <c r="D751" s="224" t="s">
        <v>55</v>
      </c>
      <c r="E751" s="224" t="s">
        <v>256</v>
      </c>
      <c r="F751" s="224" t="s">
        <v>10</v>
      </c>
      <c r="G751" s="223" t="str">
        <f>VLOOKUP($B751,'FRS geographical categories'!$A$2:$C$45,2,FALSE)</f>
        <v>Predominantly Urban</v>
      </c>
      <c r="H751" s="223" t="str">
        <f>VLOOKUP($B751,'FRS geographical categories'!$A$2:$C$45,3,FALSE)</f>
        <v>Non-metropolitan</v>
      </c>
      <c r="I751" s="224">
        <v>71</v>
      </c>
    </row>
    <row r="752" spans="1:9" ht="15.5" x14ac:dyDescent="0.35">
      <c r="A752" s="224" t="s">
        <v>54</v>
      </c>
      <c r="B752" s="224" t="s">
        <v>12</v>
      </c>
      <c r="C752" s="224" t="s">
        <v>89</v>
      </c>
      <c r="D752" s="224" t="s">
        <v>9</v>
      </c>
      <c r="E752" s="224" t="s">
        <v>256</v>
      </c>
      <c r="F752" s="224" t="s">
        <v>248</v>
      </c>
      <c r="G752" s="223" t="str">
        <f>VLOOKUP($B752,'FRS geographical categories'!$A$2:$C$45,2,FALSE)</f>
        <v>Predominantly Urban</v>
      </c>
      <c r="H752" s="223" t="str">
        <f>VLOOKUP($B752,'FRS geographical categories'!$A$2:$C$45,3,FALSE)</f>
        <v>Non-metropolitan</v>
      </c>
      <c r="I752" s="224">
        <v>0</v>
      </c>
    </row>
    <row r="753" spans="1:9" ht="15.5" x14ac:dyDescent="0.35">
      <c r="A753" s="224" t="s">
        <v>54</v>
      </c>
      <c r="B753" s="224" t="s">
        <v>12</v>
      </c>
      <c r="C753" s="224" t="s">
        <v>89</v>
      </c>
      <c r="D753" s="224" t="s">
        <v>9</v>
      </c>
      <c r="E753" s="224" t="s">
        <v>256</v>
      </c>
      <c r="F753" s="224" t="s">
        <v>249</v>
      </c>
      <c r="G753" s="223" t="str">
        <f>VLOOKUP($B753,'FRS geographical categories'!$A$2:$C$45,2,FALSE)</f>
        <v>Predominantly Urban</v>
      </c>
      <c r="H753" s="223" t="str">
        <f>VLOOKUP($B753,'FRS geographical categories'!$A$2:$C$45,3,FALSE)</f>
        <v>Non-metropolitan</v>
      </c>
      <c r="I753" s="224">
        <v>0</v>
      </c>
    </row>
    <row r="754" spans="1:9" ht="15.5" x14ac:dyDescent="0.35">
      <c r="A754" s="224" t="s">
        <v>54</v>
      </c>
      <c r="B754" s="224" t="s">
        <v>12</v>
      </c>
      <c r="C754" s="224" t="s">
        <v>89</v>
      </c>
      <c r="D754" s="224" t="s">
        <v>9</v>
      </c>
      <c r="E754" s="224" t="s">
        <v>256</v>
      </c>
      <c r="F754" s="224" t="s">
        <v>250</v>
      </c>
      <c r="G754" s="223" t="str">
        <f>VLOOKUP($B754,'FRS geographical categories'!$A$2:$C$45,2,FALSE)</f>
        <v>Predominantly Urban</v>
      </c>
      <c r="H754" s="223" t="str">
        <f>VLOOKUP($B754,'FRS geographical categories'!$A$2:$C$45,3,FALSE)</f>
        <v>Non-metropolitan</v>
      </c>
      <c r="I754" s="224">
        <v>0</v>
      </c>
    </row>
    <row r="755" spans="1:9" ht="15.5" x14ac:dyDescent="0.35">
      <c r="A755" s="224" t="s">
        <v>54</v>
      </c>
      <c r="B755" s="224" t="s">
        <v>12</v>
      </c>
      <c r="C755" s="224" t="s">
        <v>89</v>
      </c>
      <c r="D755" s="224" t="s">
        <v>9</v>
      </c>
      <c r="E755" s="224" t="s">
        <v>256</v>
      </c>
      <c r="F755" s="224" t="s">
        <v>10</v>
      </c>
      <c r="G755" s="223" t="str">
        <f>VLOOKUP($B755,'FRS geographical categories'!$A$2:$C$45,2,FALSE)</f>
        <v>Predominantly Urban</v>
      </c>
      <c r="H755" s="223" t="str">
        <f>VLOOKUP($B755,'FRS geographical categories'!$A$2:$C$45,3,FALSE)</f>
        <v>Non-metropolitan</v>
      </c>
      <c r="I755" s="224">
        <v>0</v>
      </c>
    </row>
    <row r="756" spans="1:9" ht="15.5" x14ac:dyDescent="0.35">
      <c r="A756" s="224" t="s">
        <v>54</v>
      </c>
      <c r="B756" s="224" t="s">
        <v>12</v>
      </c>
      <c r="C756" s="224" t="s">
        <v>89</v>
      </c>
      <c r="D756" s="224" t="s">
        <v>55</v>
      </c>
      <c r="E756" s="224" t="s">
        <v>256</v>
      </c>
      <c r="F756" s="224" t="s">
        <v>248</v>
      </c>
      <c r="G756" s="223" t="str">
        <f>VLOOKUP($B756,'FRS geographical categories'!$A$2:$C$45,2,FALSE)</f>
        <v>Predominantly Urban</v>
      </c>
      <c r="H756" s="223" t="str">
        <f>VLOOKUP($B756,'FRS geographical categories'!$A$2:$C$45,3,FALSE)</f>
        <v>Non-metropolitan</v>
      </c>
      <c r="I756" s="224">
        <v>0</v>
      </c>
    </row>
    <row r="757" spans="1:9" ht="15.5" x14ac:dyDescent="0.35">
      <c r="A757" s="224" t="s">
        <v>54</v>
      </c>
      <c r="B757" s="224" t="s">
        <v>12</v>
      </c>
      <c r="C757" s="224" t="s">
        <v>89</v>
      </c>
      <c r="D757" s="224" t="s">
        <v>55</v>
      </c>
      <c r="E757" s="224" t="s">
        <v>256</v>
      </c>
      <c r="F757" s="224" t="s">
        <v>249</v>
      </c>
      <c r="G757" s="223" t="str">
        <f>VLOOKUP($B757,'FRS geographical categories'!$A$2:$C$45,2,FALSE)</f>
        <v>Predominantly Urban</v>
      </c>
      <c r="H757" s="223" t="str">
        <f>VLOOKUP($B757,'FRS geographical categories'!$A$2:$C$45,3,FALSE)</f>
        <v>Non-metropolitan</v>
      </c>
      <c r="I757" s="224">
        <v>0</v>
      </c>
    </row>
    <row r="758" spans="1:9" ht="15.5" x14ac:dyDescent="0.35">
      <c r="A758" s="224" t="s">
        <v>54</v>
      </c>
      <c r="B758" s="224" t="s">
        <v>12</v>
      </c>
      <c r="C758" s="224" t="s">
        <v>89</v>
      </c>
      <c r="D758" s="224" t="s">
        <v>55</v>
      </c>
      <c r="E758" s="224" t="s">
        <v>256</v>
      </c>
      <c r="F758" s="224" t="s">
        <v>250</v>
      </c>
      <c r="G758" s="223" t="str">
        <f>VLOOKUP($B758,'FRS geographical categories'!$A$2:$C$45,2,FALSE)</f>
        <v>Predominantly Urban</v>
      </c>
      <c r="H758" s="223" t="str">
        <f>VLOOKUP($B758,'FRS geographical categories'!$A$2:$C$45,3,FALSE)</f>
        <v>Non-metropolitan</v>
      </c>
      <c r="I758" s="224">
        <v>0</v>
      </c>
    </row>
    <row r="759" spans="1:9" ht="15.5" x14ac:dyDescent="0.35">
      <c r="A759" s="224" t="s">
        <v>54</v>
      </c>
      <c r="B759" s="224" t="s">
        <v>12</v>
      </c>
      <c r="C759" s="224" t="s">
        <v>89</v>
      </c>
      <c r="D759" s="224" t="s">
        <v>55</v>
      </c>
      <c r="E759" s="224" t="s">
        <v>256</v>
      </c>
      <c r="F759" s="224" t="s">
        <v>10</v>
      </c>
      <c r="G759" s="223" t="str">
        <f>VLOOKUP($B759,'FRS geographical categories'!$A$2:$C$45,2,FALSE)</f>
        <v>Predominantly Urban</v>
      </c>
      <c r="H759" s="223" t="str">
        <f>VLOOKUP($B759,'FRS geographical categories'!$A$2:$C$45,3,FALSE)</f>
        <v>Non-metropolitan</v>
      </c>
      <c r="I759" s="224">
        <v>0</v>
      </c>
    </row>
    <row r="760" spans="1:9" ht="15.5" x14ac:dyDescent="0.35">
      <c r="A760" s="224" t="s">
        <v>54</v>
      </c>
      <c r="B760" s="224" t="s">
        <v>13</v>
      </c>
      <c r="C760" s="224" t="s">
        <v>86</v>
      </c>
      <c r="D760" s="224" t="s">
        <v>9</v>
      </c>
      <c r="E760" s="224" t="s">
        <v>256</v>
      </c>
      <c r="F760" s="224" t="s">
        <v>248</v>
      </c>
      <c r="G760" s="223" t="str">
        <f>VLOOKUP($B760,'FRS geographical categories'!$A$2:$C$45,2,FALSE)</f>
        <v>Significantly Rural</v>
      </c>
      <c r="H760" s="223" t="str">
        <f>VLOOKUP($B760,'FRS geographical categories'!$A$2:$C$45,3,FALSE)</f>
        <v>Non-metropolitan</v>
      </c>
      <c r="I760" s="224">
        <v>68</v>
      </c>
    </row>
    <row r="761" spans="1:9" ht="15.5" x14ac:dyDescent="0.35">
      <c r="A761" s="224" t="s">
        <v>54</v>
      </c>
      <c r="B761" s="224" t="s">
        <v>13</v>
      </c>
      <c r="C761" s="224" t="s">
        <v>86</v>
      </c>
      <c r="D761" s="224" t="s">
        <v>9</v>
      </c>
      <c r="E761" s="224" t="s">
        <v>256</v>
      </c>
      <c r="F761" s="224" t="s">
        <v>249</v>
      </c>
      <c r="G761" s="223" t="str">
        <f>VLOOKUP($B761,'FRS geographical categories'!$A$2:$C$45,2,FALSE)</f>
        <v>Significantly Rural</v>
      </c>
      <c r="H761" s="223" t="str">
        <f>VLOOKUP($B761,'FRS geographical categories'!$A$2:$C$45,3,FALSE)</f>
        <v>Non-metropolitan</v>
      </c>
      <c r="I761" s="224">
        <v>242</v>
      </c>
    </row>
    <row r="762" spans="1:9" ht="15.5" x14ac:dyDescent="0.35">
      <c r="A762" s="224" t="s">
        <v>54</v>
      </c>
      <c r="B762" s="224" t="s">
        <v>13</v>
      </c>
      <c r="C762" s="224" t="s">
        <v>86</v>
      </c>
      <c r="D762" s="224" t="s">
        <v>9</v>
      </c>
      <c r="E762" s="224" t="s">
        <v>256</v>
      </c>
      <c r="F762" s="224" t="s">
        <v>250</v>
      </c>
      <c r="G762" s="223" t="str">
        <f>VLOOKUP($B762,'FRS geographical categories'!$A$2:$C$45,2,FALSE)</f>
        <v>Significantly Rural</v>
      </c>
      <c r="H762" s="223" t="str">
        <f>VLOOKUP($B762,'FRS geographical categories'!$A$2:$C$45,3,FALSE)</f>
        <v>Non-metropolitan</v>
      </c>
      <c r="I762" s="224">
        <v>232</v>
      </c>
    </row>
    <row r="763" spans="1:9" ht="15.5" x14ac:dyDescent="0.35">
      <c r="A763" s="224" t="s">
        <v>54</v>
      </c>
      <c r="B763" s="224" t="s">
        <v>13</v>
      </c>
      <c r="C763" s="224" t="s">
        <v>86</v>
      </c>
      <c r="D763" s="224" t="s">
        <v>9</v>
      </c>
      <c r="E763" s="224" t="s">
        <v>256</v>
      </c>
      <c r="F763" s="224" t="s">
        <v>111</v>
      </c>
      <c r="G763" s="223" t="str">
        <f>VLOOKUP($B763,'FRS geographical categories'!$A$2:$C$45,2,FALSE)</f>
        <v>Significantly Rural</v>
      </c>
      <c r="H763" s="223" t="str">
        <f>VLOOKUP($B763,'FRS geographical categories'!$A$2:$C$45,3,FALSE)</f>
        <v>Non-metropolitan</v>
      </c>
      <c r="I763" s="224">
        <v>830</v>
      </c>
    </row>
    <row r="764" spans="1:9" ht="15.5" x14ac:dyDescent="0.35">
      <c r="A764" s="224" t="s">
        <v>54</v>
      </c>
      <c r="B764" s="224" t="s">
        <v>13</v>
      </c>
      <c r="C764" s="224" t="s">
        <v>86</v>
      </c>
      <c r="D764" s="224" t="s">
        <v>9</v>
      </c>
      <c r="E764" s="224" t="s">
        <v>256</v>
      </c>
      <c r="F764" s="224" t="s">
        <v>10</v>
      </c>
      <c r="G764" s="223" t="str">
        <f>VLOOKUP($B764,'FRS geographical categories'!$A$2:$C$45,2,FALSE)</f>
        <v>Significantly Rural</v>
      </c>
      <c r="H764" s="223" t="str">
        <f>VLOOKUP($B764,'FRS geographical categories'!$A$2:$C$45,3,FALSE)</f>
        <v>Non-metropolitan</v>
      </c>
      <c r="I764" s="224">
        <v>830</v>
      </c>
    </row>
    <row r="765" spans="1:9" ht="15.5" x14ac:dyDescent="0.35">
      <c r="A765" s="224" t="s">
        <v>54</v>
      </c>
      <c r="B765" s="224" t="s">
        <v>13</v>
      </c>
      <c r="C765" s="224" t="s">
        <v>86</v>
      </c>
      <c r="D765" s="224" t="s">
        <v>55</v>
      </c>
      <c r="E765" s="224" t="s">
        <v>256</v>
      </c>
      <c r="F765" s="224" t="s">
        <v>248</v>
      </c>
      <c r="G765" s="223" t="str">
        <f>VLOOKUP($B765,'FRS geographical categories'!$A$2:$C$45,2,FALSE)</f>
        <v>Significantly Rural</v>
      </c>
      <c r="H765" s="223" t="str">
        <f>VLOOKUP($B765,'FRS geographical categories'!$A$2:$C$45,3,FALSE)</f>
        <v>Non-metropolitan</v>
      </c>
      <c r="I765" s="224">
        <v>0</v>
      </c>
    </row>
    <row r="766" spans="1:9" ht="15.5" x14ac:dyDescent="0.35">
      <c r="A766" s="224" t="s">
        <v>54</v>
      </c>
      <c r="B766" s="224" t="s">
        <v>13</v>
      </c>
      <c r="C766" s="224" t="s">
        <v>86</v>
      </c>
      <c r="D766" s="224" t="s">
        <v>55</v>
      </c>
      <c r="E766" s="224" t="s">
        <v>256</v>
      </c>
      <c r="F766" s="224" t="s">
        <v>249</v>
      </c>
      <c r="G766" s="223" t="str">
        <f>VLOOKUP($B766,'FRS geographical categories'!$A$2:$C$45,2,FALSE)</f>
        <v>Significantly Rural</v>
      </c>
      <c r="H766" s="223" t="str">
        <f>VLOOKUP($B766,'FRS geographical categories'!$A$2:$C$45,3,FALSE)</f>
        <v>Non-metropolitan</v>
      </c>
      <c r="I766" s="224">
        <v>1</v>
      </c>
    </row>
    <row r="767" spans="1:9" ht="15.5" x14ac:dyDescent="0.35">
      <c r="A767" s="224" t="s">
        <v>54</v>
      </c>
      <c r="B767" s="224" t="s">
        <v>13</v>
      </c>
      <c r="C767" s="224" t="s">
        <v>86</v>
      </c>
      <c r="D767" s="224" t="s">
        <v>55</v>
      </c>
      <c r="E767" s="224" t="s">
        <v>256</v>
      </c>
      <c r="F767" s="224" t="s">
        <v>250</v>
      </c>
      <c r="G767" s="223" t="str">
        <f>VLOOKUP($B767,'FRS geographical categories'!$A$2:$C$45,2,FALSE)</f>
        <v>Significantly Rural</v>
      </c>
      <c r="H767" s="223" t="str">
        <f>VLOOKUP($B767,'FRS geographical categories'!$A$2:$C$45,3,FALSE)</f>
        <v>Non-metropolitan</v>
      </c>
      <c r="I767" s="224">
        <v>0</v>
      </c>
    </row>
    <row r="768" spans="1:9" ht="15.5" x14ac:dyDescent="0.35">
      <c r="A768" s="224" t="s">
        <v>54</v>
      </c>
      <c r="B768" s="224" t="s">
        <v>13</v>
      </c>
      <c r="C768" s="224" t="s">
        <v>86</v>
      </c>
      <c r="D768" s="224" t="s">
        <v>55</v>
      </c>
      <c r="E768" s="224" t="s">
        <v>256</v>
      </c>
      <c r="F768" s="224" t="s">
        <v>111</v>
      </c>
      <c r="G768" s="223" t="str">
        <f>VLOOKUP($B768,'FRS geographical categories'!$A$2:$C$45,2,FALSE)</f>
        <v>Significantly Rural</v>
      </c>
      <c r="H768" s="223" t="str">
        <f>VLOOKUP($B768,'FRS geographical categories'!$A$2:$C$45,3,FALSE)</f>
        <v>Non-metropolitan</v>
      </c>
      <c r="I768" s="224">
        <v>0</v>
      </c>
    </row>
    <row r="769" spans="1:9" ht="15.5" x14ac:dyDescent="0.35">
      <c r="A769" s="224" t="s">
        <v>54</v>
      </c>
      <c r="B769" s="224" t="s">
        <v>13</v>
      </c>
      <c r="C769" s="224" t="s">
        <v>86</v>
      </c>
      <c r="D769" s="224" t="s">
        <v>55</v>
      </c>
      <c r="E769" s="224" t="s">
        <v>256</v>
      </c>
      <c r="F769" s="224" t="s">
        <v>10</v>
      </c>
      <c r="G769" s="223" t="str">
        <f>VLOOKUP($B769,'FRS geographical categories'!$A$2:$C$45,2,FALSE)</f>
        <v>Significantly Rural</v>
      </c>
      <c r="H769" s="223" t="str">
        <f>VLOOKUP($B769,'FRS geographical categories'!$A$2:$C$45,3,FALSE)</f>
        <v>Non-metropolitan</v>
      </c>
      <c r="I769" s="224">
        <v>1</v>
      </c>
    </row>
    <row r="770" spans="1:9" ht="15.5" x14ac:dyDescent="0.35">
      <c r="A770" s="224" t="s">
        <v>54</v>
      </c>
      <c r="B770" s="224" t="s">
        <v>13</v>
      </c>
      <c r="C770" s="224" t="s">
        <v>89</v>
      </c>
      <c r="D770" s="224" t="s">
        <v>9</v>
      </c>
      <c r="E770" s="224" t="s">
        <v>256</v>
      </c>
      <c r="F770" s="224" t="s">
        <v>248</v>
      </c>
      <c r="G770" s="223" t="str">
        <f>VLOOKUP($B770,'FRS geographical categories'!$A$2:$C$45,2,FALSE)</f>
        <v>Significantly Rural</v>
      </c>
      <c r="H770" s="223" t="str">
        <f>VLOOKUP($B770,'FRS geographical categories'!$A$2:$C$45,3,FALSE)</f>
        <v>Non-metropolitan</v>
      </c>
      <c r="I770" s="224">
        <v>0</v>
      </c>
    </row>
    <row r="771" spans="1:9" ht="15.5" x14ac:dyDescent="0.35">
      <c r="A771" s="224" t="s">
        <v>54</v>
      </c>
      <c r="B771" s="224" t="s">
        <v>13</v>
      </c>
      <c r="C771" s="224" t="s">
        <v>89</v>
      </c>
      <c r="D771" s="224" t="s">
        <v>9</v>
      </c>
      <c r="E771" s="224" t="s">
        <v>256</v>
      </c>
      <c r="F771" s="224" t="s">
        <v>249</v>
      </c>
      <c r="G771" s="223" t="str">
        <f>VLOOKUP($B771,'FRS geographical categories'!$A$2:$C$45,2,FALSE)</f>
        <v>Significantly Rural</v>
      </c>
      <c r="H771" s="223" t="str">
        <f>VLOOKUP($B771,'FRS geographical categories'!$A$2:$C$45,3,FALSE)</f>
        <v>Non-metropolitan</v>
      </c>
      <c r="I771" s="224">
        <v>0</v>
      </c>
    </row>
    <row r="772" spans="1:9" ht="15.5" x14ac:dyDescent="0.35">
      <c r="A772" s="224" t="s">
        <v>54</v>
      </c>
      <c r="B772" s="224" t="s">
        <v>13</v>
      </c>
      <c r="C772" s="224" t="s">
        <v>89</v>
      </c>
      <c r="D772" s="224" t="s">
        <v>9</v>
      </c>
      <c r="E772" s="224" t="s">
        <v>256</v>
      </c>
      <c r="F772" s="224" t="s">
        <v>250</v>
      </c>
      <c r="G772" s="223" t="str">
        <f>VLOOKUP($B772,'FRS geographical categories'!$A$2:$C$45,2,FALSE)</f>
        <v>Significantly Rural</v>
      </c>
      <c r="H772" s="223" t="str">
        <f>VLOOKUP($B772,'FRS geographical categories'!$A$2:$C$45,3,FALSE)</f>
        <v>Non-metropolitan</v>
      </c>
      <c r="I772" s="224">
        <v>0</v>
      </c>
    </row>
    <row r="773" spans="1:9" ht="15.5" x14ac:dyDescent="0.35">
      <c r="A773" s="224" t="s">
        <v>54</v>
      </c>
      <c r="B773" s="224" t="s">
        <v>13</v>
      </c>
      <c r="C773" s="224" t="s">
        <v>89</v>
      </c>
      <c r="D773" s="224" t="s">
        <v>9</v>
      </c>
      <c r="E773" s="224" t="s">
        <v>256</v>
      </c>
      <c r="F773" s="224" t="s">
        <v>10</v>
      </c>
      <c r="G773" s="223" t="str">
        <f>VLOOKUP($B773,'FRS geographical categories'!$A$2:$C$45,2,FALSE)</f>
        <v>Significantly Rural</v>
      </c>
      <c r="H773" s="223" t="str">
        <f>VLOOKUP($B773,'FRS geographical categories'!$A$2:$C$45,3,FALSE)</f>
        <v>Non-metropolitan</v>
      </c>
      <c r="I773" s="224">
        <v>248</v>
      </c>
    </row>
    <row r="774" spans="1:9" ht="15.5" x14ac:dyDescent="0.35">
      <c r="A774" s="224" t="s">
        <v>54</v>
      </c>
      <c r="B774" s="224" t="s">
        <v>13</v>
      </c>
      <c r="C774" s="224" t="s">
        <v>89</v>
      </c>
      <c r="D774" s="224" t="s">
        <v>55</v>
      </c>
      <c r="E774" s="224" t="s">
        <v>256</v>
      </c>
      <c r="F774" s="224" t="s">
        <v>248</v>
      </c>
      <c r="G774" s="223" t="str">
        <f>VLOOKUP($B774,'FRS geographical categories'!$A$2:$C$45,2,FALSE)</f>
        <v>Significantly Rural</v>
      </c>
      <c r="H774" s="223" t="str">
        <f>VLOOKUP($B774,'FRS geographical categories'!$A$2:$C$45,3,FALSE)</f>
        <v>Non-metropolitan</v>
      </c>
      <c r="I774" s="224">
        <v>0</v>
      </c>
    </row>
    <row r="775" spans="1:9" ht="15.5" x14ac:dyDescent="0.35">
      <c r="A775" s="224" t="s">
        <v>54</v>
      </c>
      <c r="B775" s="224" t="s">
        <v>13</v>
      </c>
      <c r="C775" s="224" t="s">
        <v>89</v>
      </c>
      <c r="D775" s="224" t="s">
        <v>55</v>
      </c>
      <c r="E775" s="224" t="s">
        <v>256</v>
      </c>
      <c r="F775" s="224" t="s">
        <v>249</v>
      </c>
      <c r="G775" s="223" t="str">
        <f>VLOOKUP($B775,'FRS geographical categories'!$A$2:$C$45,2,FALSE)</f>
        <v>Significantly Rural</v>
      </c>
      <c r="H775" s="223" t="str">
        <f>VLOOKUP($B775,'FRS geographical categories'!$A$2:$C$45,3,FALSE)</f>
        <v>Non-metropolitan</v>
      </c>
      <c r="I775" s="224">
        <v>0</v>
      </c>
    </row>
    <row r="776" spans="1:9" ht="15.5" x14ac:dyDescent="0.35">
      <c r="A776" s="224" t="s">
        <v>54</v>
      </c>
      <c r="B776" s="224" t="s">
        <v>13</v>
      </c>
      <c r="C776" s="224" t="s">
        <v>89</v>
      </c>
      <c r="D776" s="224" t="s">
        <v>55</v>
      </c>
      <c r="E776" s="224" t="s">
        <v>256</v>
      </c>
      <c r="F776" s="224" t="s">
        <v>250</v>
      </c>
      <c r="G776" s="223" t="str">
        <f>VLOOKUP($B776,'FRS geographical categories'!$A$2:$C$45,2,FALSE)</f>
        <v>Significantly Rural</v>
      </c>
      <c r="H776" s="223" t="str">
        <f>VLOOKUP($B776,'FRS geographical categories'!$A$2:$C$45,3,FALSE)</f>
        <v>Non-metropolitan</v>
      </c>
      <c r="I776" s="224">
        <v>0</v>
      </c>
    </row>
    <row r="777" spans="1:9" ht="15.5" x14ac:dyDescent="0.35">
      <c r="A777" s="224" t="s">
        <v>54</v>
      </c>
      <c r="B777" s="224" t="s">
        <v>13</v>
      </c>
      <c r="C777" s="224" t="s">
        <v>89</v>
      </c>
      <c r="D777" s="224" t="s">
        <v>55</v>
      </c>
      <c r="E777" s="224" t="s">
        <v>256</v>
      </c>
      <c r="F777" s="224" t="s">
        <v>10</v>
      </c>
      <c r="G777" s="223" t="str">
        <f>VLOOKUP($B777,'FRS geographical categories'!$A$2:$C$45,2,FALSE)</f>
        <v>Significantly Rural</v>
      </c>
      <c r="H777" s="223" t="str">
        <f>VLOOKUP($B777,'FRS geographical categories'!$A$2:$C$45,3,FALSE)</f>
        <v>Non-metropolitan</v>
      </c>
      <c r="I777" s="224">
        <v>0</v>
      </c>
    </row>
    <row r="778" spans="1:9" ht="15.5" x14ac:dyDescent="0.35">
      <c r="A778" s="224" t="s">
        <v>54</v>
      </c>
      <c r="B778" s="224" t="s">
        <v>14</v>
      </c>
      <c r="C778" s="224" t="s">
        <v>86</v>
      </c>
      <c r="D778" s="224" t="s">
        <v>9</v>
      </c>
      <c r="E778" s="224" t="s">
        <v>256</v>
      </c>
      <c r="F778" s="224" t="s">
        <v>248</v>
      </c>
      <c r="G778" s="223" t="str">
        <f>VLOOKUP($B778,'FRS geographical categories'!$A$2:$C$45,2,FALSE)</f>
        <v>Predominantly Rural</v>
      </c>
      <c r="H778" s="223" t="str">
        <f>VLOOKUP($B778,'FRS geographical categories'!$A$2:$C$45,3,FALSE)</f>
        <v>Non-metropolitan</v>
      </c>
      <c r="I778" s="224">
        <v>153</v>
      </c>
    </row>
    <row r="779" spans="1:9" ht="15.5" x14ac:dyDescent="0.35">
      <c r="A779" s="224" t="s">
        <v>54</v>
      </c>
      <c r="B779" s="224" t="s">
        <v>14</v>
      </c>
      <c r="C779" s="224" t="s">
        <v>86</v>
      </c>
      <c r="D779" s="224" t="s">
        <v>9</v>
      </c>
      <c r="E779" s="224" t="s">
        <v>256</v>
      </c>
      <c r="F779" s="224" t="s">
        <v>249</v>
      </c>
      <c r="G779" s="223" t="str">
        <f>VLOOKUP($B779,'FRS geographical categories'!$A$2:$C$45,2,FALSE)</f>
        <v>Predominantly Rural</v>
      </c>
      <c r="H779" s="223" t="str">
        <f>VLOOKUP($B779,'FRS geographical categories'!$A$2:$C$45,3,FALSE)</f>
        <v>Non-metropolitan</v>
      </c>
      <c r="I779" s="224">
        <v>799</v>
      </c>
    </row>
    <row r="780" spans="1:9" ht="15.5" x14ac:dyDescent="0.35">
      <c r="A780" s="224" t="s">
        <v>54</v>
      </c>
      <c r="B780" s="224" t="s">
        <v>14</v>
      </c>
      <c r="C780" s="224" t="s">
        <v>86</v>
      </c>
      <c r="D780" s="224" t="s">
        <v>9</v>
      </c>
      <c r="E780" s="224" t="s">
        <v>256</v>
      </c>
      <c r="F780" s="224" t="s">
        <v>250</v>
      </c>
      <c r="G780" s="223" t="str">
        <f>VLOOKUP($B780,'FRS geographical categories'!$A$2:$C$45,2,FALSE)</f>
        <v>Predominantly Rural</v>
      </c>
      <c r="H780" s="223" t="str">
        <f>VLOOKUP($B780,'FRS geographical categories'!$A$2:$C$45,3,FALSE)</f>
        <v>Non-metropolitan</v>
      </c>
      <c r="I780" s="224">
        <v>516</v>
      </c>
    </row>
    <row r="781" spans="1:9" ht="15.5" x14ac:dyDescent="0.35">
      <c r="A781" s="224" t="s">
        <v>54</v>
      </c>
      <c r="B781" s="224" t="s">
        <v>14</v>
      </c>
      <c r="C781" s="224" t="s">
        <v>86</v>
      </c>
      <c r="D781" s="224" t="s">
        <v>9</v>
      </c>
      <c r="E781" s="224" t="s">
        <v>256</v>
      </c>
      <c r="F781" s="224" t="s">
        <v>111</v>
      </c>
      <c r="G781" s="223" t="str">
        <f>VLOOKUP($B781,'FRS geographical categories'!$A$2:$C$45,2,FALSE)</f>
        <v>Predominantly Rural</v>
      </c>
      <c r="H781" s="223" t="str">
        <f>VLOOKUP($B781,'FRS geographical categories'!$A$2:$C$45,3,FALSE)</f>
        <v>Non-metropolitan</v>
      </c>
      <c r="I781" s="224">
        <v>1753</v>
      </c>
    </row>
    <row r="782" spans="1:9" ht="15.5" x14ac:dyDescent="0.35">
      <c r="A782" s="224" t="s">
        <v>54</v>
      </c>
      <c r="B782" s="224" t="s">
        <v>14</v>
      </c>
      <c r="C782" s="224" t="s">
        <v>86</v>
      </c>
      <c r="D782" s="224" t="s">
        <v>9</v>
      </c>
      <c r="E782" s="224" t="s">
        <v>256</v>
      </c>
      <c r="F782" s="224" t="s">
        <v>10</v>
      </c>
      <c r="G782" s="223" t="str">
        <f>VLOOKUP($B782,'FRS geographical categories'!$A$2:$C$45,2,FALSE)</f>
        <v>Predominantly Rural</v>
      </c>
      <c r="H782" s="223" t="str">
        <f>VLOOKUP($B782,'FRS geographical categories'!$A$2:$C$45,3,FALSE)</f>
        <v>Non-metropolitan</v>
      </c>
      <c r="I782" s="224">
        <v>1760</v>
      </c>
    </row>
    <row r="783" spans="1:9" ht="15.5" x14ac:dyDescent="0.35">
      <c r="A783" s="224" t="s">
        <v>54</v>
      </c>
      <c r="B783" s="224" t="s">
        <v>14</v>
      </c>
      <c r="C783" s="224" t="s">
        <v>86</v>
      </c>
      <c r="D783" s="224" t="s">
        <v>55</v>
      </c>
      <c r="E783" s="224" t="s">
        <v>256</v>
      </c>
      <c r="F783" s="224" t="s">
        <v>248</v>
      </c>
      <c r="G783" s="223" t="str">
        <f>VLOOKUP($B783,'FRS geographical categories'!$A$2:$C$45,2,FALSE)</f>
        <v>Predominantly Rural</v>
      </c>
      <c r="H783" s="223" t="str">
        <f>VLOOKUP($B783,'FRS geographical categories'!$A$2:$C$45,3,FALSE)</f>
        <v>Non-metropolitan</v>
      </c>
      <c r="I783" s="224">
        <v>0</v>
      </c>
    </row>
    <row r="784" spans="1:9" ht="15.5" x14ac:dyDescent="0.35">
      <c r="A784" s="224" t="s">
        <v>54</v>
      </c>
      <c r="B784" s="224" t="s">
        <v>14</v>
      </c>
      <c r="C784" s="224" t="s">
        <v>86</v>
      </c>
      <c r="D784" s="224" t="s">
        <v>55</v>
      </c>
      <c r="E784" s="224" t="s">
        <v>256</v>
      </c>
      <c r="F784" s="224" t="s">
        <v>249</v>
      </c>
      <c r="G784" s="223" t="str">
        <f>VLOOKUP($B784,'FRS geographical categories'!$A$2:$C$45,2,FALSE)</f>
        <v>Predominantly Rural</v>
      </c>
      <c r="H784" s="223" t="str">
        <f>VLOOKUP($B784,'FRS geographical categories'!$A$2:$C$45,3,FALSE)</f>
        <v>Non-metropolitan</v>
      </c>
      <c r="I784" s="224">
        <v>0</v>
      </c>
    </row>
    <row r="785" spans="1:9" ht="15.5" x14ac:dyDescent="0.35">
      <c r="A785" s="224" t="s">
        <v>54</v>
      </c>
      <c r="B785" s="224" t="s">
        <v>14</v>
      </c>
      <c r="C785" s="224" t="s">
        <v>86</v>
      </c>
      <c r="D785" s="224" t="s">
        <v>55</v>
      </c>
      <c r="E785" s="224" t="s">
        <v>256</v>
      </c>
      <c r="F785" s="224" t="s">
        <v>250</v>
      </c>
      <c r="G785" s="223" t="str">
        <f>VLOOKUP($B785,'FRS geographical categories'!$A$2:$C$45,2,FALSE)</f>
        <v>Predominantly Rural</v>
      </c>
      <c r="H785" s="223" t="str">
        <f>VLOOKUP($B785,'FRS geographical categories'!$A$2:$C$45,3,FALSE)</f>
        <v>Non-metropolitan</v>
      </c>
      <c r="I785" s="224">
        <v>0</v>
      </c>
    </row>
    <row r="786" spans="1:9" ht="15.5" x14ac:dyDescent="0.35">
      <c r="A786" s="224" t="s">
        <v>54</v>
      </c>
      <c r="B786" s="224" t="s">
        <v>14</v>
      </c>
      <c r="C786" s="224" t="s">
        <v>86</v>
      </c>
      <c r="D786" s="224" t="s">
        <v>55</v>
      </c>
      <c r="E786" s="224" t="s">
        <v>256</v>
      </c>
      <c r="F786" s="224" t="s">
        <v>111</v>
      </c>
      <c r="G786" s="223" t="str">
        <f>VLOOKUP($B786,'FRS geographical categories'!$A$2:$C$45,2,FALSE)</f>
        <v>Predominantly Rural</v>
      </c>
      <c r="H786" s="223" t="str">
        <f>VLOOKUP($B786,'FRS geographical categories'!$A$2:$C$45,3,FALSE)</f>
        <v>Non-metropolitan</v>
      </c>
      <c r="I786" s="224">
        <v>0</v>
      </c>
    </row>
    <row r="787" spans="1:9" ht="15.5" x14ac:dyDescent="0.35">
      <c r="A787" s="224" t="s">
        <v>54</v>
      </c>
      <c r="B787" s="224" t="s">
        <v>14</v>
      </c>
      <c r="C787" s="224" t="s">
        <v>86</v>
      </c>
      <c r="D787" s="224" t="s">
        <v>55</v>
      </c>
      <c r="E787" s="224" t="s">
        <v>256</v>
      </c>
      <c r="F787" s="224" t="s">
        <v>10</v>
      </c>
      <c r="G787" s="223" t="str">
        <f>VLOOKUP($B787,'FRS geographical categories'!$A$2:$C$45,2,FALSE)</f>
        <v>Predominantly Rural</v>
      </c>
      <c r="H787" s="223" t="str">
        <f>VLOOKUP($B787,'FRS geographical categories'!$A$2:$C$45,3,FALSE)</f>
        <v>Non-metropolitan</v>
      </c>
      <c r="I787" s="224">
        <v>0</v>
      </c>
    </row>
    <row r="788" spans="1:9" ht="15.5" x14ac:dyDescent="0.35">
      <c r="A788" s="224" t="s">
        <v>54</v>
      </c>
      <c r="B788" s="224" t="s">
        <v>14</v>
      </c>
      <c r="C788" s="224" t="s">
        <v>89</v>
      </c>
      <c r="D788" s="224" t="s">
        <v>9</v>
      </c>
      <c r="E788" s="224" t="s">
        <v>256</v>
      </c>
      <c r="F788" s="224" t="s">
        <v>248</v>
      </c>
      <c r="G788" s="223" t="str">
        <f>VLOOKUP($B788,'FRS geographical categories'!$A$2:$C$45,2,FALSE)</f>
        <v>Predominantly Rural</v>
      </c>
      <c r="H788" s="223" t="str">
        <f>VLOOKUP($B788,'FRS geographical categories'!$A$2:$C$45,3,FALSE)</f>
        <v>Non-metropolitan</v>
      </c>
      <c r="I788" s="224">
        <v>29</v>
      </c>
    </row>
    <row r="789" spans="1:9" ht="15.5" x14ac:dyDescent="0.35">
      <c r="A789" s="224" t="s">
        <v>54</v>
      </c>
      <c r="B789" s="224" t="s">
        <v>14</v>
      </c>
      <c r="C789" s="224" t="s">
        <v>89</v>
      </c>
      <c r="D789" s="224" t="s">
        <v>9</v>
      </c>
      <c r="E789" s="224" t="s">
        <v>256</v>
      </c>
      <c r="F789" s="224" t="s">
        <v>249</v>
      </c>
      <c r="G789" s="223" t="str">
        <f>VLOOKUP($B789,'FRS geographical categories'!$A$2:$C$45,2,FALSE)</f>
        <v>Predominantly Rural</v>
      </c>
      <c r="H789" s="223" t="str">
        <f>VLOOKUP($B789,'FRS geographical categories'!$A$2:$C$45,3,FALSE)</f>
        <v>Non-metropolitan</v>
      </c>
      <c r="I789" s="224">
        <v>118</v>
      </c>
    </row>
    <row r="790" spans="1:9" ht="15.5" x14ac:dyDescent="0.35">
      <c r="A790" s="224" t="s">
        <v>54</v>
      </c>
      <c r="B790" s="224" t="s">
        <v>14</v>
      </c>
      <c r="C790" s="224" t="s">
        <v>89</v>
      </c>
      <c r="D790" s="224" t="s">
        <v>9</v>
      </c>
      <c r="E790" s="224" t="s">
        <v>256</v>
      </c>
      <c r="F790" s="224" t="s">
        <v>250</v>
      </c>
      <c r="G790" s="223" t="str">
        <f>VLOOKUP($B790,'FRS geographical categories'!$A$2:$C$45,2,FALSE)</f>
        <v>Predominantly Rural</v>
      </c>
      <c r="H790" s="223" t="str">
        <f>VLOOKUP($B790,'FRS geographical categories'!$A$2:$C$45,3,FALSE)</f>
        <v>Non-metropolitan</v>
      </c>
      <c r="I790" s="224">
        <v>106</v>
      </c>
    </row>
    <row r="791" spans="1:9" ht="15.5" x14ac:dyDescent="0.35">
      <c r="A791" s="224" t="s">
        <v>54</v>
      </c>
      <c r="B791" s="224" t="s">
        <v>14</v>
      </c>
      <c r="C791" s="224" t="s">
        <v>89</v>
      </c>
      <c r="D791" s="224" t="s">
        <v>9</v>
      </c>
      <c r="E791" s="224" t="s">
        <v>256</v>
      </c>
      <c r="F791" s="224" t="s">
        <v>10</v>
      </c>
      <c r="G791" s="223" t="str">
        <f>VLOOKUP($B791,'FRS geographical categories'!$A$2:$C$45,2,FALSE)</f>
        <v>Predominantly Rural</v>
      </c>
      <c r="H791" s="223" t="str">
        <f>VLOOKUP($B791,'FRS geographical categories'!$A$2:$C$45,3,FALSE)</f>
        <v>Non-metropolitan</v>
      </c>
      <c r="I791" s="224">
        <v>379</v>
      </c>
    </row>
    <row r="792" spans="1:9" ht="15.5" x14ac:dyDescent="0.35">
      <c r="A792" s="224" t="s">
        <v>54</v>
      </c>
      <c r="B792" s="224" t="s">
        <v>14</v>
      </c>
      <c r="C792" s="224" t="s">
        <v>89</v>
      </c>
      <c r="D792" s="224" t="s">
        <v>55</v>
      </c>
      <c r="E792" s="224" t="s">
        <v>256</v>
      </c>
      <c r="F792" s="224" t="s">
        <v>248</v>
      </c>
      <c r="G792" s="223" t="str">
        <f>VLOOKUP($B792,'FRS geographical categories'!$A$2:$C$45,2,FALSE)</f>
        <v>Predominantly Rural</v>
      </c>
      <c r="H792" s="223" t="str">
        <f>VLOOKUP($B792,'FRS geographical categories'!$A$2:$C$45,3,FALSE)</f>
        <v>Non-metropolitan</v>
      </c>
      <c r="I792" s="224">
        <v>0</v>
      </c>
    </row>
    <row r="793" spans="1:9" ht="15.5" x14ac:dyDescent="0.35">
      <c r="A793" s="224" t="s">
        <v>54</v>
      </c>
      <c r="B793" s="224" t="s">
        <v>14</v>
      </c>
      <c r="C793" s="224" t="s">
        <v>89</v>
      </c>
      <c r="D793" s="224" t="s">
        <v>55</v>
      </c>
      <c r="E793" s="224" t="s">
        <v>256</v>
      </c>
      <c r="F793" s="224" t="s">
        <v>249</v>
      </c>
      <c r="G793" s="223" t="str">
        <f>VLOOKUP($B793,'FRS geographical categories'!$A$2:$C$45,2,FALSE)</f>
        <v>Predominantly Rural</v>
      </c>
      <c r="H793" s="223" t="str">
        <f>VLOOKUP($B793,'FRS geographical categories'!$A$2:$C$45,3,FALSE)</f>
        <v>Non-metropolitan</v>
      </c>
      <c r="I793" s="224">
        <v>0</v>
      </c>
    </row>
    <row r="794" spans="1:9" ht="15.5" x14ac:dyDescent="0.35">
      <c r="A794" s="224" t="s">
        <v>54</v>
      </c>
      <c r="B794" s="224" t="s">
        <v>14</v>
      </c>
      <c r="C794" s="224" t="s">
        <v>89</v>
      </c>
      <c r="D794" s="224" t="s">
        <v>55</v>
      </c>
      <c r="E794" s="224" t="s">
        <v>256</v>
      </c>
      <c r="F794" s="224" t="s">
        <v>250</v>
      </c>
      <c r="G794" s="223" t="str">
        <f>VLOOKUP($B794,'FRS geographical categories'!$A$2:$C$45,2,FALSE)</f>
        <v>Predominantly Rural</v>
      </c>
      <c r="H794" s="223" t="str">
        <f>VLOOKUP($B794,'FRS geographical categories'!$A$2:$C$45,3,FALSE)</f>
        <v>Non-metropolitan</v>
      </c>
      <c r="I794" s="224">
        <v>0</v>
      </c>
    </row>
    <row r="795" spans="1:9" ht="15.5" x14ac:dyDescent="0.35">
      <c r="A795" s="224" t="s">
        <v>54</v>
      </c>
      <c r="B795" s="224" t="s">
        <v>14</v>
      </c>
      <c r="C795" s="224" t="s">
        <v>89</v>
      </c>
      <c r="D795" s="224" t="s">
        <v>55</v>
      </c>
      <c r="E795" s="224" t="s">
        <v>256</v>
      </c>
      <c r="F795" s="224" t="s">
        <v>10</v>
      </c>
      <c r="G795" s="223" t="str">
        <f>VLOOKUP($B795,'FRS geographical categories'!$A$2:$C$45,2,FALSE)</f>
        <v>Predominantly Rural</v>
      </c>
      <c r="H795" s="223" t="str">
        <f>VLOOKUP($B795,'FRS geographical categories'!$A$2:$C$45,3,FALSE)</f>
        <v>Non-metropolitan</v>
      </c>
      <c r="I795" s="224">
        <v>0</v>
      </c>
    </row>
    <row r="796" spans="1:9" ht="15.5" x14ac:dyDescent="0.35">
      <c r="A796" s="224" t="s">
        <v>54</v>
      </c>
      <c r="B796" s="224" t="s">
        <v>15</v>
      </c>
      <c r="C796" s="224" t="s">
        <v>86</v>
      </c>
      <c r="D796" s="224" t="s">
        <v>9</v>
      </c>
      <c r="E796" s="224" t="s">
        <v>256</v>
      </c>
      <c r="F796" s="224" t="s">
        <v>248</v>
      </c>
      <c r="G796" s="223" t="str">
        <f>VLOOKUP($B796,'FRS geographical categories'!$A$2:$C$45,2,FALSE)</f>
        <v>Significantly Rural</v>
      </c>
      <c r="H796" s="223" t="str">
        <f>VLOOKUP($B796,'FRS geographical categories'!$A$2:$C$45,3,FALSE)</f>
        <v>Non-metropolitan</v>
      </c>
      <c r="I796" s="224">
        <v>222</v>
      </c>
    </row>
    <row r="797" spans="1:9" ht="15.5" x14ac:dyDescent="0.35">
      <c r="A797" s="224" t="s">
        <v>54</v>
      </c>
      <c r="B797" s="224" t="s">
        <v>15</v>
      </c>
      <c r="C797" s="224" t="s">
        <v>86</v>
      </c>
      <c r="D797" s="224" t="s">
        <v>9</v>
      </c>
      <c r="E797" s="224" t="s">
        <v>256</v>
      </c>
      <c r="F797" s="224" t="s">
        <v>249</v>
      </c>
      <c r="G797" s="223" t="str">
        <f>VLOOKUP($B797,'FRS geographical categories'!$A$2:$C$45,2,FALSE)</f>
        <v>Significantly Rural</v>
      </c>
      <c r="H797" s="223" t="str">
        <f>VLOOKUP($B797,'FRS geographical categories'!$A$2:$C$45,3,FALSE)</f>
        <v>Non-metropolitan</v>
      </c>
      <c r="I797" s="224">
        <v>950</v>
      </c>
    </row>
    <row r="798" spans="1:9" ht="15.5" x14ac:dyDescent="0.35">
      <c r="A798" s="224" t="s">
        <v>54</v>
      </c>
      <c r="B798" s="224" t="s">
        <v>15</v>
      </c>
      <c r="C798" s="224" t="s">
        <v>86</v>
      </c>
      <c r="D798" s="224" t="s">
        <v>9</v>
      </c>
      <c r="E798" s="224" t="s">
        <v>256</v>
      </c>
      <c r="F798" s="224" t="s">
        <v>250</v>
      </c>
      <c r="G798" s="223" t="str">
        <f>VLOOKUP($B798,'FRS geographical categories'!$A$2:$C$45,2,FALSE)</f>
        <v>Significantly Rural</v>
      </c>
      <c r="H798" s="223" t="str">
        <f>VLOOKUP($B798,'FRS geographical categories'!$A$2:$C$45,3,FALSE)</f>
        <v>Non-metropolitan</v>
      </c>
      <c r="I798" s="224">
        <v>4871</v>
      </c>
    </row>
    <row r="799" spans="1:9" ht="15.5" x14ac:dyDescent="0.35">
      <c r="A799" s="224" t="s">
        <v>54</v>
      </c>
      <c r="B799" s="224" t="s">
        <v>15</v>
      </c>
      <c r="C799" s="224" t="s">
        <v>86</v>
      </c>
      <c r="D799" s="224" t="s">
        <v>9</v>
      </c>
      <c r="E799" s="224" t="s">
        <v>256</v>
      </c>
      <c r="F799" s="224" t="s">
        <v>111</v>
      </c>
      <c r="G799" s="223" t="str">
        <f>VLOOKUP($B799,'FRS geographical categories'!$A$2:$C$45,2,FALSE)</f>
        <v>Significantly Rural</v>
      </c>
      <c r="H799" s="223" t="str">
        <f>VLOOKUP($B799,'FRS geographical categories'!$A$2:$C$45,3,FALSE)</f>
        <v>Non-metropolitan</v>
      </c>
      <c r="I799" s="224">
        <v>1950</v>
      </c>
    </row>
    <row r="800" spans="1:9" ht="15.5" x14ac:dyDescent="0.35">
      <c r="A800" s="224" t="s">
        <v>54</v>
      </c>
      <c r="B800" s="224" t="s">
        <v>15</v>
      </c>
      <c r="C800" s="224" t="s">
        <v>86</v>
      </c>
      <c r="D800" s="224" t="s">
        <v>9</v>
      </c>
      <c r="E800" s="224" t="s">
        <v>256</v>
      </c>
      <c r="F800" s="224" t="s">
        <v>10</v>
      </c>
      <c r="G800" s="223" t="str">
        <f>VLOOKUP($B800,'FRS geographical categories'!$A$2:$C$45,2,FALSE)</f>
        <v>Significantly Rural</v>
      </c>
      <c r="H800" s="223" t="str">
        <f>VLOOKUP($B800,'FRS geographical categories'!$A$2:$C$45,3,FALSE)</f>
        <v>Non-metropolitan</v>
      </c>
      <c r="I800" s="224">
        <v>8361</v>
      </c>
    </row>
    <row r="801" spans="1:9" ht="15.5" x14ac:dyDescent="0.35">
      <c r="A801" s="224" t="s">
        <v>54</v>
      </c>
      <c r="B801" s="224" t="s">
        <v>15</v>
      </c>
      <c r="C801" s="224" t="s">
        <v>86</v>
      </c>
      <c r="D801" s="224" t="s">
        <v>55</v>
      </c>
      <c r="E801" s="224" t="s">
        <v>256</v>
      </c>
      <c r="F801" s="224" t="s">
        <v>248</v>
      </c>
      <c r="G801" s="223" t="str">
        <f>VLOOKUP($B801,'FRS geographical categories'!$A$2:$C$45,2,FALSE)</f>
        <v>Significantly Rural</v>
      </c>
      <c r="H801" s="223" t="str">
        <f>VLOOKUP($B801,'FRS geographical categories'!$A$2:$C$45,3,FALSE)</f>
        <v>Non-metropolitan</v>
      </c>
      <c r="I801" s="224">
        <v>19</v>
      </c>
    </row>
    <row r="802" spans="1:9" ht="15.5" x14ac:dyDescent="0.35">
      <c r="A802" s="224" t="s">
        <v>54</v>
      </c>
      <c r="B802" s="224" t="s">
        <v>15</v>
      </c>
      <c r="C802" s="224" t="s">
        <v>86</v>
      </c>
      <c r="D802" s="224" t="s">
        <v>55</v>
      </c>
      <c r="E802" s="224" t="s">
        <v>256</v>
      </c>
      <c r="F802" s="224" t="s">
        <v>249</v>
      </c>
      <c r="G802" s="223" t="str">
        <f>VLOOKUP($B802,'FRS geographical categories'!$A$2:$C$45,2,FALSE)</f>
        <v>Significantly Rural</v>
      </c>
      <c r="H802" s="223" t="str">
        <f>VLOOKUP($B802,'FRS geographical categories'!$A$2:$C$45,3,FALSE)</f>
        <v>Non-metropolitan</v>
      </c>
      <c r="I802" s="224">
        <v>132</v>
      </c>
    </row>
    <row r="803" spans="1:9" ht="15.5" x14ac:dyDescent="0.35">
      <c r="A803" s="224" t="s">
        <v>54</v>
      </c>
      <c r="B803" s="224" t="s">
        <v>15</v>
      </c>
      <c r="C803" s="224" t="s">
        <v>86</v>
      </c>
      <c r="D803" s="224" t="s">
        <v>55</v>
      </c>
      <c r="E803" s="224" t="s">
        <v>256</v>
      </c>
      <c r="F803" s="224" t="s">
        <v>250</v>
      </c>
      <c r="G803" s="223" t="str">
        <f>VLOOKUP($B803,'FRS geographical categories'!$A$2:$C$45,2,FALSE)</f>
        <v>Significantly Rural</v>
      </c>
      <c r="H803" s="223" t="str">
        <f>VLOOKUP($B803,'FRS geographical categories'!$A$2:$C$45,3,FALSE)</f>
        <v>Non-metropolitan</v>
      </c>
      <c r="I803" s="224">
        <v>590</v>
      </c>
    </row>
    <row r="804" spans="1:9" ht="15.5" x14ac:dyDescent="0.35">
      <c r="A804" s="224" t="s">
        <v>54</v>
      </c>
      <c r="B804" s="224" t="s">
        <v>15</v>
      </c>
      <c r="C804" s="224" t="s">
        <v>86</v>
      </c>
      <c r="D804" s="224" t="s">
        <v>55</v>
      </c>
      <c r="E804" s="224" t="s">
        <v>256</v>
      </c>
      <c r="F804" s="224" t="s">
        <v>111</v>
      </c>
      <c r="G804" s="223" t="str">
        <f>VLOOKUP($B804,'FRS geographical categories'!$A$2:$C$45,2,FALSE)</f>
        <v>Significantly Rural</v>
      </c>
      <c r="H804" s="223" t="str">
        <f>VLOOKUP($B804,'FRS geographical categories'!$A$2:$C$45,3,FALSE)</f>
        <v>Non-metropolitan</v>
      </c>
      <c r="I804" s="224">
        <v>236</v>
      </c>
    </row>
    <row r="805" spans="1:9" ht="15.5" x14ac:dyDescent="0.35">
      <c r="A805" s="224" t="s">
        <v>54</v>
      </c>
      <c r="B805" s="224" t="s">
        <v>15</v>
      </c>
      <c r="C805" s="224" t="s">
        <v>86</v>
      </c>
      <c r="D805" s="224" t="s">
        <v>55</v>
      </c>
      <c r="E805" s="224" t="s">
        <v>256</v>
      </c>
      <c r="F805" s="224" t="s">
        <v>10</v>
      </c>
      <c r="G805" s="223" t="str">
        <f>VLOOKUP($B805,'FRS geographical categories'!$A$2:$C$45,2,FALSE)</f>
        <v>Significantly Rural</v>
      </c>
      <c r="H805" s="223" t="str">
        <f>VLOOKUP($B805,'FRS geographical categories'!$A$2:$C$45,3,FALSE)</f>
        <v>Non-metropolitan</v>
      </c>
      <c r="I805" s="224">
        <v>989</v>
      </c>
    </row>
    <row r="806" spans="1:9" ht="15.5" x14ac:dyDescent="0.35">
      <c r="A806" s="224" t="s">
        <v>54</v>
      </c>
      <c r="B806" s="224" t="s">
        <v>15</v>
      </c>
      <c r="C806" s="224" t="s">
        <v>89</v>
      </c>
      <c r="D806" s="224" t="s">
        <v>9</v>
      </c>
      <c r="E806" s="224" t="s">
        <v>256</v>
      </c>
      <c r="F806" s="224" t="s">
        <v>248</v>
      </c>
      <c r="G806" s="223" t="str">
        <f>VLOOKUP($B806,'FRS geographical categories'!$A$2:$C$45,2,FALSE)</f>
        <v>Significantly Rural</v>
      </c>
      <c r="H806" s="223" t="str">
        <f>VLOOKUP($B806,'FRS geographical categories'!$A$2:$C$45,3,FALSE)</f>
        <v>Non-metropolitan</v>
      </c>
      <c r="I806" s="224">
        <v>0</v>
      </c>
    </row>
    <row r="807" spans="1:9" ht="15.5" x14ac:dyDescent="0.35">
      <c r="A807" s="224" t="s">
        <v>54</v>
      </c>
      <c r="B807" s="224" t="s">
        <v>15</v>
      </c>
      <c r="C807" s="224" t="s">
        <v>89</v>
      </c>
      <c r="D807" s="224" t="s">
        <v>9</v>
      </c>
      <c r="E807" s="224" t="s">
        <v>256</v>
      </c>
      <c r="F807" s="224" t="s">
        <v>249</v>
      </c>
      <c r="G807" s="223" t="str">
        <f>VLOOKUP($B807,'FRS geographical categories'!$A$2:$C$45,2,FALSE)</f>
        <v>Significantly Rural</v>
      </c>
      <c r="H807" s="223" t="str">
        <f>VLOOKUP($B807,'FRS geographical categories'!$A$2:$C$45,3,FALSE)</f>
        <v>Non-metropolitan</v>
      </c>
      <c r="I807" s="224">
        <v>0</v>
      </c>
    </row>
    <row r="808" spans="1:9" ht="15.5" x14ac:dyDescent="0.35">
      <c r="A808" s="224" t="s">
        <v>54</v>
      </c>
      <c r="B808" s="224" t="s">
        <v>15</v>
      </c>
      <c r="C808" s="224" t="s">
        <v>89</v>
      </c>
      <c r="D808" s="224" t="s">
        <v>9</v>
      </c>
      <c r="E808" s="224" t="s">
        <v>256</v>
      </c>
      <c r="F808" s="224" t="s">
        <v>250</v>
      </c>
      <c r="G808" s="223" t="str">
        <f>VLOOKUP($B808,'FRS geographical categories'!$A$2:$C$45,2,FALSE)</f>
        <v>Significantly Rural</v>
      </c>
      <c r="H808" s="223" t="str">
        <f>VLOOKUP($B808,'FRS geographical categories'!$A$2:$C$45,3,FALSE)</f>
        <v>Non-metropolitan</v>
      </c>
      <c r="I808" s="224">
        <v>0</v>
      </c>
    </row>
    <row r="809" spans="1:9" ht="15.5" x14ac:dyDescent="0.35">
      <c r="A809" s="224" t="s">
        <v>54</v>
      </c>
      <c r="B809" s="224" t="s">
        <v>15</v>
      </c>
      <c r="C809" s="224" t="s">
        <v>89</v>
      </c>
      <c r="D809" s="224" t="s">
        <v>9</v>
      </c>
      <c r="E809" s="224" t="s">
        <v>256</v>
      </c>
      <c r="F809" s="224" t="s">
        <v>10</v>
      </c>
      <c r="G809" s="223" t="str">
        <f>VLOOKUP($B809,'FRS geographical categories'!$A$2:$C$45,2,FALSE)</f>
        <v>Significantly Rural</v>
      </c>
      <c r="H809" s="223" t="str">
        <f>VLOOKUP($B809,'FRS geographical categories'!$A$2:$C$45,3,FALSE)</f>
        <v>Non-metropolitan</v>
      </c>
      <c r="I809" s="224">
        <v>0</v>
      </c>
    </row>
    <row r="810" spans="1:9" ht="15.5" x14ac:dyDescent="0.35">
      <c r="A810" s="224" t="s">
        <v>54</v>
      </c>
      <c r="B810" s="224" t="s">
        <v>15</v>
      </c>
      <c r="C810" s="224" t="s">
        <v>89</v>
      </c>
      <c r="D810" s="224" t="s">
        <v>55</v>
      </c>
      <c r="E810" s="224" t="s">
        <v>256</v>
      </c>
      <c r="F810" s="224" t="s">
        <v>248</v>
      </c>
      <c r="G810" s="223" t="str">
        <f>VLOOKUP($B810,'FRS geographical categories'!$A$2:$C$45,2,FALSE)</f>
        <v>Significantly Rural</v>
      </c>
      <c r="H810" s="223" t="str">
        <f>VLOOKUP($B810,'FRS geographical categories'!$A$2:$C$45,3,FALSE)</f>
        <v>Non-metropolitan</v>
      </c>
      <c r="I810" s="224">
        <v>0</v>
      </c>
    </row>
    <row r="811" spans="1:9" ht="15.5" x14ac:dyDescent="0.35">
      <c r="A811" s="224" t="s">
        <v>54</v>
      </c>
      <c r="B811" s="224" t="s">
        <v>15</v>
      </c>
      <c r="C811" s="224" t="s">
        <v>89</v>
      </c>
      <c r="D811" s="224" t="s">
        <v>55</v>
      </c>
      <c r="E811" s="224" t="s">
        <v>256</v>
      </c>
      <c r="F811" s="224" t="s">
        <v>249</v>
      </c>
      <c r="G811" s="223" t="str">
        <f>VLOOKUP($B811,'FRS geographical categories'!$A$2:$C$45,2,FALSE)</f>
        <v>Significantly Rural</v>
      </c>
      <c r="H811" s="223" t="str">
        <f>VLOOKUP($B811,'FRS geographical categories'!$A$2:$C$45,3,FALSE)</f>
        <v>Non-metropolitan</v>
      </c>
      <c r="I811" s="224">
        <v>0</v>
      </c>
    </row>
    <row r="812" spans="1:9" ht="15.5" x14ac:dyDescent="0.35">
      <c r="A812" s="224" t="s">
        <v>54</v>
      </c>
      <c r="B812" s="224" t="s">
        <v>15</v>
      </c>
      <c r="C812" s="224" t="s">
        <v>89</v>
      </c>
      <c r="D812" s="224" t="s">
        <v>55</v>
      </c>
      <c r="E812" s="224" t="s">
        <v>256</v>
      </c>
      <c r="F812" s="224" t="s">
        <v>250</v>
      </c>
      <c r="G812" s="223" t="str">
        <f>VLOOKUP($B812,'FRS geographical categories'!$A$2:$C$45,2,FALSE)</f>
        <v>Significantly Rural</v>
      </c>
      <c r="H812" s="223" t="str">
        <f>VLOOKUP($B812,'FRS geographical categories'!$A$2:$C$45,3,FALSE)</f>
        <v>Non-metropolitan</v>
      </c>
      <c r="I812" s="224">
        <v>0</v>
      </c>
    </row>
    <row r="813" spans="1:9" ht="15.5" x14ac:dyDescent="0.35">
      <c r="A813" s="224" t="s">
        <v>54</v>
      </c>
      <c r="B813" s="224" t="s">
        <v>15</v>
      </c>
      <c r="C813" s="224" t="s">
        <v>89</v>
      </c>
      <c r="D813" s="224" t="s">
        <v>55</v>
      </c>
      <c r="E813" s="224" t="s">
        <v>256</v>
      </c>
      <c r="F813" s="224" t="s">
        <v>10</v>
      </c>
      <c r="G813" s="223" t="str">
        <f>VLOOKUP($B813,'FRS geographical categories'!$A$2:$C$45,2,FALSE)</f>
        <v>Significantly Rural</v>
      </c>
      <c r="H813" s="223" t="str">
        <f>VLOOKUP($B813,'FRS geographical categories'!$A$2:$C$45,3,FALSE)</f>
        <v>Non-metropolitan</v>
      </c>
      <c r="I813" s="224">
        <v>0</v>
      </c>
    </row>
    <row r="814" spans="1:9" ht="15.5" x14ac:dyDescent="0.35">
      <c r="A814" s="224" t="s">
        <v>54</v>
      </c>
      <c r="B814" s="224" t="s">
        <v>16</v>
      </c>
      <c r="C814" s="224" t="s">
        <v>86</v>
      </c>
      <c r="D814" s="224" t="s">
        <v>9</v>
      </c>
      <c r="E814" s="224" t="s">
        <v>256</v>
      </c>
      <c r="F814" s="224" t="s">
        <v>248</v>
      </c>
      <c r="G814" s="223" t="str">
        <f>VLOOKUP($B814,'FRS geographical categories'!$A$2:$C$45,2,FALSE)</f>
        <v>Predominantly Urban</v>
      </c>
      <c r="H814" s="223" t="str">
        <f>VLOOKUP($B814,'FRS geographical categories'!$A$2:$C$45,3,FALSE)</f>
        <v>Non-metropolitan</v>
      </c>
      <c r="I814" s="224">
        <v>829</v>
      </c>
    </row>
    <row r="815" spans="1:9" ht="15.5" x14ac:dyDescent="0.35">
      <c r="A815" s="224" t="s">
        <v>54</v>
      </c>
      <c r="B815" s="224" t="s">
        <v>16</v>
      </c>
      <c r="C815" s="224" t="s">
        <v>86</v>
      </c>
      <c r="D815" s="224" t="s">
        <v>9</v>
      </c>
      <c r="E815" s="224" t="s">
        <v>256</v>
      </c>
      <c r="F815" s="224" t="s">
        <v>249</v>
      </c>
      <c r="G815" s="223" t="str">
        <f>VLOOKUP($B815,'FRS geographical categories'!$A$2:$C$45,2,FALSE)</f>
        <v>Predominantly Urban</v>
      </c>
      <c r="H815" s="223" t="str">
        <f>VLOOKUP($B815,'FRS geographical categories'!$A$2:$C$45,3,FALSE)</f>
        <v>Non-metropolitan</v>
      </c>
      <c r="I815" s="224">
        <v>2252</v>
      </c>
    </row>
    <row r="816" spans="1:9" ht="15.5" x14ac:dyDescent="0.35">
      <c r="A816" s="224" t="s">
        <v>54</v>
      </c>
      <c r="B816" s="224" t="s">
        <v>16</v>
      </c>
      <c r="C816" s="224" t="s">
        <v>86</v>
      </c>
      <c r="D816" s="224" t="s">
        <v>9</v>
      </c>
      <c r="E816" s="224" t="s">
        <v>256</v>
      </c>
      <c r="F816" s="224" t="s">
        <v>250</v>
      </c>
      <c r="G816" s="223" t="str">
        <f>VLOOKUP($B816,'FRS geographical categories'!$A$2:$C$45,2,FALSE)</f>
        <v>Predominantly Urban</v>
      </c>
      <c r="H816" s="223" t="str">
        <f>VLOOKUP($B816,'FRS geographical categories'!$A$2:$C$45,3,FALSE)</f>
        <v>Non-metropolitan</v>
      </c>
      <c r="I816" s="224">
        <v>3402</v>
      </c>
    </row>
    <row r="817" spans="1:9" ht="15.5" x14ac:dyDescent="0.35">
      <c r="A817" s="224" t="s">
        <v>54</v>
      </c>
      <c r="B817" s="224" t="s">
        <v>16</v>
      </c>
      <c r="C817" s="224" t="s">
        <v>86</v>
      </c>
      <c r="D817" s="224" t="s">
        <v>9</v>
      </c>
      <c r="E817" s="224" t="s">
        <v>256</v>
      </c>
      <c r="F817" s="224" t="s">
        <v>111</v>
      </c>
      <c r="G817" s="223" t="str">
        <f>VLOOKUP($B817,'FRS geographical categories'!$A$2:$C$45,2,FALSE)</f>
        <v>Predominantly Urban</v>
      </c>
      <c r="H817" s="223" t="str">
        <f>VLOOKUP($B817,'FRS geographical categories'!$A$2:$C$45,3,FALSE)</f>
        <v>Non-metropolitan</v>
      </c>
      <c r="I817" s="224">
        <v>3081</v>
      </c>
    </row>
    <row r="818" spans="1:9" ht="15.5" x14ac:dyDescent="0.35">
      <c r="A818" s="224" t="s">
        <v>54</v>
      </c>
      <c r="B818" s="224" t="s">
        <v>16</v>
      </c>
      <c r="C818" s="224" t="s">
        <v>86</v>
      </c>
      <c r="D818" s="224" t="s">
        <v>9</v>
      </c>
      <c r="E818" s="224" t="s">
        <v>256</v>
      </c>
      <c r="F818" s="224" t="s">
        <v>10</v>
      </c>
      <c r="G818" s="223" t="str">
        <f>VLOOKUP($B818,'FRS geographical categories'!$A$2:$C$45,2,FALSE)</f>
        <v>Predominantly Urban</v>
      </c>
      <c r="H818" s="223" t="str">
        <f>VLOOKUP($B818,'FRS geographical categories'!$A$2:$C$45,3,FALSE)</f>
        <v>Non-metropolitan</v>
      </c>
      <c r="I818" s="224">
        <v>14340</v>
      </c>
    </row>
    <row r="819" spans="1:9" ht="15.5" x14ac:dyDescent="0.35">
      <c r="A819" s="224" t="s">
        <v>54</v>
      </c>
      <c r="B819" s="224" t="s">
        <v>16</v>
      </c>
      <c r="C819" s="224" t="s">
        <v>86</v>
      </c>
      <c r="D819" s="224" t="s">
        <v>55</v>
      </c>
      <c r="E819" s="224" t="s">
        <v>256</v>
      </c>
      <c r="F819" s="224" t="s">
        <v>248</v>
      </c>
      <c r="G819" s="223" t="str">
        <f>VLOOKUP($B819,'FRS geographical categories'!$A$2:$C$45,2,FALSE)</f>
        <v>Predominantly Urban</v>
      </c>
      <c r="H819" s="223" t="str">
        <f>VLOOKUP($B819,'FRS geographical categories'!$A$2:$C$45,3,FALSE)</f>
        <v>Non-metropolitan</v>
      </c>
      <c r="I819" s="224">
        <v>117</v>
      </c>
    </row>
    <row r="820" spans="1:9" ht="15.5" x14ac:dyDescent="0.35">
      <c r="A820" s="224" t="s">
        <v>54</v>
      </c>
      <c r="B820" s="224" t="s">
        <v>16</v>
      </c>
      <c r="C820" s="224" t="s">
        <v>86</v>
      </c>
      <c r="D820" s="224" t="s">
        <v>55</v>
      </c>
      <c r="E820" s="224" t="s">
        <v>256</v>
      </c>
      <c r="F820" s="224" t="s">
        <v>249</v>
      </c>
      <c r="G820" s="223" t="str">
        <f>VLOOKUP($B820,'FRS geographical categories'!$A$2:$C$45,2,FALSE)</f>
        <v>Predominantly Urban</v>
      </c>
      <c r="H820" s="223" t="str">
        <f>VLOOKUP($B820,'FRS geographical categories'!$A$2:$C$45,3,FALSE)</f>
        <v>Non-metropolitan</v>
      </c>
      <c r="I820" s="224">
        <v>396</v>
      </c>
    </row>
    <row r="821" spans="1:9" ht="15.5" x14ac:dyDescent="0.35">
      <c r="A821" s="224" t="s">
        <v>54</v>
      </c>
      <c r="B821" s="224" t="s">
        <v>16</v>
      </c>
      <c r="C821" s="224" t="s">
        <v>86</v>
      </c>
      <c r="D821" s="224" t="s">
        <v>55</v>
      </c>
      <c r="E821" s="224" t="s">
        <v>256</v>
      </c>
      <c r="F821" s="224" t="s">
        <v>250</v>
      </c>
      <c r="G821" s="223" t="str">
        <f>VLOOKUP($B821,'FRS geographical categories'!$A$2:$C$45,2,FALSE)</f>
        <v>Predominantly Urban</v>
      </c>
      <c r="H821" s="223" t="str">
        <f>VLOOKUP($B821,'FRS geographical categories'!$A$2:$C$45,3,FALSE)</f>
        <v>Non-metropolitan</v>
      </c>
      <c r="I821" s="224">
        <v>246</v>
      </c>
    </row>
    <row r="822" spans="1:9" ht="15.5" x14ac:dyDescent="0.35">
      <c r="A822" s="224" t="s">
        <v>54</v>
      </c>
      <c r="B822" s="224" t="s">
        <v>16</v>
      </c>
      <c r="C822" s="224" t="s">
        <v>86</v>
      </c>
      <c r="D822" s="224" t="s">
        <v>55</v>
      </c>
      <c r="E822" s="224" t="s">
        <v>256</v>
      </c>
      <c r="F822" s="224" t="s">
        <v>111</v>
      </c>
      <c r="G822" s="223" t="str">
        <f>VLOOKUP($B822,'FRS geographical categories'!$A$2:$C$45,2,FALSE)</f>
        <v>Predominantly Urban</v>
      </c>
      <c r="H822" s="223" t="str">
        <f>VLOOKUP($B822,'FRS geographical categories'!$A$2:$C$45,3,FALSE)</f>
        <v>Non-metropolitan</v>
      </c>
      <c r="I822" s="224">
        <v>732</v>
      </c>
    </row>
    <row r="823" spans="1:9" ht="15.5" x14ac:dyDescent="0.35">
      <c r="A823" s="224" t="s">
        <v>54</v>
      </c>
      <c r="B823" s="224" t="s">
        <v>16</v>
      </c>
      <c r="C823" s="224" t="s">
        <v>86</v>
      </c>
      <c r="D823" s="224" t="s">
        <v>55</v>
      </c>
      <c r="E823" s="224" t="s">
        <v>256</v>
      </c>
      <c r="F823" s="224" t="s">
        <v>10</v>
      </c>
      <c r="G823" s="223" t="str">
        <f>VLOOKUP($B823,'FRS geographical categories'!$A$2:$C$45,2,FALSE)</f>
        <v>Predominantly Urban</v>
      </c>
      <c r="H823" s="223" t="str">
        <f>VLOOKUP($B823,'FRS geographical categories'!$A$2:$C$45,3,FALSE)</f>
        <v>Non-metropolitan</v>
      </c>
      <c r="I823" s="224">
        <v>1204</v>
      </c>
    </row>
    <row r="824" spans="1:9" ht="15.5" x14ac:dyDescent="0.35">
      <c r="A824" s="224" t="s">
        <v>54</v>
      </c>
      <c r="B824" s="224" t="s">
        <v>16</v>
      </c>
      <c r="C824" s="224" t="s">
        <v>89</v>
      </c>
      <c r="D824" s="224" t="s">
        <v>9</v>
      </c>
      <c r="E824" s="224" t="s">
        <v>256</v>
      </c>
      <c r="F824" s="224" t="s">
        <v>248</v>
      </c>
      <c r="G824" s="223" t="str">
        <f>VLOOKUP($B824,'FRS geographical categories'!$A$2:$C$45,2,FALSE)</f>
        <v>Predominantly Urban</v>
      </c>
      <c r="H824" s="223" t="str">
        <f>VLOOKUP($B824,'FRS geographical categories'!$A$2:$C$45,3,FALSE)</f>
        <v>Non-metropolitan</v>
      </c>
      <c r="I824" s="224">
        <v>1</v>
      </c>
    </row>
    <row r="825" spans="1:9" ht="15.5" x14ac:dyDescent="0.35">
      <c r="A825" s="224" t="s">
        <v>54</v>
      </c>
      <c r="B825" s="224" t="s">
        <v>16</v>
      </c>
      <c r="C825" s="224" t="s">
        <v>89</v>
      </c>
      <c r="D825" s="224" t="s">
        <v>9</v>
      </c>
      <c r="E825" s="224" t="s">
        <v>256</v>
      </c>
      <c r="F825" s="224" t="s">
        <v>249</v>
      </c>
      <c r="G825" s="223" t="str">
        <f>VLOOKUP($B825,'FRS geographical categories'!$A$2:$C$45,2,FALSE)</f>
        <v>Predominantly Urban</v>
      </c>
      <c r="H825" s="223" t="str">
        <f>VLOOKUP($B825,'FRS geographical categories'!$A$2:$C$45,3,FALSE)</f>
        <v>Non-metropolitan</v>
      </c>
      <c r="I825" s="224">
        <v>3</v>
      </c>
    </row>
    <row r="826" spans="1:9" ht="15.5" x14ac:dyDescent="0.35">
      <c r="A826" s="224" t="s">
        <v>54</v>
      </c>
      <c r="B826" s="224" t="s">
        <v>16</v>
      </c>
      <c r="C826" s="224" t="s">
        <v>89</v>
      </c>
      <c r="D826" s="224" t="s">
        <v>9</v>
      </c>
      <c r="E826" s="224" t="s">
        <v>256</v>
      </c>
      <c r="F826" s="224" t="s">
        <v>250</v>
      </c>
      <c r="G826" s="223" t="str">
        <f>VLOOKUP($B826,'FRS geographical categories'!$A$2:$C$45,2,FALSE)</f>
        <v>Predominantly Urban</v>
      </c>
      <c r="H826" s="223" t="str">
        <f>VLOOKUP($B826,'FRS geographical categories'!$A$2:$C$45,3,FALSE)</f>
        <v>Non-metropolitan</v>
      </c>
      <c r="I826" s="224">
        <v>3</v>
      </c>
    </row>
    <row r="827" spans="1:9" ht="15.5" x14ac:dyDescent="0.35">
      <c r="A827" s="224" t="s">
        <v>54</v>
      </c>
      <c r="B827" s="224" t="s">
        <v>16</v>
      </c>
      <c r="C827" s="224" t="s">
        <v>89</v>
      </c>
      <c r="D827" s="224" t="s">
        <v>9</v>
      </c>
      <c r="E827" s="224" t="s">
        <v>256</v>
      </c>
      <c r="F827" s="224" t="s">
        <v>10</v>
      </c>
      <c r="G827" s="223" t="str">
        <f>VLOOKUP($B827,'FRS geographical categories'!$A$2:$C$45,2,FALSE)</f>
        <v>Predominantly Urban</v>
      </c>
      <c r="H827" s="223" t="str">
        <f>VLOOKUP($B827,'FRS geographical categories'!$A$2:$C$45,3,FALSE)</f>
        <v>Non-metropolitan</v>
      </c>
      <c r="I827" s="224">
        <v>10</v>
      </c>
    </row>
    <row r="828" spans="1:9" ht="15.5" x14ac:dyDescent="0.35">
      <c r="A828" s="224" t="s">
        <v>54</v>
      </c>
      <c r="B828" s="224" t="s">
        <v>16</v>
      </c>
      <c r="C828" s="224" t="s">
        <v>89</v>
      </c>
      <c r="D828" s="224" t="s">
        <v>55</v>
      </c>
      <c r="E828" s="224" t="s">
        <v>256</v>
      </c>
      <c r="F828" s="224" t="s">
        <v>248</v>
      </c>
      <c r="G828" s="223" t="str">
        <f>VLOOKUP($B828,'FRS geographical categories'!$A$2:$C$45,2,FALSE)</f>
        <v>Predominantly Urban</v>
      </c>
      <c r="H828" s="223" t="str">
        <f>VLOOKUP($B828,'FRS geographical categories'!$A$2:$C$45,3,FALSE)</f>
        <v>Non-metropolitan</v>
      </c>
      <c r="I828" s="224">
        <v>0</v>
      </c>
    </row>
    <row r="829" spans="1:9" ht="15.5" x14ac:dyDescent="0.35">
      <c r="A829" s="224" t="s">
        <v>54</v>
      </c>
      <c r="B829" s="224" t="s">
        <v>16</v>
      </c>
      <c r="C829" s="224" t="s">
        <v>89</v>
      </c>
      <c r="D829" s="224" t="s">
        <v>55</v>
      </c>
      <c r="E829" s="224" t="s">
        <v>256</v>
      </c>
      <c r="F829" s="224" t="s">
        <v>249</v>
      </c>
      <c r="G829" s="223" t="str">
        <f>VLOOKUP($B829,'FRS geographical categories'!$A$2:$C$45,2,FALSE)</f>
        <v>Predominantly Urban</v>
      </c>
      <c r="H829" s="223" t="str">
        <f>VLOOKUP($B829,'FRS geographical categories'!$A$2:$C$45,3,FALSE)</f>
        <v>Non-metropolitan</v>
      </c>
      <c r="I829" s="224">
        <v>0</v>
      </c>
    </row>
    <row r="830" spans="1:9" ht="15.5" x14ac:dyDescent="0.35">
      <c r="A830" s="224" t="s">
        <v>54</v>
      </c>
      <c r="B830" s="224" t="s">
        <v>16</v>
      </c>
      <c r="C830" s="224" t="s">
        <v>89</v>
      </c>
      <c r="D830" s="224" t="s">
        <v>55</v>
      </c>
      <c r="E830" s="224" t="s">
        <v>256</v>
      </c>
      <c r="F830" s="224" t="s">
        <v>250</v>
      </c>
      <c r="G830" s="223" t="str">
        <f>VLOOKUP($B830,'FRS geographical categories'!$A$2:$C$45,2,FALSE)</f>
        <v>Predominantly Urban</v>
      </c>
      <c r="H830" s="223" t="str">
        <f>VLOOKUP($B830,'FRS geographical categories'!$A$2:$C$45,3,FALSE)</f>
        <v>Non-metropolitan</v>
      </c>
      <c r="I830" s="224">
        <v>0</v>
      </c>
    </row>
    <row r="831" spans="1:9" ht="15.5" x14ac:dyDescent="0.35">
      <c r="A831" s="224" t="s">
        <v>54</v>
      </c>
      <c r="B831" s="224" t="s">
        <v>16</v>
      </c>
      <c r="C831" s="224" t="s">
        <v>89</v>
      </c>
      <c r="D831" s="224" t="s">
        <v>55</v>
      </c>
      <c r="E831" s="224" t="s">
        <v>256</v>
      </c>
      <c r="F831" s="224" t="s">
        <v>10</v>
      </c>
      <c r="G831" s="223" t="str">
        <f>VLOOKUP($B831,'FRS geographical categories'!$A$2:$C$45,2,FALSE)</f>
        <v>Predominantly Urban</v>
      </c>
      <c r="H831" s="223" t="str">
        <f>VLOOKUP($B831,'FRS geographical categories'!$A$2:$C$45,3,FALSE)</f>
        <v>Non-metropolitan</v>
      </c>
      <c r="I831" s="224">
        <v>2</v>
      </c>
    </row>
    <row r="832" spans="1:9" ht="15.5" x14ac:dyDescent="0.35">
      <c r="A832" s="224" t="s">
        <v>54</v>
      </c>
      <c r="B832" s="224" t="s">
        <v>17</v>
      </c>
      <c r="C832" s="224" t="s">
        <v>86</v>
      </c>
      <c r="D832" s="224" t="s">
        <v>9</v>
      </c>
      <c r="E832" s="224" t="s">
        <v>256</v>
      </c>
      <c r="F832" s="224" t="s">
        <v>248</v>
      </c>
      <c r="G832" s="223" t="str">
        <f>VLOOKUP($B832,'FRS geographical categories'!$A$2:$C$45,2,FALSE)</f>
        <v>Predominantly Rural</v>
      </c>
      <c r="H832" s="223" t="str">
        <f>VLOOKUP($B832,'FRS geographical categories'!$A$2:$C$45,3,FALSE)</f>
        <v>Non-metropolitan</v>
      </c>
      <c r="I832" s="224">
        <v>82</v>
      </c>
    </row>
    <row r="833" spans="1:9" ht="15.5" x14ac:dyDescent="0.35">
      <c r="A833" s="224" t="s">
        <v>54</v>
      </c>
      <c r="B833" s="224" t="s">
        <v>17</v>
      </c>
      <c r="C833" s="224" t="s">
        <v>86</v>
      </c>
      <c r="D833" s="224" t="s">
        <v>9</v>
      </c>
      <c r="E833" s="224" t="s">
        <v>256</v>
      </c>
      <c r="F833" s="224" t="s">
        <v>249</v>
      </c>
      <c r="G833" s="223" t="str">
        <f>VLOOKUP($B833,'FRS geographical categories'!$A$2:$C$45,2,FALSE)</f>
        <v>Predominantly Rural</v>
      </c>
      <c r="H833" s="223" t="str">
        <f>VLOOKUP($B833,'FRS geographical categories'!$A$2:$C$45,3,FALSE)</f>
        <v>Non-metropolitan</v>
      </c>
      <c r="I833" s="224">
        <v>928</v>
      </c>
    </row>
    <row r="834" spans="1:9" ht="15.5" x14ac:dyDescent="0.35">
      <c r="A834" s="224" t="s">
        <v>54</v>
      </c>
      <c r="B834" s="224" t="s">
        <v>17</v>
      </c>
      <c r="C834" s="224" t="s">
        <v>86</v>
      </c>
      <c r="D834" s="224" t="s">
        <v>9</v>
      </c>
      <c r="E834" s="224" t="s">
        <v>256</v>
      </c>
      <c r="F834" s="224" t="s">
        <v>250</v>
      </c>
      <c r="G834" s="223" t="str">
        <f>VLOOKUP($B834,'FRS geographical categories'!$A$2:$C$45,2,FALSE)</f>
        <v>Predominantly Rural</v>
      </c>
      <c r="H834" s="223" t="str">
        <f>VLOOKUP($B834,'FRS geographical categories'!$A$2:$C$45,3,FALSE)</f>
        <v>Non-metropolitan</v>
      </c>
      <c r="I834" s="224">
        <v>698</v>
      </c>
    </row>
    <row r="835" spans="1:9" ht="15.5" x14ac:dyDescent="0.35">
      <c r="A835" s="224" t="s">
        <v>54</v>
      </c>
      <c r="B835" s="224" t="s">
        <v>17</v>
      </c>
      <c r="C835" s="224" t="s">
        <v>86</v>
      </c>
      <c r="D835" s="224" t="s">
        <v>9</v>
      </c>
      <c r="E835" s="224" t="s">
        <v>256</v>
      </c>
      <c r="F835" s="224" t="s">
        <v>111</v>
      </c>
      <c r="G835" s="223" t="str">
        <f>VLOOKUP($B835,'FRS geographical categories'!$A$2:$C$45,2,FALSE)</f>
        <v>Predominantly Rural</v>
      </c>
      <c r="H835" s="223" t="str">
        <f>VLOOKUP($B835,'FRS geographical categories'!$A$2:$C$45,3,FALSE)</f>
        <v>Non-metropolitan</v>
      </c>
      <c r="I835" s="224">
        <v>2153</v>
      </c>
    </row>
    <row r="836" spans="1:9" ht="15.5" x14ac:dyDescent="0.35">
      <c r="A836" s="224" t="s">
        <v>54</v>
      </c>
      <c r="B836" s="224" t="s">
        <v>17</v>
      </c>
      <c r="C836" s="224" t="s">
        <v>86</v>
      </c>
      <c r="D836" s="224" t="s">
        <v>9</v>
      </c>
      <c r="E836" s="224" t="s">
        <v>256</v>
      </c>
      <c r="F836" s="224" t="s">
        <v>10</v>
      </c>
      <c r="G836" s="223" t="str">
        <f>VLOOKUP($B836,'FRS geographical categories'!$A$2:$C$45,2,FALSE)</f>
        <v>Predominantly Rural</v>
      </c>
      <c r="H836" s="223" t="str">
        <f>VLOOKUP($B836,'FRS geographical categories'!$A$2:$C$45,3,FALSE)</f>
        <v>Non-metropolitan</v>
      </c>
      <c r="I836" s="224">
        <v>2153</v>
      </c>
    </row>
    <row r="837" spans="1:9" ht="15.5" x14ac:dyDescent="0.35">
      <c r="A837" s="224" t="s">
        <v>54</v>
      </c>
      <c r="B837" s="224" t="s">
        <v>17</v>
      </c>
      <c r="C837" s="224" t="s">
        <v>86</v>
      </c>
      <c r="D837" s="224" t="s">
        <v>55</v>
      </c>
      <c r="E837" s="224" t="s">
        <v>256</v>
      </c>
      <c r="F837" s="224" t="s">
        <v>248</v>
      </c>
      <c r="G837" s="223" t="str">
        <f>VLOOKUP($B837,'FRS geographical categories'!$A$2:$C$45,2,FALSE)</f>
        <v>Predominantly Rural</v>
      </c>
      <c r="H837" s="223" t="str">
        <f>VLOOKUP($B837,'FRS geographical categories'!$A$2:$C$45,3,FALSE)</f>
        <v>Non-metropolitan</v>
      </c>
      <c r="I837" s="224">
        <v>2</v>
      </c>
    </row>
    <row r="838" spans="1:9" ht="15.5" x14ac:dyDescent="0.35">
      <c r="A838" s="224" t="s">
        <v>54</v>
      </c>
      <c r="B838" s="224" t="s">
        <v>17</v>
      </c>
      <c r="C838" s="224" t="s">
        <v>86</v>
      </c>
      <c r="D838" s="224" t="s">
        <v>55</v>
      </c>
      <c r="E838" s="224" t="s">
        <v>256</v>
      </c>
      <c r="F838" s="224" t="s">
        <v>249</v>
      </c>
      <c r="G838" s="223" t="str">
        <f>VLOOKUP($B838,'FRS geographical categories'!$A$2:$C$45,2,FALSE)</f>
        <v>Predominantly Rural</v>
      </c>
      <c r="H838" s="223" t="str">
        <f>VLOOKUP($B838,'FRS geographical categories'!$A$2:$C$45,3,FALSE)</f>
        <v>Non-metropolitan</v>
      </c>
      <c r="I838" s="224">
        <v>13</v>
      </c>
    </row>
    <row r="839" spans="1:9" ht="15.5" x14ac:dyDescent="0.35">
      <c r="A839" s="224" t="s">
        <v>54</v>
      </c>
      <c r="B839" s="224" t="s">
        <v>17</v>
      </c>
      <c r="C839" s="224" t="s">
        <v>86</v>
      </c>
      <c r="D839" s="224" t="s">
        <v>55</v>
      </c>
      <c r="E839" s="224" t="s">
        <v>256</v>
      </c>
      <c r="F839" s="224" t="s">
        <v>250</v>
      </c>
      <c r="G839" s="223" t="str">
        <f>VLOOKUP($B839,'FRS geographical categories'!$A$2:$C$45,2,FALSE)</f>
        <v>Predominantly Rural</v>
      </c>
      <c r="H839" s="223" t="str">
        <f>VLOOKUP($B839,'FRS geographical categories'!$A$2:$C$45,3,FALSE)</f>
        <v>Non-metropolitan</v>
      </c>
      <c r="I839" s="224">
        <v>11</v>
      </c>
    </row>
    <row r="840" spans="1:9" ht="15.5" x14ac:dyDescent="0.35">
      <c r="A840" s="224" t="s">
        <v>54</v>
      </c>
      <c r="B840" s="224" t="s">
        <v>17</v>
      </c>
      <c r="C840" s="224" t="s">
        <v>86</v>
      </c>
      <c r="D840" s="224" t="s">
        <v>55</v>
      </c>
      <c r="E840" s="224" t="s">
        <v>256</v>
      </c>
      <c r="F840" s="224" t="s">
        <v>111</v>
      </c>
      <c r="G840" s="223" t="str">
        <f>VLOOKUP($B840,'FRS geographical categories'!$A$2:$C$45,2,FALSE)</f>
        <v>Predominantly Rural</v>
      </c>
      <c r="H840" s="223" t="str">
        <f>VLOOKUP($B840,'FRS geographical categories'!$A$2:$C$45,3,FALSE)</f>
        <v>Non-metropolitan</v>
      </c>
      <c r="I840" s="224">
        <v>29</v>
      </c>
    </row>
    <row r="841" spans="1:9" ht="15.5" x14ac:dyDescent="0.35">
      <c r="A841" s="224" t="s">
        <v>54</v>
      </c>
      <c r="B841" s="224" t="s">
        <v>17</v>
      </c>
      <c r="C841" s="224" t="s">
        <v>86</v>
      </c>
      <c r="D841" s="224" t="s">
        <v>55</v>
      </c>
      <c r="E841" s="224" t="s">
        <v>256</v>
      </c>
      <c r="F841" s="224" t="s">
        <v>10</v>
      </c>
      <c r="G841" s="223" t="str">
        <f>VLOOKUP($B841,'FRS geographical categories'!$A$2:$C$45,2,FALSE)</f>
        <v>Predominantly Rural</v>
      </c>
      <c r="H841" s="223" t="str">
        <f>VLOOKUP($B841,'FRS geographical categories'!$A$2:$C$45,3,FALSE)</f>
        <v>Non-metropolitan</v>
      </c>
      <c r="I841" s="224">
        <v>29</v>
      </c>
    </row>
    <row r="842" spans="1:9" ht="15.5" x14ac:dyDescent="0.35">
      <c r="A842" s="224" t="s">
        <v>54</v>
      </c>
      <c r="B842" s="224" t="s">
        <v>17</v>
      </c>
      <c r="C842" s="224" t="s">
        <v>89</v>
      </c>
      <c r="D842" s="224" t="s">
        <v>9</v>
      </c>
      <c r="E842" s="224" t="s">
        <v>256</v>
      </c>
      <c r="F842" s="224" t="s">
        <v>248</v>
      </c>
      <c r="G842" s="223" t="str">
        <f>VLOOKUP($B842,'FRS geographical categories'!$A$2:$C$45,2,FALSE)</f>
        <v>Predominantly Rural</v>
      </c>
      <c r="H842" s="223" t="str">
        <f>VLOOKUP($B842,'FRS geographical categories'!$A$2:$C$45,3,FALSE)</f>
        <v>Non-metropolitan</v>
      </c>
      <c r="I842" s="224">
        <v>0</v>
      </c>
    </row>
    <row r="843" spans="1:9" ht="15.5" x14ac:dyDescent="0.35">
      <c r="A843" s="224" t="s">
        <v>54</v>
      </c>
      <c r="B843" s="224" t="s">
        <v>17</v>
      </c>
      <c r="C843" s="224" t="s">
        <v>89</v>
      </c>
      <c r="D843" s="224" t="s">
        <v>9</v>
      </c>
      <c r="E843" s="224" t="s">
        <v>256</v>
      </c>
      <c r="F843" s="224" t="s">
        <v>249</v>
      </c>
      <c r="G843" s="223" t="str">
        <f>VLOOKUP($B843,'FRS geographical categories'!$A$2:$C$45,2,FALSE)</f>
        <v>Predominantly Rural</v>
      </c>
      <c r="H843" s="223" t="str">
        <f>VLOOKUP($B843,'FRS geographical categories'!$A$2:$C$45,3,FALSE)</f>
        <v>Non-metropolitan</v>
      </c>
      <c r="I843" s="224">
        <v>0</v>
      </c>
    </row>
    <row r="844" spans="1:9" ht="15.5" x14ac:dyDescent="0.35">
      <c r="A844" s="224" t="s">
        <v>54</v>
      </c>
      <c r="B844" s="224" t="s">
        <v>17</v>
      </c>
      <c r="C844" s="224" t="s">
        <v>89</v>
      </c>
      <c r="D844" s="224" t="s">
        <v>9</v>
      </c>
      <c r="E844" s="224" t="s">
        <v>256</v>
      </c>
      <c r="F844" s="224" t="s">
        <v>250</v>
      </c>
      <c r="G844" s="223" t="str">
        <f>VLOOKUP($B844,'FRS geographical categories'!$A$2:$C$45,2,FALSE)</f>
        <v>Predominantly Rural</v>
      </c>
      <c r="H844" s="223" t="str">
        <f>VLOOKUP($B844,'FRS geographical categories'!$A$2:$C$45,3,FALSE)</f>
        <v>Non-metropolitan</v>
      </c>
      <c r="I844" s="224">
        <v>0</v>
      </c>
    </row>
    <row r="845" spans="1:9" ht="15.5" x14ac:dyDescent="0.35">
      <c r="A845" s="224" t="s">
        <v>54</v>
      </c>
      <c r="B845" s="224" t="s">
        <v>17</v>
      </c>
      <c r="C845" s="224" t="s">
        <v>89</v>
      </c>
      <c r="D845" s="224" t="s">
        <v>9</v>
      </c>
      <c r="E845" s="224" t="s">
        <v>256</v>
      </c>
      <c r="F845" s="224" t="s">
        <v>10</v>
      </c>
      <c r="G845" s="223" t="str">
        <f>VLOOKUP($B845,'FRS geographical categories'!$A$2:$C$45,2,FALSE)</f>
        <v>Predominantly Rural</v>
      </c>
      <c r="H845" s="223" t="str">
        <f>VLOOKUP($B845,'FRS geographical categories'!$A$2:$C$45,3,FALSE)</f>
        <v>Non-metropolitan</v>
      </c>
      <c r="I845" s="224">
        <v>0</v>
      </c>
    </row>
    <row r="846" spans="1:9" ht="15.5" x14ac:dyDescent="0.35">
      <c r="A846" s="224" t="s">
        <v>54</v>
      </c>
      <c r="B846" s="224" t="s">
        <v>17</v>
      </c>
      <c r="C846" s="224" t="s">
        <v>89</v>
      </c>
      <c r="D846" s="224" t="s">
        <v>55</v>
      </c>
      <c r="E846" s="224" t="s">
        <v>256</v>
      </c>
      <c r="F846" s="224" t="s">
        <v>248</v>
      </c>
      <c r="G846" s="223" t="str">
        <f>VLOOKUP($B846,'FRS geographical categories'!$A$2:$C$45,2,FALSE)</f>
        <v>Predominantly Rural</v>
      </c>
      <c r="H846" s="223" t="str">
        <f>VLOOKUP($B846,'FRS geographical categories'!$A$2:$C$45,3,FALSE)</f>
        <v>Non-metropolitan</v>
      </c>
      <c r="I846" s="224">
        <v>0</v>
      </c>
    </row>
    <row r="847" spans="1:9" ht="15.5" x14ac:dyDescent="0.35">
      <c r="A847" s="224" t="s">
        <v>54</v>
      </c>
      <c r="B847" s="224" t="s">
        <v>17</v>
      </c>
      <c r="C847" s="224" t="s">
        <v>89</v>
      </c>
      <c r="D847" s="224" t="s">
        <v>55</v>
      </c>
      <c r="E847" s="224" t="s">
        <v>256</v>
      </c>
      <c r="F847" s="224" t="s">
        <v>249</v>
      </c>
      <c r="G847" s="223" t="str">
        <f>VLOOKUP($B847,'FRS geographical categories'!$A$2:$C$45,2,FALSE)</f>
        <v>Predominantly Rural</v>
      </c>
      <c r="H847" s="223" t="str">
        <f>VLOOKUP($B847,'FRS geographical categories'!$A$2:$C$45,3,FALSE)</f>
        <v>Non-metropolitan</v>
      </c>
      <c r="I847" s="224">
        <v>0</v>
      </c>
    </row>
    <row r="848" spans="1:9" ht="15.5" x14ac:dyDescent="0.35">
      <c r="A848" s="224" t="s">
        <v>54</v>
      </c>
      <c r="B848" s="224" t="s">
        <v>17</v>
      </c>
      <c r="C848" s="224" t="s">
        <v>89</v>
      </c>
      <c r="D848" s="224" t="s">
        <v>55</v>
      </c>
      <c r="E848" s="224" t="s">
        <v>256</v>
      </c>
      <c r="F848" s="224" t="s">
        <v>250</v>
      </c>
      <c r="G848" s="223" t="str">
        <f>VLOOKUP($B848,'FRS geographical categories'!$A$2:$C$45,2,FALSE)</f>
        <v>Predominantly Rural</v>
      </c>
      <c r="H848" s="223" t="str">
        <f>VLOOKUP($B848,'FRS geographical categories'!$A$2:$C$45,3,FALSE)</f>
        <v>Non-metropolitan</v>
      </c>
      <c r="I848" s="224">
        <v>0</v>
      </c>
    </row>
    <row r="849" spans="1:9" ht="15.5" x14ac:dyDescent="0.35">
      <c r="A849" s="224" t="s">
        <v>54</v>
      </c>
      <c r="B849" s="224" t="s">
        <v>17</v>
      </c>
      <c r="C849" s="224" t="s">
        <v>89</v>
      </c>
      <c r="D849" s="224" t="s">
        <v>55</v>
      </c>
      <c r="E849" s="224" t="s">
        <v>256</v>
      </c>
      <c r="F849" s="224" t="s">
        <v>10</v>
      </c>
      <c r="G849" s="223" t="str">
        <f>VLOOKUP($B849,'FRS geographical categories'!$A$2:$C$45,2,FALSE)</f>
        <v>Predominantly Rural</v>
      </c>
      <c r="H849" s="223" t="str">
        <f>VLOOKUP($B849,'FRS geographical categories'!$A$2:$C$45,3,FALSE)</f>
        <v>Non-metropolitan</v>
      </c>
      <c r="I849" s="224">
        <v>0</v>
      </c>
    </row>
    <row r="850" spans="1:9" ht="15.5" x14ac:dyDescent="0.35">
      <c r="A850" s="224" t="s">
        <v>54</v>
      </c>
      <c r="B850" s="224" t="s">
        <v>18</v>
      </c>
      <c r="C850" s="224" t="s">
        <v>86</v>
      </c>
      <c r="D850" s="224" t="s">
        <v>9</v>
      </c>
      <c r="E850" s="224" t="s">
        <v>256</v>
      </c>
      <c r="F850" s="224" t="s">
        <v>248</v>
      </c>
      <c r="G850" s="223" t="str">
        <f>VLOOKUP($B850,'FRS geographical categories'!$A$2:$C$45,2,FALSE)</f>
        <v>Predominantly Rural</v>
      </c>
      <c r="H850" s="223" t="str">
        <f>VLOOKUP($B850,'FRS geographical categories'!$A$2:$C$45,3,FALSE)</f>
        <v>Non-metropolitan</v>
      </c>
      <c r="I850" s="224">
        <v>124</v>
      </c>
    </row>
    <row r="851" spans="1:9" ht="15.5" x14ac:dyDescent="0.35">
      <c r="A851" s="224" t="s">
        <v>54</v>
      </c>
      <c r="B851" s="224" t="s">
        <v>18</v>
      </c>
      <c r="C851" s="224" t="s">
        <v>86</v>
      </c>
      <c r="D851" s="224" t="s">
        <v>9</v>
      </c>
      <c r="E851" s="224" t="s">
        <v>256</v>
      </c>
      <c r="F851" s="224" t="s">
        <v>249</v>
      </c>
      <c r="G851" s="223" t="str">
        <f>VLOOKUP($B851,'FRS geographical categories'!$A$2:$C$45,2,FALSE)</f>
        <v>Predominantly Rural</v>
      </c>
      <c r="H851" s="223" t="str">
        <f>VLOOKUP($B851,'FRS geographical categories'!$A$2:$C$45,3,FALSE)</f>
        <v>Non-metropolitan</v>
      </c>
      <c r="I851" s="224">
        <v>696</v>
      </c>
    </row>
    <row r="852" spans="1:9" ht="15.5" x14ac:dyDescent="0.35">
      <c r="A852" s="224" t="s">
        <v>54</v>
      </c>
      <c r="B852" s="224" t="s">
        <v>18</v>
      </c>
      <c r="C852" s="224" t="s">
        <v>86</v>
      </c>
      <c r="D852" s="224" t="s">
        <v>9</v>
      </c>
      <c r="E852" s="224" t="s">
        <v>256</v>
      </c>
      <c r="F852" s="224" t="s">
        <v>250</v>
      </c>
      <c r="G852" s="223" t="str">
        <f>VLOOKUP($B852,'FRS geographical categories'!$A$2:$C$45,2,FALSE)</f>
        <v>Predominantly Rural</v>
      </c>
      <c r="H852" s="223" t="str">
        <f>VLOOKUP($B852,'FRS geographical categories'!$A$2:$C$45,3,FALSE)</f>
        <v>Non-metropolitan</v>
      </c>
      <c r="I852" s="224">
        <v>669</v>
      </c>
    </row>
    <row r="853" spans="1:9" ht="15.5" x14ac:dyDescent="0.35">
      <c r="A853" s="224" t="s">
        <v>54</v>
      </c>
      <c r="B853" s="224" t="s">
        <v>18</v>
      </c>
      <c r="C853" s="224" t="s">
        <v>86</v>
      </c>
      <c r="D853" s="224" t="s">
        <v>9</v>
      </c>
      <c r="E853" s="224" t="s">
        <v>256</v>
      </c>
      <c r="F853" s="224" t="s">
        <v>111</v>
      </c>
      <c r="G853" s="223" t="str">
        <f>VLOOKUP($B853,'FRS geographical categories'!$A$2:$C$45,2,FALSE)</f>
        <v>Predominantly Rural</v>
      </c>
      <c r="H853" s="223" t="str">
        <f>VLOOKUP($B853,'FRS geographical categories'!$A$2:$C$45,3,FALSE)</f>
        <v>Non-metropolitan</v>
      </c>
      <c r="I853" s="224">
        <v>1489</v>
      </c>
    </row>
    <row r="854" spans="1:9" ht="15.5" x14ac:dyDescent="0.35">
      <c r="A854" s="224" t="s">
        <v>54</v>
      </c>
      <c r="B854" s="224" t="s">
        <v>18</v>
      </c>
      <c r="C854" s="224" t="s">
        <v>86</v>
      </c>
      <c r="D854" s="224" t="s">
        <v>9</v>
      </c>
      <c r="E854" s="224" t="s">
        <v>256</v>
      </c>
      <c r="F854" s="224" t="s">
        <v>10</v>
      </c>
      <c r="G854" s="223" t="str">
        <f>VLOOKUP($B854,'FRS geographical categories'!$A$2:$C$45,2,FALSE)</f>
        <v>Predominantly Rural</v>
      </c>
      <c r="H854" s="223" t="str">
        <f>VLOOKUP($B854,'FRS geographical categories'!$A$2:$C$45,3,FALSE)</f>
        <v>Non-metropolitan</v>
      </c>
      <c r="I854" s="224">
        <v>1962</v>
      </c>
    </row>
    <row r="855" spans="1:9" ht="15.5" x14ac:dyDescent="0.35">
      <c r="A855" s="224" t="s">
        <v>54</v>
      </c>
      <c r="B855" s="224" t="s">
        <v>18</v>
      </c>
      <c r="C855" s="224" t="s">
        <v>86</v>
      </c>
      <c r="D855" s="224" t="s">
        <v>55</v>
      </c>
      <c r="E855" s="224" t="s">
        <v>256</v>
      </c>
      <c r="F855" s="224" t="s">
        <v>248</v>
      </c>
      <c r="G855" s="223" t="str">
        <f>VLOOKUP($B855,'FRS geographical categories'!$A$2:$C$45,2,FALSE)</f>
        <v>Predominantly Rural</v>
      </c>
      <c r="H855" s="223" t="str">
        <f>VLOOKUP($B855,'FRS geographical categories'!$A$2:$C$45,3,FALSE)</f>
        <v>Non-metropolitan</v>
      </c>
      <c r="I855" s="224">
        <v>0</v>
      </c>
    </row>
    <row r="856" spans="1:9" ht="15.5" x14ac:dyDescent="0.35">
      <c r="A856" s="224" t="s">
        <v>54</v>
      </c>
      <c r="B856" s="224" t="s">
        <v>18</v>
      </c>
      <c r="C856" s="224" t="s">
        <v>86</v>
      </c>
      <c r="D856" s="224" t="s">
        <v>55</v>
      </c>
      <c r="E856" s="224" t="s">
        <v>256</v>
      </c>
      <c r="F856" s="224" t="s">
        <v>249</v>
      </c>
      <c r="G856" s="223" t="str">
        <f>VLOOKUP($B856,'FRS geographical categories'!$A$2:$C$45,2,FALSE)</f>
        <v>Predominantly Rural</v>
      </c>
      <c r="H856" s="223" t="str">
        <f>VLOOKUP($B856,'FRS geographical categories'!$A$2:$C$45,3,FALSE)</f>
        <v>Non-metropolitan</v>
      </c>
      <c r="I856" s="224">
        <v>0</v>
      </c>
    </row>
    <row r="857" spans="1:9" ht="15.5" x14ac:dyDescent="0.35">
      <c r="A857" s="224" t="s">
        <v>54</v>
      </c>
      <c r="B857" s="224" t="s">
        <v>18</v>
      </c>
      <c r="C857" s="224" t="s">
        <v>86</v>
      </c>
      <c r="D857" s="224" t="s">
        <v>55</v>
      </c>
      <c r="E857" s="224" t="s">
        <v>256</v>
      </c>
      <c r="F857" s="224" t="s">
        <v>250</v>
      </c>
      <c r="G857" s="223" t="str">
        <f>VLOOKUP($B857,'FRS geographical categories'!$A$2:$C$45,2,FALSE)</f>
        <v>Predominantly Rural</v>
      </c>
      <c r="H857" s="223" t="str">
        <f>VLOOKUP($B857,'FRS geographical categories'!$A$2:$C$45,3,FALSE)</f>
        <v>Non-metropolitan</v>
      </c>
      <c r="I857" s="224">
        <v>0</v>
      </c>
    </row>
    <row r="858" spans="1:9" ht="15.5" x14ac:dyDescent="0.35">
      <c r="A858" s="224" t="s">
        <v>54</v>
      </c>
      <c r="B858" s="224" t="s">
        <v>18</v>
      </c>
      <c r="C858" s="224" t="s">
        <v>86</v>
      </c>
      <c r="D858" s="224" t="s">
        <v>55</v>
      </c>
      <c r="E858" s="224" t="s">
        <v>256</v>
      </c>
      <c r="F858" s="224" t="s">
        <v>111</v>
      </c>
      <c r="G858" s="223" t="str">
        <f>VLOOKUP($B858,'FRS geographical categories'!$A$2:$C$45,2,FALSE)</f>
        <v>Predominantly Rural</v>
      </c>
      <c r="H858" s="223" t="str">
        <f>VLOOKUP($B858,'FRS geographical categories'!$A$2:$C$45,3,FALSE)</f>
        <v>Non-metropolitan</v>
      </c>
      <c r="I858" s="224">
        <v>0</v>
      </c>
    </row>
    <row r="859" spans="1:9" ht="15.5" x14ac:dyDescent="0.35">
      <c r="A859" s="224" t="s">
        <v>54</v>
      </c>
      <c r="B859" s="224" t="s">
        <v>18</v>
      </c>
      <c r="C859" s="224" t="s">
        <v>86</v>
      </c>
      <c r="D859" s="224" t="s">
        <v>55</v>
      </c>
      <c r="E859" s="224" t="s">
        <v>256</v>
      </c>
      <c r="F859" s="224" t="s">
        <v>10</v>
      </c>
      <c r="G859" s="223" t="str">
        <f>VLOOKUP($B859,'FRS geographical categories'!$A$2:$C$45,2,FALSE)</f>
        <v>Predominantly Rural</v>
      </c>
      <c r="H859" s="223" t="str">
        <f>VLOOKUP($B859,'FRS geographical categories'!$A$2:$C$45,3,FALSE)</f>
        <v>Non-metropolitan</v>
      </c>
      <c r="I859" s="224">
        <v>9247</v>
      </c>
    </row>
    <row r="860" spans="1:9" ht="15.5" x14ac:dyDescent="0.35">
      <c r="A860" s="224" t="s">
        <v>54</v>
      </c>
      <c r="B860" s="224" t="s">
        <v>18</v>
      </c>
      <c r="C860" s="224" t="s">
        <v>89</v>
      </c>
      <c r="D860" s="224" t="s">
        <v>9</v>
      </c>
      <c r="E860" s="224" t="s">
        <v>256</v>
      </c>
      <c r="F860" s="224" t="s">
        <v>248</v>
      </c>
      <c r="G860" s="223" t="str">
        <f>VLOOKUP($B860,'FRS geographical categories'!$A$2:$C$45,2,FALSE)</f>
        <v>Predominantly Rural</v>
      </c>
      <c r="H860" s="223" t="str">
        <f>VLOOKUP($B860,'FRS geographical categories'!$A$2:$C$45,3,FALSE)</f>
        <v>Non-metropolitan</v>
      </c>
      <c r="I860" s="224">
        <v>0</v>
      </c>
    </row>
    <row r="861" spans="1:9" ht="15.5" x14ac:dyDescent="0.35">
      <c r="A861" s="224" t="s">
        <v>54</v>
      </c>
      <c r="B861" s="224" t="s">
        <v>18</v>
      </c>
      <c r="C861" s="224" t="s">
        <v>89</v>
      </c>
      <c r="D861" s="224" t="s">
        <v>9</v>
      </c>
      <c r="E861" s="224" t="s">
        <v>256</v>
      </c>
      <c r="F861" s="224" t="s">
        <v>249</v>
      </c>
      <c r="G861" s="223" t="str">
        <f>VLOOKUP($B861,'FRS geographical categories'!$A$2:$C$45,2,FALSE)</f>
        <v>Predominantly Rural</v>
      </c>
      <c r="H861" s="223" t="str">
        <f>VLOOKUP($B861,'FRS geographical categories'!$A$2:$C$45,3,FALSE)</f>
        <v>Non-metropolitan</v>
      </c>
      <c r="I861" s="224">
        <v>0</v>
      </c>
    </row>
    <row r="862" spans="1:9" ht="15.5" x14ac:dyDescent="0.35">
      <c r="A862" s="224" t="s">
        <v>54</v>
      </c>
      <c r="B862" s="224" t="s">
        <v>18</v>
      </c>
      <c r="C862" s="224" t="s">
        <v>89</v>
      </c>
      <c r="D862" s="224" t="s">
        <v>9</v>
      </c>
      <c r="E862" s="224" t="s">
        <v>256</v>
      </c>
      <c r="F862" s="224" t="s">
        <v>250</v>
      </c>
      <c r="G862" s="223" t="str">
        <f>VLOOKUP($B862,'FRS geographical categories'!$A$2:$C$45,2,FALSE)</f>
        <v>Predominantly Rural</v>
      </c>
      <c r="H862" s="223" t="str">
        <f>VLOOKUP($B862,'FRS geographical categories'!$A$2:$C$45,3,FALSE)</f>
        <v>Non-metropolitan</v>
      </c>
      <c r="I862" s="224">
        <v>0</v>
      </c>
    </row>
    <row r="863" spans="1:9" ht="15.5" x14ac:dyDescent="0.35">
      <c r="A863" s="224" t="s">
        <v>54</v>
      </c>
      <c r="B863" s="224" t="s">
        <v>18</v>
      </c>
      <c r="C863" s="224" t="s">
        <v>89</v>
      </c>
      <c r="D863" s="224" t="s">
        <v>9</v>
      </c>
      <c r="E863" s="224" t="s">
        <v>256</v>
      </c>
      <c r="F863" s="224" t="s">
        <v>10</v>
      </c>
      <c r="G863" s="223" t="str">
        <f>VLOOKUP($B863,'FRS geographical categories'!$A$2:$C$45,2,FALSE)</f>
        <v>Predominantly Rural</v>
      </c>
      <c r="H863" s="223" t="str">
        <f>VLOOKUP($B863,'FRS geographical categories'!$A$2:$C$45,3,FALSE)</f>
        <v>Non-metropolitan</v>
      </c>
      <c r="I863" s="224">
        <v>0</v>
      </c>
    </row>
    <row r="864" spans="1:9" ht="15.5" x14ac:dyDescent="0.35">
      <c r="A864" s="224" t="s">
        <v>54</v>
      </c>
      <c r="B864" s="224" t="s">
        <v>18</v>
      </c>
      <c r="C864" s="224" t="s">
        <v>89</v>
      </c>
      <c r="D864" s="224" t="s">
        <v>55</v>
      </c>
      <c r="E864" s="224" t="s">
        <v>256</v>
      </c>
      <c r="F864" s="224" t="s">
        <v>248</v>
      </c>
      <c r="G864" s="223" t="str">
        <f>VLOOKUP($B864,'FRS geographical categories'!$A$2:$C$45,2,FALSE)</f>
        <v>Predominantly Rural</v>
      </c>
      <c r="H864" s="223" t="str">
        <f>VLOOKUP($B864,'FRS geographical categories'!$A$2:$C$45,3,FALSE)</f>
        <v>Non-metropolitan</v>
      </c>
      <c r="I864" s="224">
        <v>0</v>
      </c>
    </row>
    <row r="865" spans="1:9" ht="15.5" x14ac:dyDescent="0.35">
      <c r="A865" s="224" t="s">
        <v>54</v>
      </c>
      <c r="B865" s="224" t="s">
        <v>18</v>
      </c>
      <c r="C865" s="224" t="s">
        <v>89</v>
      </c>
      <c r="D865" s="224" t="s">
        <v>55</v>
      </c>
      <c r="E865" s="224" t="s">
        <v>256</v>
      </c>
      <c r="F865" s="224" t="s">
        <v>249</v>
      </c>
      <c r="G865" s="223" t="str">
        <f>VLOOKUP($B865,'FRS geographical categories'!$A$2:$C$45,2,FALSE)</f>
        <v>Predominantly Rural</v>
      </c>
      <c r="H865" s="223" t="str">
        <f>VLOOKUP($B865,'FRS geographical categories'!$A$2:$C$45,3,FALSE)</f>
        <v>Non-metropolitan</v>
      </c>
      <c r="I865" s="224">
        <v>0</v>
      </c>
    </row>
    <row r="866" spans="1:9" ht="15.5" x14ac:dyDescent="0.35">
      <c r="A866" s="224" t="s">
        <v>54</v>
      </c>
      <c r="B866" s="224" t="s">
        <v>18</v>
      </c>
      <c r="C866" s="224" t="s">
        <v>89</v>
      </c>
      <c r="D866" s="224" t="s">
        <v>55</v>
      </c>
      <c r="E866" s="224" t="s">
        <v>256</v>
      </c>
      <c r="F866" s="224" t="s">
        <v>250</v>
      </c>
      <c r="G866" s="223" t="str">
        <f>VLOOKUP($B866,'FRS geographical categories'!$A$2:$C$45,2,FALSE)</f>
        <v>Predominantly Rural</v>
      </c>
      <c r="H866" s="223" t="str">
        <f>VLOOKUP($B866,'FRS geographical categories'!$A$2:$C$45,3,FALSE)</f>
        <v>Non-metropolitan</v>
      </c>
      <c r="I866" s="224">
        <v>0</v>
      </c>
    </row>
    <row r="867" spans="1:9" ht="15.5" x14ac:dyDescent="0.35">
      <c r="A867" s="224" t="s">
        <v>54</v>
      </c>
      <c r="B867" s="224" t="s">
        <v>18</v>
      </c>
      <c r="C867" s="224" t="s">
        <v>89</v>
      </c>
      <c r="D867" s="224" t="s">
        <v>55</v>
      </c>
      <c r="E867" s="224" t="s">
        <v>256</v>
      </c>
      <c r="F867" s="224" t="s">
        <v>10</v>
      </c>
      <c r="G867" s="223" t="str">
        <f>VLOOKUP($B867,'FRS geographical categories'!$A$2:$C$45,2,FALSE)</f>
        <v>Predominantly Rural</v>
      </c>
      <c r="H867" s="223" t="str">
        <f>VLOOKUP($B867,'FRS geographical categories'!$A$2:$C$45,3,FALSE)</f>
        <v>Non-metropolitan</v>
      </c>
      <c r="I867" s="224">
        <v>0</v>
      </c>
    </row>
    <row r="868" spans="1:9" ht="15.5" x14ac:dyDescent="0.35">
      <c r="A868" s="224" t="s">
        <v>54</v>
      </c>
      <c r="B868" s="224" t="s">
        <v>19</v>
      </c>
      <c r="C868" s="224" t="s">
        <v>86</v>
      </c>
      <c r="D868" s="224" t="s">
        <v>9</v>
      </c>
      <c r="E868" s="224" t="s">
        <v>256</v>
      </c>
      <c r="F868" s="224" t="s">
        <v>248</v>
      </c>
      <c r="G868" s="223" t="str">
        <f>VLOOKUP($B868,'FRS geographical categories'!$A$2:$C$45,2,FALSE)</f>
        <v>Significantly Rural</v>
      </c>
      <c r="H868" s="223" t="str">
        <f>VLOOKUP($B868,'FRS geographical categories'!$A$2:$C$45,3,FALSE)</f>
        <v>Non-metropolitan</v>
      </c>
      <c r="I868" s="224">
        <v>560</v>
      </c>
    </row>
    <row r="869" spans="1:9" ht="15.5" x14ac:dyDescent="0.35">
      <c r="A869" s="224" t="s">
        <v>54</v>
      </c>
      <c r="B869" s="224" t="s">
        <v>19</v>
      </c>
      <c r="C869" s="224" t="s">
        <v>86</v>
      </c>
      <c r="D869" s="224" t="s">
        <v>9</v>
      </c>
      <c r="E869" s="224" t="s">
        <v>256</v>
      </c>
      <c r="F869" s="224" t="s">
        <v>249</v>
      </c>
      <c r="G869" s="223" t="str">
        <f>VLOOKUP($B869,'FRS geographical categories'!$A$2:$C$45,2,FALSE)</f>
        <v>Significantly Rural</v>
      </c>
      <c r="H869" s="223" t="str">
        <f>VLOOKUP($B869,'FRS geographical categories'!$A$2:$C$45,3,FALSE)</f>
        <v>Non-metropolitan</v>
      </c>
      <c r="I869" s="224">
        <v>1119</v>
      </c>
    </row>
    <row r="870" spans="1:9" ht="15.5" x14ac:dyDescent="0.35">
      <c r="A870" s="224" t="s">
        <v>54</v>
      </c>
      <c r="B870" s="224" t="s">
        <v>19</v>
      </c>
      <c r="C870" s="224" t="s">
        <v>86</v>
      </c>
      <c r="D870" s="224" t="s">
        <v>9</v>
      </c>
      <c r="E870" s="224" t="s">
        <v>256</v>
      </c>
      <c r="F870" s="224" t="s">
        <v>250</v>
      </c>
      <c r="G870" s="223" t="str">
        <f>VLOOKUP($B870,'FRS geographical categories'!$A$2:$C$45,2,FALSE)</f>
        <v>Significantly Rural</v>
      </c>
      <c r="H870" s="223" t="str">
        <f>VLOOKUP($B870,'FRS geographical categories'!$A$2:$C$45,3,FALSE)</f>
        <v>Non-metropolitan</v>
      </c>
      <c r="I870" s="224">
        <v>1029</v>
      </c>
    </row>
    <row r="871" spans="1:9" ht="15.5" x14ac:dyDescent="0.35">
      <c r="A871" s="224" t="s">
        <v>54</v>
      </c>
      <c r="B871" s="224" t="s">
        <v>19</v>
      </c>
      <c r="C871" s="224" t="s">
        <v>86</v>
      </c>
      <c r="D871" s="224" t="s">
        <v>9</v>
      </c>
      <c r="E871" s="224" t="s">
        <v>256</v>
      </c>
      <c r="F871" s="224" t="s">
        <v>111</v>
      </c>
      <c r="G871" s="223" t="str">
        <f>VLOOKUP($B871,'FRS geographical categories'!$A$2:$C$45,2,FALSE)</f>
        <v>Significantly Rural</v>
      </c>
      <c r="H871" s="223" t="str">
        <f>VLOOKUP($B871,'FRS geographical categories'!$A$2:$C$45,3,FALSE)</f>
        <v>Non-metropolitan</v>
      </c>
      <c r="I871" s="224">
        <v>3678</v>
      </c>
    </row>
    <row r="872" spans="1:9" ht="15.5" x14ac:dyDescent="0.35">
      <c r="A872" s="224" t="s">
        <v>54</v>
      </c>
      <c r="B872" s="224" t="s">
        <v>19</v>
      </c>
      <c r="C872" s="224" t="s">
        <v>86</v>
      </c>
      <c r="D872" s="224" t="s">
        <v>9</v>
      </c>
      <c r="E872" s="224" t="s">
        <v>256</v>
      </c>
      <c r="F872" s="224" t="s">
        <v>10</v>
      </c>
      <c r="G872" s="223" t="str">
        <f>VLOOKUP($B872,'FRS geographical categories'!$A$2:$C$45,2,FALSE)</f>
        <v>Significantly Rural</v>
      </c>
      <c r="H872" s="223" t="str">
        <f>VLOOKUP($B872,'FRS geographical categories'!$A$2:$C$45,3,FALSE)</f>
        <v>Non-metropolitan</v>
      </c>
      <c r="I872" s="224">
        <v>3824</v>
      </c>
    </row>
    <row r="873" spans="1:9" ht="15.5" x14ac:dyDescent="0.35">
      <c r="A873" s="224" t="s">
        <v>54</v>
      </c>
      <c r="B873" s="224" t="s">
        <v>19</v>
      </c>
      <c r="C873" s="224" t="s">
        <v>86</v>
      </c>
      <c r="D873" s="224" t="s">
        <v>55</v>
      </c>
      <c r="E873" s="224" t="s">
        <v>256</v>
      </c>
      <c r="F873" s="224" t="s">
        <v>248</v>
      </c>
      <c r="G873" s="223" t="str">
        <f>VLOOKUP($B873,'FRS geographical categories'!$A$2:$C$45,2,FALSE)</f>
        <v>Significantly Rural</v>
      </c>
      <c r="H873" s="223" t="str">
        <f>VLOOKUP($B873,'FRS geographical categories'!$A$2:$C$45,3,FALSE)</f>
        <v>Non-metropolitan</v>
      </c>
      <c r="I873" s="224">
        <v>0</v>
      </c>
    </row>
    <row r="874" spans="1:9" ht="15.5" x14ac:dyDescent="0.35">
      <c r="A874" s="224" t="s">
        <v>54</v>
      </c>
      <c r="B874" s="224" t="s">
        <v>19</v>
      </c>
      <c r="C874" s="224" t="s">
        <v>86</v>
      </c>
      <c r="D874" s="224" t="s">
        <v>55</v>
      </c>
      <c r="E874" s="224" t="s">
        <v>256</v>
      </c>
      <c r="F874" s="224" t="s">
        <v>249</v>
      </c>
      <c r="G874" s="223" t="str">
        <f>VLOOKUP($B874,'FRS geographical categories'!$A$2:$C$45,2,FALSE)</f>
        <v>Significantly Rural</v>
      </c>
      <c r="H874" s="223" t="str">
        <f>VLOOKUP($B874,'FRS geographical categories'!$A$2:$C$45,3,FALSE)</f>
        <v>Non-metropolitan</v>
      </c>
      <c r="I874" s="224">
        <v>0</v>
      </c>
    </row>
    <row r="875" spans="1:9" ht="15.5" x14ac:dyDescent="0.35">
      <c r="A875" s="224" t="s">
        <v>54</v>
      </c>
      <c r="B875" s="224" t="s">
        <v>19</v>
      </c>
      <c r="C875" s="224" t="s">
        <v>86</v>
      </c>
      <c r="D875" s="224" t="s">
        <v>55</v>
      </c>
      <c r="E875" s="224" t="s">
        <v>256</v>
      </c>
      <c r="F875" s="224" t="s">
        <v>250</v>
      </c>
      <c r="G875" s="223" t="str">
        <f>VLOOKUP($B875,'FRS geographical categories'!$A$2:$C$45,2,FALSE)</f>
        <v>Significantly Rural</v>
      </c>
      <c r="H875" s="223" t="str">
        <f>VLOOKUP($B875,'FRS geographical categories'!$A$2:$C$45,3,FALSE)</f>
        <v>Non-metropolitan</v>
      </c>
      <c r="I875" s="224">
        <v>0</v>
      </c>
    </row>
    <row r="876" spans="1:9" ht="15.5" x14ac:dyDescent="0.35">
      <c r="A876" s="224" t="s">
        <v>54</v>
      </c>
      <c r="B876" s="224" t="s">
        <v>19</v>
      </c>
      <c r="C876" s="224" t="s">
        <v>86</v>
      </c>
      <c r="D876" s="224" t="s">
        <v>55</v>
      </c>
      <c r="E876" s="224" t="s">
        <v>256</v>
      </c>
      <c r="F876" s="224" t="s">
        <v>111</v>
      </c>
      <c r="G876" s="223" t="str">
        <f>VLOOKUP($B876,'FRS geographical categories'!$A$2:$C$45,2,FALSE)</f>
        <v>Significantly Rural</v>
      </c>
      <c r="H876" s="223" t="str">
        <f>VLOOKUP($B876,'FRS geographical categories'!$A$2:$C$45,3,FALSE)</f>
        <v>Non-metropolitan</v>
      </c>
      <c r="I876" s="224">
        <v>0</v>
      </c>
    </row>
    <row r="877" spans="1:9" ht="15.5" x14ac:dyDescent="0.35">
      <c r="A877" s="224" t="s">
        <v>54</v>
      </c>
      <c r="B877" s="224" t="s">
        <v>19</v>
      </c>
      <c r="C877" s="224" t="s">
        <v>86</v>
      </c>
      <c r="D877" s="224" t="s">
        <v>55</v>
      </c>
      <c r="E877" s="224" t="s">
        <v>256</v>
      </c>
      <c r="F877" s="224" t="s">
        <v>10</v>
      </c>
      <c r="G877" s="223" t="str">
        <f>VLOOKUP($B877,'FRS geographical categories'!$A$2:$C$45,2,FALSE)</f>
        <v>Significantly Rural</v>
      </c>
      <c r="H877" s="223" t="str">
        <f>VLOOKUP($B877,'FRS geographical categories'!$A$2:$C$45,3,FALSE)</f>
        <v>Non-metropolitan</v>
      </c>
      <c r="I877" s="224">
        <v>559</v>
      </c>
    </row>
    <row r="878" spans="1:9" ht="15.5" x14ac:dyDescent="0.35">
      <c r="A878" s="224" t="s">
        <v>54</v>
      </c>
      <c r="B878" s="224" t="s">
        <v>19</v>
      </c>
      <c r="C878" s="224" t="s">
        <v>89</v>
      </c>
      <c r="D878" s="224" t="s">
        <v>9</v>
      </c>
      <c r="E878" s="224" t="s">
        <v>256</v>
      </c>
      <c r="F878" s="224" t="s">
        <v>248</v>
      </c>
      <c r="G878" s="223" t="str">
        <f>VLOOKUP($B878,'FRS geographical categories'!$A$2:$C$45,2,FALSE)</f>
        <v>Significantly Rural</v>
      </c>
      <c r="H878" s="223" t="str">
        <f>VLOOKUP($B878,'FRS geographical categories'!$A$2:$C$45,3,FALSE)</f>
        <v>Non-metropolitan</v>
      </c>
      <c r="I878" s="224">
        <v>110</v>
      </c>
    </row>
    <row r="879" spans="1:9" ht="15.5" x14ac:dyDescent="0.35">
      <c r="A879" s="224" t="s">
        <v>54</v>
      </c>
      <c r="B879" s="224" t="s">
        <v>19</v>
      </c>
      <c r="C879" s="224" t="s">
        <v>89</v>
      </c>
      <c r="D879" s="224" t="s">
        <v>9</v>
      </c>
      <c r="E879" s="224" t="s">
        <v>256</v>
      </c>
      <c r="F879" s="224" t="s">
        <v>249</v>
      </c>
      <c r="G879" s="223" t="str">
        <f>VLOOKUP($B879,'FRS geographical categories'!$A$2:$C$45,2,FALSE)</f>
        <v>Significantly Rural</v>
      </c>
      <c r="H879" s="223" t="str">
        <f>VLOOKUP($B879,'FRS geographical categories'!$A$2:$C$45,3,FALSE)</f>
        <v>Non-metropolitan</v>
      </c>
      <c r="I879" s="224">
        <v>486</v>
      </c>
    </row>
    <row r="880" spans="1:9" ht="15.5" x14ac:dyDescent="0.35">
      <c r="A880" s="224" t="s">
        <v>54</v>
      </c>
      <c r="B880" s="224" t="s">
        <v>19</v>
      </c>
      <c r="C880" s="224" t="s">
        <v>89</v>
      </c>
      <c r="D880" s="224" t="s">
        <v>9</v>
      </c>
      <c r="E880" s="224" t="s">
        <v>256</v>
      </c>
      <c r="F880" s="224" t="s">
        <v>250</v>
      </c>
      <c r="G880" s="223" t="str">
        <f>VLOOKUP($B880,'FRS geographical categories'!$A$2:$C$45,2,FALSE)</f>
        <v>Significantly Rural</v>
      </c>
      <c r="H880" s="223" t="str">
        <f>VLOOKUP($B880,'FRS geographical categories'!$A$2:$C$45,3,FALSE)</f>
        <v>Non-metropolitan</v>
      </c>
      <c r="I880" s="224">
        <v>286</v>
      </c>
    </row>
    <row r="881" spans="1:9" ht="15.5" x14ac:dyDescent="0.35">
      <c r="A881" s="224" t="s">
        <v>54</v>
      </c>
      <c r="B881" s="224" t="s">
        <v>19</v>
      </c>
      <c r="C881" s="224" t="s">
        <v>89</v>
      </c>
      <c r="D881" s="224" t="s">
        <v>9</v>
      </c>
      <c r="E881" s="224" t="s">
        <v>256</v>
      </c>
      <c r="F881" s="224" t="s">
        <v>10</v>
      </c>
      <c r="G881" s="223" t="str">
        <f>VLOOKUP($B881,'FRS geographical categories'!$A$2:$C$45,2,FALSE)</f>
        <v>Significantly Rural</v>
      </c>
      <c r="H881" s="223" t="str">
        <f>VLOOKUP($B881,'FRS geographical categories'!$A$2:$C$45,3,FALSE)</f>
        <v>Non-metropolitan</v>
      </c>
      <c r="I881" s="224">
        <v>1075</v>
      </c>
    </row>
    <row r="882" spans="1:9" ht="15.5" x14ac:dyDescent="0.35">
      <c r="A882" s="224" t="s">
        <v>54</v>
      </c>
      <c r="B882" s="224" t="s">
        <v>19</v>
      </c>
      <c r="C882" s="224" t="s">
        <v>89</v>
      </c>
      <c r="D882" s="224" t="s">
        <v>55</v>
      </c>
      <c r="E882" s="224" t="s">
        <v>256</v>
      </c>
      <c r="F882" s="224" t="s">
        <v>248</v>
      </c>
      <c r="G882" s="223" t="str">
        <f>VLOOKUP($B882,'FRS geographical categories'!$A$2:$C$45,2,FALSE)</f>
        <v>Significantly Rural</v>
      </c>
      <c r="H882" s="223" t="str">
        <f>VLOOKUP($B882,'FRS geographical categories'!$A$2:$C$45,3,FALSE)</f>
        <v>Non-metropolitan</v>
      </c>
      <c r="I882" s="224">
        <v>0</v>
      </c>
    </row>
    <row r="883" spans="1:9" ht="15.5" x14ac:dyDescent="0.35">
      <c r="A883" s="224" t="s">
        <v>54</v>
      </c>
      <c r="B883" s="224" t="s">
        <v>19</v>
      </c>
      <c r="C883" s="224" t="s">
        <v>89</v>
      </c>
      <c r="D883" s="224" t="s">
        <v>55</v>
      </c>
      <c r="E883" s="224" t="s">
        <v>256</v>
      </c>
      <c r="F883" s="224" t="s">
        <v>249</v>
      </c>
      <c r="G883" s="223" t="str">
        <f>VLOOKUP($B883,'FRS geographical categories'!$A$2:$C$45,2,FALSE)</f>
        <v>Significantly Rural</v>
      </c>
      <c r="H883" s="223" t="str">
        <f>VLOOKUP($B883,'FRS geographical categories'!$A$2:$C$45,3,FALSE)</f>
        <v>Non-metropolitan</v>
      </c>
      <c r="I883" s="224">
        <v>0</v>
      </c>
    </row>
    <row r="884" spans="1:9" ht="15.5" x14ac:dyDescent="0.35">
      <c r="A884" s="224" t="s">
        <v>54</v>
      </c>
      <c r="B884" s="224" t="s">
        <v>19</v>
      </c>
      <c r="C884" s="224" t="s">
        <v>89</v>
      </c>
      <c r="D884" s="224" t="s">
        <v>55</v>
      </c>
      <c r="E884" s="224" t="s">
        <v>256</v>
      </c>
      <c r="F884" s="224" t="s">
        <v>250</v>
      </c>
      <c r="G884" s="223" t="str">
        <f>VLOOKUP($B884,'FRS geographical categories'!$A$2:$C$45,2,FALSE)</f>
        <v>Significantly Rural</v>
      </c>
      <c r="H884" s="223" t="str">
        <f>VLOOKUP($B884,'FRS geographical categories'!$A$2:$C$45,3,FALSE)</f>
        <v>Non-metropolitan</v>
      </c>
      <c r="I884" s="224">
        <v>0</v>
      </c>
    </row>
    <row r="885" spans="1:9" ht="15.5" x14ac:dyDescent="0.35">
      <c r="A885" s="224" t="s">
        <v>54</v>
      </c>
      <c r="B885" s="224" t="s">
        <v>19</v>
      </c>
      <c r="C885" s="224" t="s">
        <v>89</v>
      </c>
      <c r="D885" s="224" t="s">
        <v>55</v>
      </c>
      <c r="E885" s="224" t="s">
        <v>256</v>
      </c>
      <c r="F885" s="224" t="s">
        <v>10</v>
      </c>
      <c r="G885" s="223" t="str">
        <f>VLOOKUP($B885,'FRS geographical categories'!$A$2:$C$45,2,FALSE)</f>
        <v>Significantly Rural</v>
      </c>
      <c r="H885" s="223" t="str">
        <f>VLOOKUP($B885,'FRS geographical categories'!$A$2:$C$45,3,FALSE)</f>
        <v>Non-metropolitan</v>
      </c>
      <c r="I885" s="224">
        <v>0</v>
      </c>
    </row>
    <row r="886" spans="1:9" ht="15.5" x14ac:dyDescent="0.35">
      <c r="A886" s="224" t="s">
        <v>54</v>
      </c>
      <c r="B886" s="224" t="s">
        <v>20</v>
      </c>
      <c r="C886" s="224" t="s">
        <v>86</v>
      </c>
      <c r="D886" s="224" t="s">
        <v>9</v>
      </c>
      <c r="E886" s="224" t="s">
        <v>256</v>
      </c>
      <c r="F886" s="224" t="s">
        <v>248</v>
      </c>
      <c r="G886" s="223" t="str">
        <f>VLOOKUP($B886,'FRS geographical categories'!$A$2:$C$45,2,FALSE)</f>
        <v>Predominantly Rural</v>
      </c>
      <c r="H886" s="223" t="str">
        <f>VLOOKUP($B886,'FRS geographical categories'!$A$2:$C$45,3,FALSE)</f>
        <v>Non-metropolitan</v>
      </c>
      <c r="I886" s="224">
        <v>492</v>
      </c>
    </row>
    <row r="887" spans="1:9" ht="15.5" x14ac:dyDescent="0.35">
      <c r="A887" s="224" t="s">
        <v>54</v>
      </c>
      <c r="B887" s="224" t="s">
        <v>20</v>
      </c>
      <c r="C887" s="224" t="s">
        <v>86</v>
      </c>
      <c r="D887" s="224" t="s">
        <v>9</v>
      </c>
      <c r="E887" s="224" t="s">
        <v>256</v>
      </c>
      <c r="F887" s="224" t="s">
        <v>249</v>
      </c>
      <c r="G887" s="223" t="str">
        <f>VLOOKUP($B887,'FRS geographical categories'!$A$2:$C$45,2,FALSE)</f>
        <v>Predominantly Rural</v>
      </c>
      <c r="H887" s="223" t="str">
        <f>VLOOKUP($B887,'FRS geographical categories'!$A$2:$C$45,3,FALSE)</f>
        <v>Non-metropolitan</v>
      </c>
      <c r="I887" s="224">
        <v>2694</v>
      </c>
    </row>
    <row r="888" spans="1:9" ht="15.5" x14ac:dyDescent="0.35">
      <c r="A888" s="224" t="s">
        <v>54</v>
      </c>
      <c r="B888" s="224" t="s">
        <v>20</v>
      </c>
      <c r="C888" s="224" t="s">
        <v>86</v>
      </c>
      <c r="D888" s="224" t="s">
        <v>9</v>
      </c>
      <c r="E888" s="224" t="s">
        <v>256</v>
      </c>
      <c r="F888" s="224" t="s">
        <v>250</v>
      </c>
      <c r="G888" s="223" t="str">
        <f>VLOOKUP($B888,'FRS geographical categories'!$A$2:$C$45,2,FALSE)</f>
        <v>Predominantly Rural</v>
      </c>
      <c r="H888" s="223" t="str">
        <f>VLOOKUP($B888,'FRS geographical categories'!$A$2:$C$45,3,FALSE)</f>
        <v>Non-metropolitan</v>
      </c>
      <c r="I888" s="224">
        <v>1334</v>
      </c>
    </row>
    <row r="889" spans="1:9" ht="15.5" x14ac:dyDescent="0.35">
      <c r="A889" s="224" t="s">
        <v>54</v>
      </c>
      <c r="B889" s="224" t="s">
        <v>20</v>
      </c>
      <c r="C889" s="224" t="s">
        <v>86</v>
      </c>
      <c r="D889" s="224" t="s">
        <v>9</v>
      </c>
      <c r="E889" s="224" t="s">
        <v>256</v>
      </c>
      <c r="F889" s="224" t="s">
        <v>111</v>
      </c>
      <c r="G889" s="223" t="str">
        <f>VLOOKUP($B889,'FRS geographical categories'!$A$2:$C$45,2,FALSE)</f>
        <v>Predominantly Rural</v>
      </c>
      <c r="H889" s="223" t="str">
        <f>VLOOKUP($B889,'FRS geographical categories'!$A$2:$C$45,3,FALSE)</f>
        <v>Non-metropolitan</v>
      </c>
      <c r="I889" s="224">
        <v>5084</v>
      </c>
    </row>
    <row r="890" spans="1:9" ht="15.5" x14ac:dyDescent="0.35">
      <c r="A890" s="224" t="s">
        <v>54</v>
      </c>
      <c r="B890" s="224" t="s">
        <v>20</v>
      </c>
      <c r="C890" s="224" t="s">
        <v>86</v>
      </c>
      <c r="D890" s="224" t="s">
        <v>9</v>
      </c>
      <c r="E890" s="224" t="s">
        <v>256</v>
      </c>
      <c r="F890" s="224" t="s">
        <v>10</v>
      </c>
      <c r="G890" s="223" t="str">
        <f>VLOOKUP($B890,'FRS geographical categories'!$A$2:$C$45,2,FALSE)</f>
        <v>Predominantly Rural</v>
      </c>
      <c r="H890" s="223" t="str">
        <f>VLOOKUP($B890,'FRS geographical categories'!$A$2:$C$45,3,FALSE)</f>
        <v>Non-metropolitan</v>
      </c>
      <c r="I890" s="224">
        <v>5588</v>
      </c>
    </row>
    <row r="891" spans="1:9" ht="15.5" x14ac:dyDescent="0.35">
      <c r="A891" s="224" t="s">
        <v>54</v>
      </c>
      <c r="B891" s="224" t="s">
        <v>20</v>
      </c>
      <c r="C891" s="224" t="s">
        <v>86</v>
      </c>
      <c r="D891" s="224" t="s">
        <v>55</v>
      </c>
      <c r="E891" s="224" t="s">
        <v>256</v>
      </c>
      <c r="F891" s="224" t="s">
        <v>248</v>
      </c>
      <c r="G891" s="223" t="str">
        <f>VLOOKUP($B891,'FRS geographical categories'!$A$2:$C$45,2,FALSE)</f>
        <v>Predominantly Rural</v>
      </c>
      <c r="H891" s="223" t="str">
        <f>VLOOKUP($B891,'FRS geographical categories'!$A$2:$C$45,3,FALSE)</f>
        <v>Non-metropolitan</v>
      </c>
      <c r="I891" s="224">
        <v>187</v>
      </c>
    </row>
    <row r="892" spans="1:9" ht="15.5" x14ac:dyDescent="0.35">
      <c r="A892" s="224" t="s">
        <v>54</v>
      </c>
      <c r="B892" s="224" t="s">
        <v>20</v>
      </c>
      <c r="C892" s="224" t="s">
        <v>86</v>
      </c>
      <c r="D892" s="224" t="s">
        <v>55</v>
      </c>
      <c r="E892" s="224" t="s">
        <v>256</v>
      </c>
      <c r="F892" s="224" t="s">
        <v>249</v>
      </c>
      <c r="G892" s="223" t="str">
        <f>VLOOKUP($B892,'FRS geographical categories'!$A$2:$C$45,2,FALSE)</f>
        <v>Predominantly Rural</v>
      </c>
      <c r="H892" s="223" t="str">
        <f>VLOOKUP($B892,'FRS geographical categories'!$A$2:$C$45,3,FALSE)</f>
        <v>Non-metropolitan</v>
      </c>
      <c r="I892" s="224">
        <v>1111</v>
      </c>
    </row>
    <row r="893" spans="1:9" ht="15.5" x14ac:dyDescent="0.35">
      <c r="A893" s="224" t="s">
        <v>54</v>
      </c>
      <c r="B893" s="224" t="s">
        <v>20</v>
      </c>
      <c r="C893" s="224" t="s">
        <v>86</v>
      </c>
      <c r="D893" s="224" t="s">
        <v>55</v>
      </c>
      <c r="E893" s="224" t="s">
        <v>256</v>
      </c>
      <c r="F893" s="224" t="s">
        <v>250</v>
      </c>
      <c r="G893" s="223" t="str">
        <f>VLOOKUP($B893,'FRS geographical categories'!$A$2:$C$45,2,FALSE)</f>
        <v>Predominantly Rural</v>
      </c>
      <c r="H893" s="223" t="str">
        <f>VLOOKUP($B893,'FRS geographical categories'!$A$2:$C$45,3,FALSE)</f>
        <v>Non-metropolitan</v>
      </c>
      <c r="I893" s="224">
        <v>1028</v>
      </c>
    </row>
    <row r="894" spans="1:9" ht="15.5" x14ac:dyDescent="0.35">
      <c r="A894" s="224" t="s">
        <v>54</v>
      </c>
      <c r="B894" s="224" t="s">
        <v>20</v>
      </c>
      <c r="C894" s="224" t="s">
        <v>86</v>
      </c>
      <c r="D894" s="224" t="s">
        <v>55</v>
      </c>
      <c r="E894" s="224" t="s">
        <v>256</v>
      </c>
      <c r="F894" s="224" t="s">
        <v>111</v>
      </c>
      <c r="G894" s="223" t="str">
        <f>VLOOKUP($B894,'FRS geographical categories'!$A$2:$C$45,2,FALSE)</f>
        <v>Predominantly Rural</v>
      </c>
      <c r="H894" s="223" t="str">
        <f>VLOOKUP($B894,'FRS geographical categories'!$A$2:$C$45,3,FALSE)</f>
        <v>Non-metropolitan</v>
      </c>
      <c r="I894" s="224">
        <v>2631</v>
      </c>
    </row>
    <row r="895" spans="1:9" ht="15.5" x14ac:dyDescent="0.35">
      <c r="A895" s="224" t="s">
        <v>54</v>
      </c>
      <c r="B895" s="224" t="s">
        <v>20</v>
      </c>
      <c r="C895" s="224" t="s">
        <v>86</v>
      </c>
      <c r="D895" s="224" t="s">
        <v>55</v>
      </c>
      <c r="E895" s="224" t="s">
        <v>256</v>
      </c>
      <c r="F895" s="224" t="s">
        <v>10</v>
      </c>
      <c r="G895" s="223" t="str">
        <f>VLOOKUP($B895,'FRS geographical categories'!$A$2:$C$45,2,FALSE)</f>
        <v>Predominantly Rural</v>
      </c>
      <c r="H895" s="223" t="str">
        <f>VLOOKUP($B895,'FRS geographical categories'!$A$2:$C$45,3,FALSE)</f>
        <v>Non-metropolitan</v>
      </c>
      <c r="I895" s="224">
        <v>2937</v>
      </c>
    </row>
    <row r="896" spans="1:9" ht="15.5" x14ac:dyDescent="0.35">
      <c r="A896" s="224" t="s">
        <v>54</v>
      </c>
      <c r="B896" s="224" t="s">
        <v>20</v>
      </c>
      <c r="C896" s="224" t="s">
        <v>89</v>
      </c>
      <c r="D896" s="224" t="s">
        <v>9</v>
      </c>
      <c r="E896" s="224" t="s">
        <v>256</v>
      </c>
      <c r="F896" s="224" t="s">
        <v>248</v>
      </c>
      <c r="G896" s="223" t="str">
        <f>VLOOKUP($B896,'FRS geographical categories'!$A$2:$C$45,2,FALSE)</f>
        <v>Predominantly Rural</v>
      </c>
      <c r="H896" s="223" t="str">
        <f>VLOOKUP($B896,'FRS geographical categories'!$A$2:$C$45,3,FALSE)</f>
        <v>Non-metropolitan</v>
      </c>
      <c r="I896" s="224">
        <v>0</v>
      </c>
    </row>
    <row r="897" spans="1:9" ht="15.5" x14ac:dyDescent="0.35">
      <c r="A897" s="224" t="s">
        <v>54</v>
      </c>
      <c r="B897" s="224" t="s">
        <v>20</v>
      </c>
      <c r="C897" s="224" t="s">
        <v>89</v>
      </c>
      <c r="D897" s="224" t="s">
        <v>9</v>
      </c>
      <c r="E897" s="224" t="s">
        <v>256</v>
      </c>
      <c r="F897" s="224" t="s">
        <v>249</v>
      </c>
      <c r="G897" s="223" t="str">
        <f>VLOOKUP($B897,'FRS geographical categories'!$A$2:$C$45,2,FALSE)</f>
        <v>Predominantly Rural</v>
      </c>
      <c r="H897" s="223" t="str">
        <f>VLOOKUP($B897,'FRS geographical categories'!$A$2:$C$45,3,FALSE)</f>
        <v>Non-metropolitan</v>
      </c>
      <c r="I897" s="224">
        <v>0</v>
      </c>
    </row>
    <row r="898" spans="1:9" ht="15.5" x14ac:dyDescent="0.35">
      <c r="A898" s="224" t="s">
        <v>54</v>
      </c>
      <c r="B898" s="224" t="s">
        <v>20</v>
      </c>
      <c r="C898" s="224" t="s">
        <v>89</v>
      </c>
      <c r="D898" s="224" t="s">
        <v>9</v>
      </c>
      <c r="E898" s="224" t="s">
        <v>256</v>
      </c>
      <c r="F898" s="224" t="s">
        <v>250</v>
      </c>
      <c r="G898" s="223" t="str">
        <f>VLOOKUP($B898,'FRS geographical categories'!$A$2:$C$45,2,FALSE)</f>
        <v>Predominantly Rural</v>
      </c>
      <c r="H898" s="223" t="str">
        <f>VLOOKUP($B898,'FRS geographical categories'!$A$2:$C$45,3,FALSE)</f>
        <v>Non-metropolitan</v>
      </c>
      <c r="I898" s="224">
        <v>0</v>
      </c>
    </row>
    <row r="899" spans="1:9" ht="15.5" x14ac:dyDescent="0.35">
      <c r="A899" s="224" t="s">
        <v>54</v>
      </c>
      <c r="B899" s="224" t="s">
        <v>20</v>
      </c>
      <c r="C899" s="224" t="s">
        <v>89</v>
      </c>
      <c r="D899" s="224" t="s">
        <v>9</v>
      </c>
      <c r="E899" s="224" t="s">
        <v>256</v>
      </c>
      <c r="F899" s="224" t="s">
        <v>10</v>
      </c>
      <c r="G899" s="223" t="str">
        <f>VLOOKUP($B899,'FRS geographical categories'!$A$2:$C$45,2,FALSE)</f>
        <v>Predominantly Rural</v>
      </c>
      <c r="H899" s="223" t="str">
        <f>VLOOKUP($B899,'FRS geographical categories'!$A$2:$C$45,3,FALSE)</f>
        <v>Non-metropolitan</v>
      </c>
      <c r="I899" s="224">
        <v>0</v>
      </c>
    </row>
    <row r="900" spans="1:9" ht="15.5" x14ac:dyDescent="0.35">
      <c r="A900" s="224" t="s">
        <v>54</v>
      </c>
      <c r="B900" s="224" t="s">
        <v>20</v>
      </c>
      <c r="C900" s="224" t="s">
        <v>89</v>
      </c>
      <c r="D900" s="224" t="s">
        <v>55</v>
      </c>
      <c r="E900" s="224" t="s">
        <v>256</v>
      </c>
      <c r="F900" s="224" t="s">
        <v>248</v>
      </c>
      <c r="G900" s="223" t="str">
        <f>VLOOKUP($B900,'FRS geographical categories'!$A$2:$C$45,2,FALSE)</f>
        <v>Predominantly Rural</v>
      </c>
      <c r="H900" s="223" t="str">
        <f>VLOOKUP($B900,'FRS geographical categories'!$A$2:$C$45,3,FALSE)</f>
        <v>Non-metropolitan</v>
      </c>
      <c r="I900" s="224">
        <v>0</v>
      </c>
    </row>
    <row r="901" spans="1:9" ht="15.5" x14ac:dyDescent="0.35">
      <c r="A901" s="224" t="s">
        <v>54</v>
      </c>
      <c r="B901" s="224" t="s">
        <v>20</v>
      </c>
      <c r="C901" s="224" t="s">
        <v>89</v>
      </c>
      <c r="D901" s="224" t="s">
        <v>55</v>
      </c>
      <c r="E901" s="224" t="s">
        <v>256</v>
      </c>
      <c r="F901" s="224" t="s">
        <v>249</v>
      </c>
      <c r="G901" s="223" t="str">
        <f>VLOOKUP($B901,'FRS geographical categories'!$A$2:$C$45,2,FALSE)</f>
        <v>Predominantly Rural</v>
      </c>
      <c r="H901" s="223" t="str">
        <f>VLOOKUP($B901,'FRS geographical categories'!$A$2:$C$45,3,FALSE)</f>
        <v>Non-metropolitan</v>
      </c>
      <c r="I901" s="224">
        <v>0</v>
      </c>
    </row>
    <row r="902" spans="1:9" ht="15.5" x14ac:dyDescent="0.35">
      <c r="A902" s="224" t="s">
        <v>54</v>
      </c>
      <c r="B902" s="224" t="s">
        <v>20</v>
      </c>
      <c r="C902" s="224" t="s">
        <v>89</v>
      </c>
      <c r="D902" s="224" t="s">
        <v>55</v>
      </c>
      <c r="E902" s="224" t="s">
        <v>256</v>
      </c>
      <c r="F902" s="224" t="s">
        <v>250</v>
      </c>
      <c r="G902" s="223" t="str">
        <f>VLOOKUP($B902,'FRS geographical categories'!$A$2:$C$45,2,FALSE)</f>
        <v>Predominantly Rural</v>
      </c>
      <c r="H902" s="223" t="str">
        <f>VLOOKUP($B902,'FRS geographical categories'!$A$2:$C$45,3,FALSE)</f>
        <v>Non-metropolitan</v>
      </c>
      <c r="I902" s="224">
        <v>0</v>
      </c>
    </row>
    <row r="903" spans="1:9" ht="15.5" x14ac:dyDescent="0.35">
      <c r="A903" s="224" t="s">
        <v>54</v>
      </c>
      <c r="B903" s="224" t="s">
        <v>20</v>
      </c>
      <c r="C903" s="224" t="s">
        <v>89</v>
      </c>
      <c r="D903" s="224" t="s">
        <v>55</v>
      </c>
      <c r="E903" s="224" t="s">
        <v>256</v>
      </c>
      <c r="F903" s="224" t="s">
        <v>10</v>
      </c>
      <c r="G903" s="223" t="str">
        <f>VLOOKUP($B903,'FRS geographical categories'!$A$2:$C$45,2,FALSE)</f>
        <v>Predominantly Rural</v>
      </c>
      <c r="H903" s="223" t="str">
        <f>VLOOKUP($B903,'FRS geographical categories'!$A$2:$C$45,3,FALSE)</f>
        <v>Non-metropolitan</v>
      </c>
      <c r="I903" s="224">
        <v>0</v>
      </c>
    </row>
    <row r="904" spans="1:9" ht="15.5" x14ac:dyDescent="0.35">
      <c r="A904" s="224" t="s">
        <v>54</v>
      </c>
      <c r="B904" s="224" t="s">
        <v>21</v>
      </c>
      <c r="C904" s="224" t="s">
        <v>86</v>
      </c>
      <c r="D904" s="224" t="s">
        <v>9</v>
      </c>
      <c r="E904" s="224" t="s">
        <v>256</v>
      </c>
      <c r="F904" s="224" t="s">
        <v>248</v>
      </c>
      <c r="G904" s="223" t="str">
        <f>VLOOKUP($B904,'FRS geographical categories'!$A$2:$C$45,2,FALSE)</f>
        <v>Significantly Rural</v>
      </c>
      <c r="H904" s="223" t="str">
        <f>VLOOKUP($B904,'FRS geographical categories'!$A$2:$C$45,3,FALSE)</f>
        <v>Non-metropolitan</v>
      </c>
      <c r="I904" s="224">
        <v>229</v>
      </c>
    </row>
    <row r="905" spans="1:9" ht="15.5" x14ac:dyDescent="0.35">
      <c r="A905" s="224" t="s">
        <v>54</v>
      </c>
      <c r="B905" s="224" t="s">
        <v>21</v>
      </c>
      <c r="C905" s="224" t="s">
        <v>86</v>
      </c>
      <c r="D905" s="224" t="s">
        <v>9</v>
      </c>
      <c r="E905" s="224" t="s">
        <v>256</v>
      </c>
      <c r="F905" s="224" t="s">
        <v>249</v>
      </c>
      <c r="G905" s="223" t="str">
        <f>VLOOKUP($B905,'FRS geographical categories'!$A$2:$C$45,2,FALSE)</f>
        <v>Significantly Rural</v>
      </c>
      <c r="H905" s="223" t="str">
        <f>VLOOKUP($B905,'FRS geographical categories'!$A$2:$C$45,3,FALSE)</f>
        <v>Non-metropolitan</v>
      </c>
      <c r="I905" s="224">
        <v>1735</v>
      </c>
    </row>
    <row r="906" spans="1:9" ht="15.5" x14ac:dyDescent="0.35">
      <c r="A906" s="224" t="s">
        <v>54</v>
      </c>
      <c r="B906" s="224" t="s">
        <v>21</v>
      </c>
      <c r="C906" s="224" t="s">
        <v>86</v>
      </c>
      <c r="D906" s="224" t="s">
        <v>9</v>
      </c>
      <c r="E906" s="224" t="s">
        <v>256</v>
      </c>
      <c r="F906" s="224" t="s">
        <v>250</v>
      </c>
      <c r="G906" s="223" t="str">
        <f>VLOOKUP($B906,'FRS geographical categories'!$A$2:$C$45,2,FALSE)</f>
        <v>Significantly Rural</v>
      </c>
      <c r="H906" s="223" t="str">
        <f>VLOOKUP($B906,'FRS geographical categories'!$A$2:$C$45,3,FALSE)</f>
        <v>Non-metropolitan</v>
      </c>
      <c r="I906" s="224">
        <v>1230</v>
      </c>
    </row>
    <row r="907" spans="1:9" ht="15.5" x14ac:dyDescent="0.35">
      <c r="A907" s="224" t="s">
        <v>54</v>
      </c>
      <c r="B907" s="224" t="s">
        <v>21</v>
      </c>
      <c r="C907" s="224" t="s">
        <v>86</v>
      </c>
      <c r="D907" s="224" t="s">
        <v>9</v>
      </c>
      <c r="E907" s="224" t="s">
        <v>256</v>
      </c>
      <c r="F907" s="224" t="s">
        <v>111</v>
      </c>
      <c r="G907" s="223" t="str">
        <f>VLOOKUP($B907,'FRS geographical categories'!$A$2:$C$45,2,FALSE)</f>
        <v>Significantly Rural</v>
      </c>
      <c r="H907" s="223" t="str">
        <f>VLOOKUP($B907,'FRS geographical categories'!$A$2:$C$45,3,FALSE)</f>
        <v>Non-metropolitan</v>
      </c>
      <c r="I907" s="224">
        <v>3676</v>
      </c>
    </row>
    <row r="908" spans="1:9" ht="15.5" x14ac:dyDescent="0.35">
      <c r="A908" s="224" t="s">
        <v>54</v>
      </c>
      <c r="B908" s="224" t="s">
        <v>21</v>
      </c>
      <c r="C908" s="224" t="s">
        <v>86</v>
      </c>
      <c r="D908" s="224" t="s">
        <v>9</v>
      </c>
      <c r="E908" s="224" t="s">
        <v>256</v>
      </c>
      <c r="F908" s="224" t="s">
        <v>10</v>
      </c>
      <c r="G908" s="223" t="str">
        <f>VLOOKUP($B908,'FRS geographical categories'!$A$2:$C$45,2,FALSE)</f>
        <v>Significantly Rural</v>
      </c>
      <c r="H908" s="223" t="str">
        <f>VLOOKUP($B908,'FRS geographical categories'!$A$2:$C$45,3,FALSE)</f>
        <v>Non-metropolitan</v>
      </c>
      <c r="I908" s="224">
        <v>3695</v>
      </c>
    </row>
    <row r="909" spans="1:9" ht="15.5" x14ac:dyDescent="0.35">
      <c r="A909" s="224" t="s">
        <v>54</v>
      </c>
      <c r="B909" s="224" t="s">
        <v>21</v>
      </c>
      <c r="C909" s="224" t="s">
        <v>86</v>
      </c>
      <c r="D909" s="224" t="s">
        <v>55</v>
      </c>
      <c r="E909" s="224" t="s">
        <v>256</v>
      </c>
      <c r="F909" s="224" t="s">
        <v>248</v>
      </c>
      <c r="G909" s="223" t="str">
        <f>VLOOKUP($B909,'FRS geographical categories'!$A$2:$C$45,2,FALSE)</f>
        <v>Significantly Rural</v>
      </c>
      <c r="H909" s="223" t="str">
        <f>VLOOKUP($B909,'FRS geographical categories'!$A$2:$C$45,3,FALSE)</f>
        <v>Non-metropolitan</v>
      </c>
      <c r="I909" s="224">
        <v>188</v>
      </c>
    </row>
    <row r="910" spans="1:9" ht="15.5" x14ac:dyDescent="0.35">
      <c r="A910" s="224" t="s">
        <v>54</v>
      </c>
      <c r="B910" s="224" t="s">
        <v>21</v>
      </c>
      <c r="C910" s="224" t="s">
        <v>86</v>
      </c>
      <c r="D910" s="224" t="s">
        <v>55</v>
      </c>
      <c r="E910" s="224" t="s">
        <v>256</v>
      </c>
      <c r="F910" s="224" t="s">
        <v>249</v>
      </c>
      <c r="G910" s="223" t="str">
        <f>VLOOKUP($B910,'FRS geographical categories'!$A$2:$C$45,2,FALSE)</f>
        <v>Significantly Rural</v>
      </c>
      <c r="H910" s="223" t="str">
        <f>VLOOKUP($B910,'FRS geographical categories'!$A$2:$C$45,3,FALSE)</f>
        <v>Non-metropolitan</v>
      </c>
      <c r="I910" s="224">
        <v>963</v>
      </c>
    </row>
    <row r="911" spans="1:9" ht="15.5" x14ac:dyDescent="0.35">
      <c r="A911" s="224" t="s">
        <v>54</v>
      </c>
      <c r="B911" s="224" t="s">
        <v>21</v>
      </c>
      <c r="C911" s="224" t="s">
        <v>86</v>
      </c>
      <c r="D911" s="224" t="s">
        <v>55</v>
      </c>
      <c r="E911" s="224" t="s">
        <v>256</v>
      </c>
      <c r="F911" s="224" t="s">
        <v>250</v>
      </c>
      <c r="G911" s="223" t="str">
        <f>VLOOKUP($B911,'FRS geographical categories'!$A$2:$C$45,2,FALSE)</f>
        <v>Significantly Rural</v>
      </c>
      <c r="H911" s="223" t="str">
        <f>VLOOKUP($B911,'FRS geographical categories'!$A$2:$C$45,3,FALSE)</f>
        <v>Non-metropolitan</v>
      </c>
      <c r="I911" s="224">
        <v>506</v>
      </c>
    </row>
    <row r="912" spans="1:9" ht="15.5" x14ac:dyDescent="0.35">
      <c r="A912" s="224" t="s">
        <v>54</v>
      </c>
      <c r="B912" s="224" t="s">
        <v>21</v>
      </c>
      <c r="C912" s="224" t="s">
        <v>86</v>
      </c>
      <c r="D912" s="224" t="s">
        <v>55</v>
      </c>
      <c r="E912" s="224" t="s">
        <v>256</v>
      </c>
      <c r="F912" s="224" t="s">
        <v>111</v>
      </c>
      <c r="G912" s="223" t="str">
        <f>VLOOKUP($B912,'FRS geographical categories'!$A$2:$C$45,2,FALSE)</f>
        <v>Significantly Rural</v>
      </c>
      <c r="H912" s="223" t="str">
        <f>VLOOKUP($B912,'FRS geographical categories'!$A$2:$C$45,3,FALSE)</f>
        <v>Non-metropolitan</v>
      </c>
      <c r="I912" s="224">
        <v>2079</v>
      </c>
    </row>
    <row r="913" spans="1:9" ht="15.5" x14ac:dyDescent="0.35">
      <c r="A913" s="224" t="s">
        <v>54</v>
      </c>
      <c r="B913" s="224" t="s">
        <v>21</v>
      </c>
      <c r="C913" s="224" t="s">
        <v>86</v>
      </c>
      <c r="D913" s="224" t="s">
        <v>55</v>
      </c>
      <c r="E913" s="224" t="s">
        <v>256</v>
      </c>
      <c r="F913" s="224" t="s">
        <v>10</v>
      </c>
      <c r="G913" s="223" t="str">
        <f>VLOOKUP($B913,'FRS geographical categories'!$A$2:$C$45,2,FALSE)</f>
        <v>Significantly Rural</v>
      </c>
      <c r="H913" s="223" t="str">
        <f>VLOOKUP($B913,'FRS geographical categories'!$A$2:$C$45,3,FALSE)</f>
        <v>Non-metropolitan</v>
      </c>
      <c r="I913" s="224">
        <v>2101</v>
      </c>
    </row>
    <row r="914" spans="1:9" ht="15.5" x14ac:dyDescent="0.35">
      <c r="A914" s="224" t="s">
        <v>54</v>
      </c>
      <c r="B914" s="224" t="s">
        <v>21</v>
      </c>
      <c r="C914" s="224" t="s">
        <v>89</v>
      </c>
      <c r="D914" s="224" t="s">
        <v>9</v>
      </c>
      <c r="E914" s="224" t="s">
        <v>256</v>
      </c>
      <c r="F914" s="224" t="s">
        <v>248</v>
      </c>
      <c r="G914" s="223" t="str">
        <f>VLOOKUP($B914,'FRS geographical categories'!$A$2:$C$45,2,FALSE)</f>
        <v>Significantly Rural</v>
      </c>
      <c r="H914" s="223" t="str">
        <f>VLOOKUP($B914,'FRS geographical categories'!$A$2:$C$45,3,FALSE)</f>
        <v>Non-metropolitan</v>
      </c>
      <c r="I914" s="224">
        <v>6</v>
      </c>
    </row>
    <row r="915" spans="1:9" ht="15.5" x14ac:dyDescent="0.35">
      <c r="A915" s="224" t="s">
        <v>54</v>
      </c>
      <c r="B915" s="224" t="s">
        <v>21</v>
      </c>
      <c r="C915" s="224" t="s">
        <v>89</v>
      </c>
      <c r="D915" s="224" t="s">
        <v>9</v>
      </c>
      <c r="E915" s="224" t="s">
        <v>256</v>
      </c>
      <c r="F915" s="224" t="s">
        <v>249</v>
      </c>
      <c r="G915" s="223" t="str">
        <f>VLOOKUP($B915,'FRS geographical categories'!$A$2:$C$45,2,FALSE)</f>
        <v>Significantly Rural</v>
      </c>
      <c r="H915" s="223" t="str">
        <f>VLOOKUP($B915,'FRS geographical categories'!$A$2:$C$45,3,FALSE)</f>
        <v>Non-metropolitan</v>
      </c>
      <c r="I915" s="224">
        <v>35</v>
      </c>
    </row>
    <row r="916" spans="1:9" ht="15.5" x14ac:dyDescent="0.35">
      <c r="A916" s="224" t="s">
        <v>54</v>
      </c>
      <c r="B916" s="224" t="s">
        <v>21</v>
      </c>
      <c r="C916" s="224" t="s">
        <v>89</v>
      </c>
      <c r="D916" s="224" t="s">
        <v>9</v>
      </c>
      <c r="E916" s="224" t="s">
        <v>256</v>
      </c>
      <c r="F916" s="224" t="s">
        <v>250</v>
      </c>
      <c r="G916" s="223" t="str">
        <f>VLOOKUP($B916,'FRS geographical categories'!$A$2:$C$45,2,FALSE)</f>
        <v>Significantly Rural</v>
      </c>
      <c r="H916" s="223" t="str">
        <f>VLOOKUP($B916,'FRS geographical categories'!$A$2:$C$45,3,FALSE)</f>
        <v>Non-metropolitan</v>
      </c>
      <c r="I916" s="224">
        <v>151</v>
      </c>
    </row>
    <row r="917" spans="1:9" ht="15.5" x14ac:dyDescent="0.35">
      <c r="A917" s="224" t="s">
        <v>54</v>
      </c>
      <c r="B917" s="224" t="s">
        <v>21</v>
      </c>
      <c r="C917" s="224" t="s">
        <v>89</v>
      </c>
      <c r="D917" s="224" t="s">
        <v>9</v>
      </c>
      <c r="E917" s="224" t="s">
        <v>256</v>
      </c>
      <c r="F917" s="224" t="s">
        <v>10</v>
      </c>
      <c r="G917" s="223" t="str">
        <f>VLOOKUP($B917,'FRS geographical categories'!$A$2:$C$45,2,FALSE)</f>
        <v>Significantly Rural</v>
      </c>
      <c r="H917" s="223" t="str">
        <f>VLOOKUP($B917,'FRS geographical categories'!$A$2:$C$45,3,FALSE)</f>
        <v>Non-metropolitan</v>
      </c>
      <c r="I917" s="224">
        <v>216</v>
      </c>
    </row>
    <row r="918" spans="1:9" ht="15.5" x14ac:dyDescent="0.35">
      <c r="A918" s="224" t="s">
        <v>54</v>
      </c>
      <c r="B918" s="224" t="s">
        <v>21</v>
      </c>
      <c r="C918" s="224" t="s">
        <v>89</v>
      </c>
      <c r="D918" s="224" t="s">
        <v>55</v>
      </c>
      <c r="E918" s="224" t="s">
        <v>256</v>
      </c>
      <c r="F918" s="224" t="s">
        <v>248</v>
      </c>
      <c r="G918" s="223" t="str">
        <f>VLOOKUP($B918,'FRS geographical categories'!$A$2:$C$45,2,FALSE)</f>
        <v>Significantly Rural</v>
      </c>
      <c r="H918" s="223" t="str">
        <f>VLOOKUP($B918,'FRS geographical categories'!$A$2:$C$45,3,FALSE)</f>
        <v>Non-metropolitan</v>
      </c>
      <c r="I918" s="224">
        <v>0</v>
      </c>
    </row>
    <row r="919" spans="1:9" ht="15.5" x14ac:dyDescent="0.35">
      <c r="A919" s="224" t="s">
        <v>54</v>
      </c>
      <c r="B919" s="224" t="s">
        <v>21</v>
      </c>
      <c r="C919" s="224" t="s">
        <v>89</v>
      </c>
      <c r="D919" s="224" t="s">
        <v>55</v>
      </c>
      <c r="E919" s="224" t="s">
        <v>256</v>
      </c>
      <c r="F919" s="224" t="s">
        <v>249</v>
      </c>
      <c r="G919" s="223" t="str">
        <f>VLOOKUP($B919,'FRS geographical categories'!$A$2:$C$45,2,FALSE)</f>
        <v>Significantly Rural</v>
      </c>
      <c r="H919" s="223" t="str">
        <f>VLOOKUP($B919,'FRS geographical categories'!$A$2:$C$45,3,FALSE)</f>
        <v>Non-metropolitan</v>
      </c>
      <c r="I919" s="224">
        <v>0</v>
      </c>
    </row>
    <row r="920" spans="1:9" ht="15.5" x14ac:dyDescent="0.35">
      <c r="A920" s="224" t="s">
        <v>54</v>
      </c>
      <c r="B920" s="224" t="s">
        <v>21</v>
      </c>
      <c r="C920" s="224" t="s">
        <v>89</v>
      </c>
      <c r="D920" s="224" t="s">
        <v>55</v>
      </c>
      <c r="E920" s="224" t="s">
        <v>256</v>
      </c>
      <c r="F920" s="224" t="s">
        <v>250</v>
      </c>
      <c r="G920" s="223" t="str">
        <f>VLOOKUP($B920,'FRS geographical categories'!$A$2:$C$45,2,FALSE)</f>
        <v>Significantly Rural</v>
      </c>
      <c r="H920" s="223" t="str">
        <f>VLOOKUP($B920,'FRS geographical categories'!$A$2:$C$45,3,FALSE)</f>
        <v>Non-metropolitan</v>
      </c>
      <c r="I920" s="224">
        <v>0</v>
      </c>
    </row>
    <row r="921" spans="1:9" ht="15.5" x14ac:dyDescent="0.35">
      <c r="A921" s="224" t="s">
        <v>54</v>
      </c>
      <c r="B921" s="224" t="s">
        <v>21</v>
      </c>
      <c r="C921" s="224" t="s">
        <v>89</v>
      </c>
      <c r="D921" s="224" t="s">
        <v>55</v>
      </c>
      <c r="E921" s="224" t="s">
        <v>256</v>
      </c>
      <c r="F921" s="224" t="s">
        <v>10</v>
      </c>
      <c r="G921" s="223" t="str">
        <f>VLOOKUP($B921,'FRS geographical categories'!$A$2:$C$45,2,FALSE)</f>
        <v>Significantly Rural</v>
      </c>
      <c r="H921" s="223" t="str">
        <f>VLOOKUP($B921,'FRS geographical categories'!$A$2:$C$45,3,FALSE)</f>
        <v>Non-metropolitan</v>
      </c>
      <c r="I921" s="224">
        <v>0</v>
      </c>
    </row>
    <row r="922" spans="1:9" ht="15.5" x14ac:dyDescent="0.35">
      <c r="A922" s="224" t="s">
        <v>54</v>
      </c>
      <c r="B922" s="224" t="s">
        <v>22</v>
      </c>
      <c r="C922" s="224" t="s">
        <v>86</v>
      </c>
      <c r="D922" s="224" t="s">
        <v>9</v>
      </c>
      <c r="E922" s="224" t="s">
        <v>256</v>
      </c>
      <c r="F922" s="224" t="s">
        <v>248</v>
      </c>
      <c r="G922" s="223" t="str">
        <f>VLOOKUP($B922,'FRS geographical categories'!$A$2:$C$45,2,FALSE)</f>
        <v>Predominantly Rural</v>
      </c>
      <c r="H922" s="223" t="str">
        <f>VLOOKUP($B922,'FRS geographical categories'!$A$2:$C$45,3,FALSE)</f>
        <v>Non-metropolitan</v>
      </c>
      <c r="I922" s="224">
        <v>298</v>
      </c>
    </row>
    <row r="923" spans="1:9" ht="15.5" x14ac:dyDescent="0.35">
      <c r="A923" s="224" t="s">
        <v>54</v>
      </c>
      <c r="B923" s="224" t="s">
        <v>22</v>
      </c>
      <c r="C923" s="224" t="s">
        <v>86</v>
      </c>
      <c r="D923" s="224" t="s">
        <v>9</v>
      </c>
      <c r="E923" s="224" t="s">
        <v>256</v>
      </c>
      <c r="F923" s="224" t="s">
        <v>249</v>
      </c>
      <c r="G923" s="223" t="str">
        <f>VLOOKUP($B923,'FRS geographical categories'!$A$2:$C$45,2,FALSE)</f>
        <v>Predominantly Rural</v>
      </c>
      <c r="H923" s="223" t="str">
        <f>VLOOKUP($B923,'FRS geographical categories'!$A$2:$C$45,3,FALSE)</f>
        <v>Non-metropolitan</v>
      </c>
      <c r="I923" s="224">
        <v>42</v>
      </c>
    </row>
    <row r="924" spans="1:9" ht="15.5" x14ac:dyDescent="0.35">
      <c r="A924" s="224" t="s">
        <v>54</v>
      </c>
      <c r="B924" s="224" t="s">
        <v>22</v>
      </c>
      <c r="C924" s="224" t="s">
        <v>86</v>
      </c>
      <c r="D924" s="224" t="s">
        <v>9</v>
      </c>
      <c r="E924" s="224" t="s">
        <v>256</v>
      </c>
      <c r="F924" s="224" t="s">
        <v>250</v>
      </c>
      <c r="G924" s="223" t="str">
        <f>VLOOKUP($B924,'FRS geographical categories'!$A$2:$C$45,2,FALSE)</f>
        <v>Predominantly Rural</v>
      </c>
      <c r="H924" s="223" t="str">
        <f>VLOOKUP($B924,'FRS geographical categories'!$A$2:$C$45,3,FALSE)</f>
        <v>Non-metropolitan</v>
      </c>
      <c r="I924" s="224">
        <v>19</v>
      </c>
    </row>
    <row r="925" spans="1:9" ht="15.5" x14ac:dyDescent="0.35">
      <c r="A925" s="224" t="s">
        <v>54</v>
      </c>
      <c r="B925" s="224" t="s">
        <v>22</v>
      </c>
      <c r="C925" s="224" t="s">
        <v>86</v>
      </c>
      <c r="D925" s="224" t="s">
        <v>9</v>
      </c>
      <c r="E925" s="224" t="s">
        <v>256</v>
      </c>
      <c r="F925" s="224" t="s">
        <v>111</v>
      </c>
      <c r="G925" s="223" t="str">
        <f>VLOOKUP($B925,'FRS geographical categories'!$A$2:$C$45,2,FALSE)</f>
        <v>Predominantly Rural</v>
      </c>
      <c r="H925" s="223" t="str">
        <f>VLOOKUP($B925,'FRS geographical categories'!$A$2:$C$45,3,FALSE)</f>
        <v>Non-metropolitan</v>
      </c>
      <c r="I925" s="224">
        <v>1115</v>
      </c>
    </row>
    <row r="926" spans="1:9" ht="15.5" x14ac:dyDescent="0.35">
      <c r="A926" s="224" t="s">
        <v>54</v>
      </c>
      <c r="B926" s="224" t="s">
        <v>22</v>
      </c>
      <c r="C926" s="224" t="s">
        <v>86</v>
      </c>
      <c r="D926" s="224" t="s">
        <v>9</v>
      </c>
      <c r="E926" s="224" t="s">
        <v>256</v>
      </c>
      <c r="F926" s="224" t="s">
        <v>10</v>
      </c>
      <c r="G926" s="223" t="str">
        <f>VLOOKUP($B926,'FRS geographical categories'!$A$2:$C$45,2,FALSE)</f>
        <v>Predominantly Rural</v>
      </c>
      <c r="H926" s="223" t="str">
        <f>VLOOKUP($B926,'FRS geographical categories'!$A$2:$C$45,3,FALSE)</f>
        <v>Non-metropolitan</v>
      </c>
      <c r="I926" s="224">
        <v>1665</v>
      </c>
    </row>
    <row r="927" spans="1:9" ht="15.5" x14ac:dyDescent="0.35">
      <c r="A927" s="224" t="s">
        <v>54</v>
      </c>
      <c r="B927" s="224" t="s">
        <v>22</v>
      </c>
      <c r="C927" s="224" t="s">
        <v>86</v>
      </c>
      <c r="D927" s="224" t="s">
        <v>55</v>
      </c>
      <c r="E927" s="224" t="s">
        <v>256</v>
      </c>
      <c r="F927" s="224" t="s">
        <v>248</v>
      </c>
      <c r="G927" s="223" t="str">
        <f>VLOOKUP($B927,'FRS geographical categories'!$A$2:$C$45,2,FALSE)</f>
        <v>Predominantly Rural</v>
      </c>
      <c r="H927" s="223" t="str">
        <f>VLOOKUP($B927,'FRS geographical categories'!$A$2:$C$45,3,FALSE)</f>
        <v>Non-metropolitan</v>
      </c>
      <c r="I927" s="224">
        <v>296</v>
      </c>
    </row>
    <row r="928" spans="1:9" ht="15.5" x14ac:dyDescent="0.35">
      <c r="A928" s="224" t="s">
        <v>54</v>
      </c>
      <c r="B928" s="224" t="s">
        <v>22</v>
      </c>
      <c r="C928" s="224" t="s">
        <v>86</v>
      </c>
      <c r="D928" s="224" t="s">
        <v>55</v>
      </c>
      <c r="E928" s="224" t="s">
        <v>256</v>
      </c>
      <c r="F928" s="224" t="s">
        <v>249</v>
      </c>
      <c r="G928" s="223" t="str">
        <f>VLOOKUP($B928,'FRS geographical categories'!$A$2:$C$45,2,FALSE)</f>
        <v>Predominantly Rural</v>
      </c>
      <c r="H928" s="223" t="str">
        <f>VLOOKUP($B928,'FRS geographical categories'!$A$2:$C$45,3,FALSE)</f>
        <v>Non-metropolitan</v>
      </c>
      <c r="I928" s="224">
        <v>45</v>
      </c>
    </row>
    <row r="929" spans="1:9" ht="15.5" x14ac:dyDescent="0.35">
      <c r="A929" s="224" t="s">
        <v>54</v>
      </c>
      <c r="B929" s="224" t="s">
        <v>22</v>
      </c>
      <c r="C929" s="224" t="s">
        <v>86</v>
      </c>
      <c r="D929" s="224" t="s">
        <v>55</v>
      </c>
      <c r="E929" s="224" t="s">
        <v>256</v>
      </c>
      <c r="F929" s="224" t="s">
        <v>250</v>
      </c>
      <c r="G929" s="223" t="str">
        <f>VLOOKUP($B929,'FRS geographical categories'!$A$2:$C$45,2,FALSE)</f>
        <v>Predominantly Rural</v>
      </c>
      <c r="H929" s="223" t="str">
        <f>VLOOKUP($B929,'FRS geographical categories'!$A$2:$C$45,3,FALSE)</f>
        <v>Non-metropolitan</v>
      </c>
      <c r="I929" s="224">
        <v>265</v>
      </c>
    </row>
    <row r="930" spans="1:9" ht="15.5" x14ac:dyDescent="0.35">
      <c r="A930" s="224" t="s">
        <v>54</v>
      </c>
      <c r="B930" s="224" t="s">
        <v>22</v>
      </c>
      <c r="C930" s="224" t="s">
        <v>86</v>
      </c>
      <c r="D930" s="224" t="s">
        <v>55</v>
      </c>
      <c r="E930" s="224" t="s">
        <v>256</v>
      </c>
      <c r="F930" s="224" t="s">
        <v>111</v>
      </c>
      <c r="G930" s="223" t="str">
        <f>VLOOKUP($B930,'FRS geographical categories'!$A$2:$C$45,2,FALSE)</f>
        <v>Predominantly Rural</v>
      </c>
      <c r="H930" s="223" t="str">
        <f>VLOOKUP($B930,'FRS geographical categories'!$A$2:$C$45,3,FALSE)</f>
        <v>Non-metropolitan</v>
      </c>
      <c r="I930" s="224">
        <v>1849</v>
      </c>
    </row>
    <row r="931" spans="1:9" ht="15.5" x14ac:dyDescent="0.35">
      <c r="A931" s="224" t="s">
        <v>54</v>
      </c>
      <c r="B931" s="224" t="s">
        <v>22</v>
      </c>
      <c r="C931" s="224" t="s">
        <v>86</v>
      </c>
      <c r="D931" s="224" t="s">
        <v>55</v>
      </c>
      <c r="E931" s="224" t="s">
        <v>256</v>
      </c>
      <c r="F931" s="224" t="s">
        <v>10</v>
      </c>
      <c r="G931" s="223" t="str">
        <f>VLOOKUP($B931,'FRS geographical categories'!$A$2:$C$45,2,FALSE)</f>
        <v>Predominantly Rural</v>
      </c>
      <c r="H931" s="223" t="str">
        <f>VLOOKUP($B931,'FRS geographical categories'!$A$2:$C$45,3,FALSE)</f>
        <v>Non-metropolitan</v>
      </c>
      <c r="I931" s="224">
        <v>3180</v>
      </c>
    </row>
    <row r="932" spans="1:9" ht="15.5" x14ac:dyDescent="0.35">
      <c r="A932" s="224" t="s">
        <v>54</v>
      </c>
      <c r="B932" s="224" t="s">
        <v>22</v>
      </c>
      <c r="C932" s="224" t="s">
        <v>89</v>
      </c>
      <c r="D932" s="224" t="s">
        <v>9</v>
      </c>
      <c r="E932" s="224" t="s">
        <v>256</v>
      </c>
      <c r="F932" s="224" t="s">
        <v>248</v>
      </c>
      <c r="G932" s="223" t="str">
        <f>VLOOKUP($B932,'FRS geographical categories'!$A$2:$C$45,2,FALSE)</f>
        <v>Predominantly Rural</v>
      </c>
      <c r="H932" s="223" t="str">
        <f>VLOOKUP($B932,'FRS geographical categories'!$A$2:$C$45,3,FALSE)</f>
        <v>Non-metropolitan</v>
      </c>
      <c r="I932" s="224">
        <v>0</v>
      </c>
    </row>
    <row r="933" spans="1:9" ht="15.5" x14ac:dyDescent="0.35">
      <c r="A933" s="224" t="s">
        <v>54</v>
      </c>
      <c r="B933" s="224" t="s">
        <v>22</v>
      </c>
      <c r="C933" s="224" t="s">
        <v>89</v>
      </c>
      <c r="D933" s="224" t="s">
        <v>9</v>
      </c>
      <c r="E933" s="224" t="s">
        <v>256</v>
      </c>
      <c r="F933" s="224" t="s">
        <v>249</v>
      </c>
      <c r="G933" s="223" t="str">
        <f>VLOOKUP($B933,'FRS geographical categories'!$A$2:$C$45,2,FALSE)</f>
        <v>Predominantly Rural</v>
      </c>
      <c r="H933" s="223" t="str">
        <f>VLOOKUP($B933,'FRS geographical categories'!$A$2:$C$45,3,FALSE)</f>
        <v>Non-metropolitan</v>
      </c>
      <c r="I933" s="224">
        <v>0</v>
      </c>
    </row>
    <row r="934" spans="1:9" ht="15.5" x14ac:dyDescent="0.35">
      <c r="A934" s="224" t="s">
        <v>54</v>
      </c>
      <c r="B934" s="224" t="s">
        <v>22</v>
      </c>
      <c r="C934" s="224" t="s">
        <v>89</v>
      </c>
      <c r="D934" s="224" t="s">
        <v>9</v>
      </c>
      <c r="E934" s="224" t="s">
        <v>256</v>
      </c>
      <c r="F934" s="224" t="s">
        <v>250</v>
      </c>
      <c r="G934" s="223" t="str">
        <f>VLOOKUP($B934,'FRS geographical categories'!$A$2:$C$45,2,FALSE)</f>
        <v>Predominantly Rural</v>
      </c>
      <c r="H934" s="223" t="str">
        <f>VLOOKUP($B934,'FRS geographical categories'!$A$2:$C$45,3,FALSE)</f>
        <v>Non-metropolitan</v>
      </c>
      <c r="I934" s="224">
        <v>0</v>
      </c>
    </row>
    <row r="935" spans="1:9" ht="15.5" x14ac:dyDescent="0.35">
      <c r="A935" s="224" t="s">
        <v>54</v>
      </c>
      <c r="B935" s="224" t="s">
        <v>22</v>
      </c>
      <c r="C935" s="224" t="s">
        <v>89</v>
      </c>
      <c r="D935" s="224" t="s">
        <v>9</v>
      </c>
      <c r="E935" s="224" t="s">
        <v>256</v>
      </c>
      <c r="F935" s="224" t="s">
        <v>10</v>
      </c>
      <c r="G935" s="223" t="str">
        <f>VLOOKUP($B935,'FRS geographical categories'!$A$2:$C$45,2,FALSE)</f>
        <v>Predominantly Rural</v>
      </c>
      <c r="H935" s="223" t="str">
        <f>VLOOKUP($B935,'FRS geographical categories'!$A$2:$C$45,3,FALSE)</f>
        <v>Non-metropolitan</v>
      </c>
      <c r="I935" s="224">
        <v>0</v>
      </c>
    </row>
    <row r="936" spans="1:9" ht="15.5" x14ac:dyDescent="0.35">
      <c r="A936" s="224" t="s">
        <v>54</v>
      </c>
      <c r="B936" s="224" t="s">
        <v>22</v>
      </c>
      <c r="C936" s="224" t="s">
        <v>89</v>
      </c>
      <c r="D936" s="224" t="s">
        <v>55</v>
      </c>
      <c r="E936" s="224" t="s">
        <v>256</v>
      </c>
      <c r="F936" s="224" t="s">
        <v>248</v>
      </c>
      <c r="G936" s="223" t="str">
        <f>VLOOKUP($B936,'FRS geographical categories'!$A$2:$C$45,2,FALSE)</f>
        <v>Predominantly Rural</v>
      </c>
      <c r="H936" s="223" t="str">
        <f>VLOOKUP($B936,'FRS geographical categories'!$A$2:$C$45,3,FALSE)</f>
        <v>Non-metropolitan</v>
      </c>
      <c r="I936" s="224">
        <v>0</v>
      </c>
    </row>
    <row r="937" spans="1:9" ht="15.5" x14ac:dyDescent="0.35">
      <c r="A937" s="224" t="s">
        <v>54</v>
      </c>
      <c r="B937" s="224" t="s">
        <v>22</v>
      </c>
      <c r="C937" s="224" t="s">
        <v>89</v>
      </c>
      <c r="D937" s="224" t="s">
        <v>55</v>
      </c>
      <c r="E937" s="224" t="s">
        <v>256</v>
      </c>
      <c r="F937" s="224" t="s">
        <v>249</v>
      </c>
      <c r="G937" s="223" t="str">
        <f>VLOOKUP($B937,'FRS geographical categories'!$A$2:$C$45,2,FALSE)</f>
        <v>Predominantly Rural</v>
      </c>
      <c r="H937" s="223" t="str">
        <f>VLOOKUP($B937,'FRS geographical categories'!$A$2:$C$45,3,FALSE)</f>
        <v>Non-metropolitan</v>
      </c>
      <c r="I937" s="224">
        <v>0</v>
      </c>
    </row>
    <row r="938" spans="1:9" ht="15.5" x14ac:dyDescent="0.35">
      <c r="A938" s="224" t="s">
        <v>54</v>
      </c>
      <c r="B938" s="224" t="s">
        <v>22</v>
      </c>
      <c r="C938" s="224" t="s">
        <v>89</v>
      </c>
      <c r="D938" s="224" t="s">
        <v>55</v>
      </c>
      <c r="E938" s="224" t="s">
        <v>256</v>
      </c>
      <c r="F938" s="224" t="s">
        <v>250</v>
      </c>
      <c r="G938" s="223" t="str">
        <f>VLOOKUP($B938,'FRS geographical categories'!$A$2:$C$45,2,FALSE)</f>
        <v>Predominantly Rural</v>
      </c>
      <c r="H938" s="223" t="str">
        <f>VLOOKUP($B938,'FRS geographical categories'!$A$2:$C$45,3,FALSE)</f>
        <v>Non-metropolitan</v>
      </c>
      <c r="I938" s="224">
        <v>0</v>
      </c>
    </row>
    <row r="939" spans="1:9" ht="15.5" x14ac:dyDescent="0.35">
      <c r="A939" s="224" t="s">
        <v>54</v>
      </c>
      <c r="B939" s="224" t="s">
        <v>22</v>
      </c>
      <c r="C939" s="224" t="s">
        <v>89</v>
      </c>
      <c r="D939" s="224" t="s">
        <v>55</v>
      </c>
      <c r="E939" s="224" t="s">
        <v>256</v>
      </c>
      <c r="F939" s="224" t="s">
        <v>10</v>
      </c>
      <c r="G939" s="223" t="str">
        <f>VLOOKUP($B939,'FRS geographical categories'!$A$2:$C$45,2,FALSE)</f>
        <v>Predominantly Rural</v>
      </c>
      <c r="H939" s="223" t="str">
        <f>VLOOKUP($B939,'FRS geographical categories'!$A$2:$C$45,3,FALSE)</f>
        <v>Non-metropolitan</v>
      </c>
      <c r="I939" s="224">
        <v>0</v>
      </c>
    </row>
    <row r="940" spans="1:9" ht="15.5" x14ac:dyDescent="0.35">
      <c r="A940" s="224" t="s">
        <v>54</v>
      </c>
      <c r="B940" s="224" t="s">
        <v>23</v>
      </c>
      <c r="C940" s="224" t="s">
        <v>86</v>
      </c>
      <c r="D940" s="224" t="s">
        <v>9</v>
      </c>
      <c r="E940" s="224" t="s">
        <v>256</v>
      </c>
      <c r="F940" s="224" t="s">
        <v>248</v>
      </c>
      <c r="G940" s="223" t="str">
        <f>VLOOKUP($B940,'FRS geographical categories'!$A$2:$C$45,2,FALSE)</f>
        <v>Significantly Rural</v>
      </c>
      <c r="H940" s="223" t="str">
        <f>VLOOKUP($B940,'FRS geographical categories'!$A$2:$C$45,3,FALSE)</f>
        <v>Non-metropolitan</v>
      </c>
      <c r="I940" s="224">
        <v>0</v>
      </c>
    </row>
    <row r="941" spans="1:9" ht="15.5" x14ac:dyDescent="0.35">
      <c r="A941" s="224" t="s">
        <v>54</v>
      </c>
      <c r="B941" s="224" t="s">
        <v>23</v>
      </c>
      <c r="C941" s="224" t="s">
        <v>86</v>
      </c>
      <c r="D941" s="224" t="s">
        <v>9</v>
      </c>
      <c r="E941" s="224" t="s">
        <v>256</v>
      </c>
      <c r="F941" s="224" t="s">
        <v>249</v>
      </c>
      <c r="G941" s="223" t="str">
        <f>VLOOKUP($B941,'FRS geographical categories'!$A$2:$C$45,2,FALSE)</f>
        <v>Significantly Rural</v>
      </c>
      <c r="H941" s="223" t="str">
        <f>VLOOKUP($B941,'FRS geographical categories'!$A$2:$C$45,3,FALSE)</f>
        <v>Non-metropolitan</v>
      </c>
      <c r="I941" s="224">
        <v>0</v>
      </c>
    </row>
    <row r="942" spans="1:9" ht="15.5" x14ac:dyDescent="0.35">
      <c r="A942" s="224" t="s">
        <v>54</v>
      </c>
      <c r="B942" s="224" t="s">
        <v>23</v>
      </c>
      <c r="C942" s="224" t="s">
        <v>86</v>
      </c>
      <c r="D942" s="224" t="s">
        <v>9</v>
      </c>
      <c r="E942" s="224" t="s">
        <v>256</v>
      </c>
      <c r="F942" s="224" t="s">
        <v>250</v>
      </c>
      <c r="G942" s="223" t="str">
        <f>VLOOKUP($B942,'FRS geographical categories'!$A$2:$C$45,2,FALSE)</f>
        <v>Significantly Rural</v>
      </c>
      <c r="H942" s="223" t="str">
        <f>VLOOKUP($B942,'FRS geographical categories'!$A$2:$C$45,3,FALSE)</f>
        <v>Non-metropolitan</v>
      </c>
      <c r="I942" s="224">
        <v>0</v>
      </c>
    </row>
    <row r="943" spans="1:9" ht="15.5" x14ac:dyDescent="0.35">
      <c r="A943" s="224" t="s">
        <v>54</v>
      </c>
      <c r="B943" s="224" t="s">
        <v>23</v>
      </c>
      <c r="C943" s="224" t="s">
        <v>86</v>
      </c>
      <c r="D943" s="224" t="s">
        <v>9</v>
      </c>
      <c r="E943" s="224" t="s">
        <v>256</v>
      </c>
      <c r="F943" s="224" t="s">
        <v>111</v>
      </c>
      <c r="G943" s="223" t="str">
        <f>VLOOKUP($B943,'FRS geographical categories'!$A$2:$C$45,2,FALSE)</f>
        <v>Significantly Rural</v>
      </c>
      <c r="H943" s="223" t="str">
        <f>VLOOKUP($B943,'FRS geographical categories'!$A$2:$C$45,3,FALSE)</f>
        <v>Non-metropolitan</v>
      </c>
      <c r="I943" s="224">
        <v>0</v>
      </c>
    </row>
    <row r="944" spans="1:9" ht="15.5" x14ac:dyDescent="0.35">
      <c r="A944" s="224" t="s">
        <v>54</v>
      </c>
      <c r="B944" s="224" t="s">
        <v>23</v>
      </c>
      <c r="C944" s="224" t="s">
        <v>86</v>
      </c>
      <c r="D944" s="224" t="s">
        <v>9</v>
      </c>
      <c r="E944" s="224" t="s">
        <v>256</v>
      </c>
      <c r="F944" s="224" t="s">
        <v>10</v>
      </c>
      <c r="G944" s="223" t="str">
        <f>VLOOKUP($B944,'FRS geographical categories'!$A$2:$C$45,2,FALSE)</f>
        <v>Significantly Rural</v>
      </c>
      <c r="H944" s="223" t="str">
        <f>VLOOKUP($B944,'FRS geographical categories'!$A$2:$C$45,3,FALSE)</f>
        <v>Non-metropolitan</v>
      </c>
      <c r="I944" s="224">
        <v>0</v>
      </c>
    </row>
    <row r="945" spans="1:9" ht="15.5" x14ac:dyDescent="0.35">
      <c r="A945" s="224" t="s">
        <v>54</v>
      </c>
      <c r="B945" s="224" t="s">
        <v>23</v>
      </c>
      <c r="C945" s="224" t="s">
        <v>86</v>
      </c>
      <c r="D945" s="224" t="s">
        <v>55</v>
      </c>
      <c r="E945" s="224" t="s">
        <v>256</v>
      </c>
      <c r="F945" s="224" t="s">
        <v>248</v>
      </c>
      <c r="G945" s="223" t="str">
        <f>VLOOKUP($B945,'FRS geographical categories'!$A$2:$C$45,2,FALSE)</f>
        <v>Significantly Rural</v>
      </c>
      <c r="H945" s="223" t="str">
        <f>VLOOKUP($B945,'FRS geographical categories'!$A$2:$C$45,3,FALSE)</f>
        <v>Non-metropolitan</v>
      </c>
      <c r="I945" s="224">
        <v>578</v>
      </c>
    </row>
    <row r="946" spans="1:9" ht="15.5" x14ac:dyDescent="0.35">
      <c r="A946" s="224" t="s">
        <v>54</v>
      </c>
      <c r="B946" s="224" t="s">
        <v>23</v>
      </c>
      <c r="C946" s="224" t="s">
        <v>86</v>
      </c>
      <c r="D946" s="224" t="s">
        <v>55</v>
      </c>
      <c r="E946" s="224" t="s">
        <v>256</v>
      </c>
      <c r="F946" s="224" t="s">
        <v>249</v>
      </c>
      <c r="G946" s="223" t="str">
        <f>VLOOKUP($B946,'FRS geographical categories'!$A$2:$C$45,2,FALSE)</f>
        <v>Significantly Rural</v>
      </c>
      <c r="H946" s="223" t="str">
        <f>VLOOKUP($B946,'FRS geographical categories'!$A$2:$C$45,3,FALSE)</f>
        <v>Non-metropolitan</v>
      </c>
      <c r="I946" s="224">
        <v>2721</v>
      </c>
    </row>
    <row r="947" spans="1:9" ht="15.5" x14ac:dyDescent="0.35">
      <c r="A947" s="224" t="s">
        <v>54</v>
      </c>
      <c r="B947" s="224" t="s">
        <v>23</v>
      </c>
      <c r="C947" s="224" t="s">
        <v>86</v>
      </c>
      <c r="D947" s="224" t="s">
        <v>55</v>
      </c>
      <c r="E947" s="224" t="s">
        <v>256</v>
      </c>
      <c r="F947" s="224" t="s">
        <v>250</v>
      </c>
      <c r="G947" s="223" t="str">
        <f>VLOOKUP($B947,'FRS geographical categories'!$A$2:$C$45,2,FALSE)</f>
        <v>Significantly Rural</v>
      </c>
      <c r="H947" s="223" t="str">
        <f>VLOOKUP($B947,'FRS geographical categories'!$A$2:$C$45,3,FALSE)</f>
        <v>Non-metropolitan</v>
      </c>
      <c r="I947" s="224">
        <v>2086</v>
      </c>
    </row>
    <row r="948" spans="1:9" ht="15.5" x14ac:dyDescent="0.35">
      <c r="A948" s="224" t="s">
        <v>54</v>
      </c>
      <c r="B948" s="224" t="s">
        <v>23</v>
      </c>
      <c r="C948" s="224" t="s">
        <v>86</v>
      </c>
      <c r="D948" s="224" t="s">
        <v>55</v>
      </c>
      <c r="E948" s="224" t="s">
        <v>256</v>
      </c>
      <c r="F948" s="224" t="s">
        <v>111</v>
      </c>
      <c r="G948" s="223" t="str">
        <f>VLOOKUP($B948,'FRS geographical categories'!$A$2:$C$45,2,FALSE)</f>
        <v>Significantly Rural</v>
      </c>
      <c r="H948" s="223" t="str">
        <f>VLOOKUP($B948,'FRS geographical categories'!$A$2:$C$45,3,FALSE)</f>
        <v>Non-metropolitan</v>
      </c>
      <c r="I948" s="224">
        <v>3299</v>
      </c>
    </row>
    <row r="949" spans="1:9" ht="15.5" x14ac:dyDescent="0.35">
      <c r="A949" s="224" t="s">
        <v>54</v>
      </c>
      <c r="B949" s="224" t="s">
        <v>23</v>
      </c>
      <c r="C949" s="224" t="s">
        <v>86</v>
      </c>
      <c r="D949" s="224" t="s">
        <v>55</v>
      </c>
      <c r="E949" s="224" t="s">
        <v>256</v>
      </c>
      <c r="F949" s="224" t="s">
        <v>10</v>
      </c>
      <c r="G949" s="223" t="str">
        <f>VLOOKUP($B949,'FRS geographical categories'!$A$2:$C$45,2,FALSE)</f>
        <v>Significantly Rural</v>
      </c>
      <c r="H949" s="223" t="str">
        <f>VLOOKUP($B949,'FRS geographical categories'!$A$2:$C$45,3,FALSE)</f>
        <v>Non-metropolitan</v>
      </c>
      <c r="I949" s="224">
        <v>7180</v>
      </c>
    </row>
    <row r="950" spans="1:9" ht="15.5" x14ac:dyDescent="0.35">
      <c r="A950" s="224" t="s">
        <v>54</v>
      </c>
      <c r="B950" s="224" t="s">
        <v>23</v>
      </c>
      <c r="C950" s="224" t="s">
        <v>89</v>
      </c>
      <c r="D950" s="224" t="s">
        <v>9</v>
      </c>
      <c r="E950" s="224" t="s">
        <v>256</v>
      </c>
      <c r="F950" s="224" t="s">
        <v>248</v>
      </c>
      <c r="G950" s="223" t="str">
        <f>VLOOKUP($B950,'FRS geographical categories'!$A$2:$C$45,2,FALSE)</f>
        <v>Significantly Rural</v>
      </c>
      <c r="H950" s="223" t="str">
        <f>VLOOKUP($B950,'FRS geographical categories'!$A$2:$C$45,3,FALSE)</f>
        <v>Non-metropolitan</v>
      </c>
      <c r="I950" s="224">
        <v>0</v>
      </c>
    </row>
    <row r="951" spans="1:9" ht="15.5" x14ac:dyDescent="0.35">
      <c r="A951" s="224" t="s">
        <v>54</v>
      </c>
      <c r="B951" s="224" t="s">
        <v>23</v>
      </c>
      <c r="C951" s="224" t="s">
        <v>89</v>
      </c>
      <c r="D951" s="224" t="s">
        <v>9</v>
      </c>
      <c r="E951" s="224" t="s">
        <v>256</v>
      </c>
      <c r="F951" s="224" t="s">
        <v>249</v>
      </c>
      <c r="G951" s="223" t="str">
        <f>VLOOKUP($B951,'FRS geographical categories'!$A$2:$C$45,2,FALSE)</f>
        <v>Significantly Rural</v>
      </c>
      <c r="H951" s="223" t="str">
        <f>VLOOKUP($B951,'FRS geographical categories'!$A$2:$C$45,3,FALSE)</f>
        <v>Non-metropolitan</v>
      </c>
      <c r="I951" s="224">
        <v>0</v>
      </c>
    </row>
    <row r="952" spans="1:9" ht="15.5" x14ac:dyDescent="0.35">
      <c r="A952" s="224" t="s">
        <v>54</v>
      </c>
      <c r="B952" s="224" t="s">
        <v>23</v>
      </c>
      <c r="C952" s="224" t="s">
        <v>89</v>
      </c>
      <c r="D952" s="224" t="s">
        <v>9</v>
      </c>
      <c r="E952" s="224" t="s">
        <v>256</v>
      </c>
      <c r="F952" s="224" t="s">
        <v>250</v>
      </c>
      <c r="G952" s="223" t="str">
        <f>VLOOKUP($B952,'FRS geographical categories'!$A$2:$C$45,2,FALSE)</f>
        <v>Significantly Rural</v>
      </c>
      <c r="H952" s="223" t="str">
        <f>VLOOKUP($B952,'FRS geographical categories'!$A$2:$C$45,3,FALSE)</f>
        <v>Non-metropolitan</v>
      </c>
      <c r="I952" s="224">
        <v>0</v>
      </c>
    </row>
    <row r="953" spans="1:9" ht="15.5" x14ac:dyDescent="0.35">
      <c r="A953" s="224" t="s">
        <v>54</v>
      </c>
      <c r="B953" s="224" t="s">
        <v>23</v>
      </c>
      <c r="C953" s="224" t="s">
        <v>89</v>
      </c>
      <c r="D953" s="224" t="s">
        <v>9</v>
      </c>
      <c r="E953" s="224" t="s">
        <v>256</v>
      </c>
      <c r="F953" s="224" t="s">
        <v>10</v>
      </c>
      <c r="G953" s="223" t="str">
        <f>VLOOKUP($B953,'FRS geographical categories'!$A$2:$C$45,2,FALSE)</f>
        <v>Significantly Rural</v>
      </c>
      <c r="H953" s="223" t="str">
        <f>VLOOKUP($B953,'FRS geographical categories'!$A$2:$C$45,3,FALSE)</f>
        <v>Non-metropolitan</v>
      </c>
      <c r="I953" s="224">
        <v>0</v>
      </c>
    </row>
    <row r="954" spans="1:9" ht="15.5" x14ac:dyDescent="0.35">
      <c r="A954" s="224" t="s">
        <v>54</v>
      </c>
      <c r="B954" s="224" t="s">
        <v>23</v>
      </c>
      <c r="C954" s="224" t="s">
        <v>89</v>
      </c>
      <c r="D954" s="224" t="s">
        <v>55</v>
      </c>
      <c r="E954" s="224" t="s">
        <v>256</v>
      </c>
      <c r="F954" s="224" t="s">
        <v>248</v>
      </c>
      <c r="G954" s="223" t="str">
        <f>VLOOKUP($B954,'FRS geographical categories'!$A$2:$C$45,2,FALSE)</f>
        <v>Significantly Rural</v>
      </c>
      <c r="H954" s="223" t="str">
        <f>VLOOKUP($B954,'FRS geographical categories'!$A$2:$C$45,3,FALSE)</f>
        <v>Non-metropolitan</v>
      </c>
      <c r="I954" s="224">
        <v>0</v>
      </c>
    </row>
    <row r="955" spans="1:9" ht="15.5" x14ac:dyDescent="0.35">
      <c r="A955" s="224" t="s">
        <v>54</v>
      </c>
      <c r="B955" s="224" t="s">
        <v>23</v>
      </c>
      <c r="C955" s="224" t="s">
        <v>89</v>
      </c>
      <c r="D955" s="224" t="s">
        <v>55</v>
      </c>
      <c r="E955" s="224" t="s">
        <v>256</v>
      </c>
      <c r="F955" s="224" t="s">
        <v>249</v>
      </c>
      <c r="G955" s="223" t="str">
        <f>VLOOKUP($B955,'FRS geographical categories'!$A$2:$C$45,2,FALSE)</f>
        <v>Significantly Rural</v>
      </c>
      <c r="H955" s="223" t="str">
        <f>VLOOKUP($B955,'FRS geographical categories'!$A$2:$C$45,3,FALSE)</f>
        <v>Non-metropolitan</v>
      </c>
      <c r="I955" s="224">
        <v>0</v>
      </c>
    </row>
    <row r="956" spans="1:9" ht="15.5" x14ac:dyDescent="0.35">
      <c r="A956" s="224" t="s">
        <v>54</v>
      </c>
      <c r="B956" s="224" t="s">
        <v>23</v>
      </c>
      <c r="C956" s="224" t="s">
        <v>89</v>
      </c>
      <c r="D956" s="224" t="s">
        <v>55</v>
      </c>
      <c r="E956" s="224" t="s">
        <v>256</v>
      </c>
      <c r="F956" s="224" t="s">
        <v>250</v>
      </c>
      <c r="G956" s="223" t="str">
        <f>VLOOKUP($B956,'FRS geographical categories'!$A$2:$C$45,2,FALSE)</f>
        <v>Significantly Rural</v>
      </c>
      <c r="H956" s="223" t="str">
        <f>VLOOKUP($B956,'FRS geographical categories'!$A$2:$C$45,3,FALSE)</f>
        <v>Non-metropolitan</v>
      </c>
      <c r="I956" s="224">
        <v>0</v>
      </c>
    </row>
    <row r="957" spans="1:9" ht="15.5" x14ac:dyDescent="0.35">
      <c r="A957" s="224" t="s">
        <v>54</v>
      </c>
      <c r="B957" s="224" t="s">
        <v>23</v>
      </c>
      <c r="C957" s="224" t="s">
        <v>89</v>
      </c>
      <c r="D957" s="224" t="s">
        <v>55</v>
      </c>
      <c r="E957" s="224" t="s">
        <v>256</v>
      </c>
      <c r="F957" s="224" t="s">
        <v>10</v>
      </c>
      <c r="G957" s="223" t="str">
        <f>VLOOKUP($B957,'FRS geographical categories'!$A$2:$C$45,2,FALSE)</f>
        <v>Significantly Rural</v>
      </c>
      <c r="H957" s="223" t="str">
        <f>VLOOKUP($B957,'FRS geographical categories'!$A$2:$C$45,3,FALSE)</f>
        <v>Non-metropolitan</v>
      </c>
      <c r="I957" s="224">
        <v>0</v>
      </c>
    </row>
    <row r="958" spans="1:9" ht="15.5" x14ac:dyDescent="0.35">
      <c r="A958" s="224" t="s">
        <v>54</v>
      </c>
      <c r="B958" s="224" t="s">
        <v>24</v>
      </c>
      <c r="C958" s="224" t="s">
        <v>86</v>
      </c>
      <c r="D958" s="224" t="s">
        <v>9</v>
      </c>
      <c r="E958" s="224" t="s">
        <v>256</v>
      </c>
      <c r="F958" s="224" t="s">
        <v>248</v>
      </c>
      <c r="G958" s="223" t="str">
        <f>VLOOKUP($B958,'FRS geographical categories'!$A$2:$C$45,2,FALSE)</f>
        <v>Significantly Rural</v>
      </c>
      <c r="H958" s="223" t="str">
        <f>VLOOKUP($B958,'FRS geographical categories'!$A$2:$C$45,3,FALSE)</f>
        <v>Non-metropolitan</v>
      </c>
      <c r="I958" s="224">
        <v>275</v>
      </c>
    </row>
    <row r="959" spans="1:9" ht="15.5" x14ac:dyDescent="0.35">
      <c r="A959" s="224" t="s">
        <v>54</v>
      </c>
      <c r="B959" s="224" t="s">
        <v>24</v>
      </c>
      <c r="C959" s="224" t="s">
        <v>86</v>
      </c>
      <c r="D959" s="224" t="s">
        <v>9</v>
      </c>
      <c r="E959" s="224" t="s">
        <v>256</v>
      </c>
      <c r="F959" s="224" t="s">
        <v>249</v>
      </c>
      <c r="G959" s="223" t="str">
        <f>VLOOKUP($B959,'FRS geographical categories'!$A$2:$C$45,2,FALSE)</f>
        <v>Significantly Rural</v>
      </c>
      <c r="H959" s="223" t="str">
        <f>VLOOKUP($B959,'FRS geographical categories'!$A$2:$C$45,3,FALSE)</f>
        <v>Non-metropolitan</v>
      </c>
      <c r="I959" s="224">
        <v>1379</v>
      </c>
    </row>
    <row r="960" spans="1:9" ht="15.5" x14ac:dyDescent="0.35">
      <c r="A960" s="224" t="s">
        <v>54</v>
      </c>
      <c r="B960" s="224" t="s">
        <v>24</v>
      </c>
      <c r="C960" s="224" t="s">
        <v>86</v>
      </c>
      <c r="D960" s="224" t="s">
        <v>9</v>
      </c>
      <c r="E960" s="224" t="s">
        <v>256</v>
      </c>
      <c r="F960" s="224" t="s">
        <v>250</v>
      </c>
      <c r="G960" s="223" t="str">
        <f>VLOOKUP($B960,'FRS geographical categories'!$A$2:$C$45,2,FALSE)</f>
        <v>Significantly Rural</v>
      </c>
      <c r="H960" s="223" t="str">
        <f>VLOOKUP($B960,'FRS geographical categories'!$A$2:$C$45,3,FALSE)</f>
        <v>Non-metropolitan</v>
      </c>
      <c r="I960" s="224">
        <v>1249</v>
      </c>
    </row>
    <row r="961" spans="1:9" ht="15.5" x14ac:dyDescent="0.35">
      <c r="A961" s="224" t="s">
        <v>54</v>
      </c>
      <c r="B961" s="224" t="s">
        <v>24</v>
      </c>
      <c r="C961" s="224" t="s">
        <v>86</v>
      </c>
      <c r="D961" s="224" t="s">
        <v>9</v>
      </c>
      <c r="E961" s="224" t="s">
        <v>256</v>
      </c>
      <c r="F961" s="224" t="s">
        <v>111</v>
      </c>
      <c r="G961" s="223" t="str">
        <f>VLOOKUP($B961,'FRS geographical categories'!$A$2:$C$45,2,FALSE)</f>
        <v>Significantly Rural</v>
      </c>
      <c r="H961" s="223" t="str">
        <f>VLOOKUP($B961,'FRS geographical categories'!$A$2:$C$45,3,FALSE)</f>
        <v>Non-metropolitan</v>
      </c>
      <c r="I961" s="224">
        <v>748</v>
      </c>
    </row>
    <row r="962" spans="1:9" ht="15.5" x14ac:dyDescent="0.35">
      <c r="A962" s="224" t="s">
        <v>54</v>
      </c>
      <c r="B962" s="224" t="s">
        <v>24</v>
      </c>
      <c r="C962" s="224" t="s">
        <v>86</v>
      </c>
      <c r="D962" s="224" t="s">
        <v>9</v>
      </c>
      <c r="E962" s="224" t="s">
        <v>256</v>
      </c>
      <c r="F962" s="224" t="s">
        <v>10</v>
      </c>
      <c r="G962" s="223" t="str">
        <f>VLOOKUP($B962,'FRS geographical categories'!$A$2:$C$45,2,FALSE)</f>
        <v>Significantly Rural</v>
      </c>
      <c r="H962" s="223" t="str">
        <f>VLOOKUP($B962,'FRS geographical categories'!$A$2:$C$45,3,FALSE)</f>
        <v>Non-metropolitan</v>
      </c>
      <c r="I962" s="224">
        <v>4967</v>
      </c>
    </row>
    <row r="963" spans="1:9" ht="15.5" x14ac:dyDescent="0.35">
      <c r="A963" s="224" t="s">
        <v>54</v>
      </c>
      <c r="B963" s="224" t="s">
        <v>24</v>
      </c>
      <c r="C963" s="224" t="s">
        <v>86</v>
      </c>
      <c r="D963" s="224" t="s">
        <v>55</v>
      </c>
      <c r="E963" s="224" t="s">
        <v>256</v>
      </c>
      <c r="F963" s="224" t="s">
        <v>248</v>
      </c>
      <c r="G963" s="223" t="str">
        <f>VLOOKUP($B963,'FRS geographical categories'!$A$2:$C$45,2,FALSE)</f>
        <v>Significantly Rural</v>
      </c>
      <c r="H963" s="223" t="str">
        <f>VLOOKUP($B963,'FRS geographical categories'!$A$2:$C$45,3,FALSE)</f>
        <v>Non-metropolitan</v>
      </c>
      <c r="I963" s="224">
        <v>3</v>
      </c>
    </row>
    <row r="964" spans="1:9" ht="15.5" x14ac:dyDescent="0.35">
      <c r="A964" s="224" t="s">
        <v>54</v>
      </c>
      <c r="B964" s="224" t="s">
        <v>24</v>
      </c>
      <c r="C964" s="224" t="s">
        <v>86</v>
      </c>
      <c r="D964" s="224" t="s">
        <v>55</v>
      </c>
      <c r="E964" s="224" t="s">
        <v>256</v>
      </c>
      <c r="F964" s="224" t="s">
        <v>249</v>
      </c>
      <c r="G964" s="223" t="str">
        <f>VLOOKUP($B964,'FRS geographical categories'!$A$2:$C$45,2,FALSE)</f>
        <v>Significantly Rural</v>
      </c>
      <c r="H964" s="223" t="str">
        <f>VLOOKUP($B964,'FRS geographical categories'!$A$2:$C$45,3,FALSE)</f>
        <v>Non-metropolitan</v>
      </c>
      <c r="I964" s="224">
        <v>6</v>
      </c>
    </row>
    <row r="965" spans="1:9" ht="15.5" x14ac:dyDescent="0.35">
      <c r="A965" s="224" t="s">
        <v>54</v>
      </c>
      <c r="B965" s="224" t="s">
        <v>24</v>
      </c>
      <c r="C965" s="224" t="s">
        <v>86</v>
      </c>
      <c r="D965" s="224" t="s">
        <v>55</v>
      </c>
      <c r="E965" s="224" t="s">
        <v>256</v>
      </c>
      <c r="F965" s="224" t="s">
        <v>250</v>
      </c>
      <c r="G965" s="223" t="str">
        <f>VLOOKUP($B965,'FRS geographical categories'!$A$2:$C$45,2,FALSE)</f>
        <v>Significantly Rural</v>
      </c>
      <c r="H965" s="223" t="str">
        <f>VLOOKUP($B965,'FRS geographical categories'!$A$2:$C$45,3,FALSE)</f>
        <v>Non-metropolitan</v>
      </c>
      <c r="I965" s="224">
        <v>42</v>
      </c>
    </row>
    <row r="966" spans="1:9" ht="15.5" x14ac:dyDescent="0.35">
      <c r="A966" s="224" t="s">
        <v>54</v>
      </c>
      <c r="B966" s="224" t="s">
        <v>24</v>
      </c>
      <c r="C966" s="224" t="s">
        <v>86</v>
      </c>
      <c r="D966" s="224" t="s">
        <v>55</v>
      </c>
      <c r="E966" s="224" t="s">
        <v>256</v>
      </c>
      <c r="F966" s="224" t="s">
        <v>111</v>
      </c>
      <c r="G966" s="223" t="str">
        <f>VLOOKUP($B966,'FRS geographical categories'!$A$2:$C$45,2,FALSE)</f>
        <v>Significantly Rural</v>
      </c>
      <c r="H966" s="223" t="str">
        <f>VLOOKUP($B966,'FRS geographical categories'!$A$2:$C$45,3,FALSE)</f>
        <v>Non-metropolitan</v>
      </c>
      <c r="I966" s="224">
        <v>39</v>
      </c>
    </row>
    <row r="967" spans="1:9" ht="15.5" x14ac:dyDescent="0.35">
      <c r="A967" s="224" t="s">
        <v>54</v>
      </c>
      <c r="B967" s="224" t="s">
        <v>24</v>
      </c>
      <c r="C967" s="224" t="s">
        <v>86</v>
      </c>
      <c r="D967" s="224" t="s">
        <v>55</v>
      </c>
      <c r="E967" s="224" t="s">
        <v>256</v>
      </c>
      <c r="F967" s="224" t="s">
        <v>10</v>
      </c>
      <c r="G967" s="223" t="str">
        <f>VLOOKUP($B967,'FRS geographical categories'!$A$2:$C$45,2,FALSE)</f>
        <v>Significantly Rural</v>
      </c>
      <c r="H967" s="223" t="str">
        <f>VLOOKUP($B967,'FRS geographical categories'!$A$2:$C$45,3,FALSE)</f>
        <v>Non-metropolitan</v>
      </c>
      <c r="I967" s="224">
        <v>142</v>
      </c>
    </row>
    <row r="968" spans="1:9" ht="15.5" x14ac:dyDescent="0.35">
      <c r="A968" s="224" t="s">
        <v>54</v>
      </c>
      <c r="B968" s="224" t="s">
        <v>24</v>
      </c>
      <c r="C968" s="224" t="s">
        <v>89</v>
      </c>
      <c r="D968" s="224" t="s">
        <v>9</v>
      </c>
      <c r="E968" s="224" t="s">
        <v>256</v>
      </c>
      <c r="F968" s="224" t="s">
        <v>248</v>
      </c>
      <c r="G968" s="223" t="str">
        <f>VLOOKUP($B968,'FRS geographical categories'!$A$2:$C$45,2,FALSE)</f>
        <v>Significantly Rural</v>
      </c>
      <c r="H968" s="223" t="str">
        <f>VLOOKUP($B968,'FRS geographical categories'!$A$2:$C$45,3,FALSE)</f>
        <v>Non-metropolitan</v>
      </c>
      <c r="I968" s="224">
        <v>0</v>
      </c>
    </row>
    <row r="969" spans="1:9" ht="15.5" x14ac:dyDescent="0.35">
      <c r="A969" s="224" t="s">
        <v>54</v>
      </c>
      <c r="B969" s="224" t="s">
        <v>24</v>
      </c>
      <c r="C969" s="224" t="s">
        <v>89</v>
      </c>
      <c r="D969" s="224" t="s">
        <v>9</v>
      </c>
      <c r="E969" s="224" t="s">
        <v>256</v>
      </c>
      <c r="F969" s="224" t="s">
        <v>249</v>
      </c>
      <c r="G969" s="223" t="str">
        <f>VLOOKUP($B969,'FRS geographical categories'!$A$2:$C$45,2,FALSE)</f>
        <v>Significantly Rural</v>
      </c>
      <c r="H969" s="223" t="str">
        <f>VLOOKUP($B969,'FRS geographical categories'!$A$2:$C$45,3,FALSE)</f>
        <v>Non-metropolitan</v>
      </c>
      <c r="I969" s="224">
        <v>0</v>
      </c>
    </row>
    <row r="970" spans="1:9" ht="15.5" x14ac:dyDescent="0.35">
      <c r="A970" s="224" t="s">
        <v>54</v>
      </c>
      <c r="B970" s="224" t="s">
        <v>24</v>
      </c>
      <c r="C970" s="224" t="s">
        <v>89</v>
      </c>
      <c r="D970" s="224" t="s">
        <v>9</v>
      </c>
      <c r="E970" s="224" t="s">
        <v>256</v>
      </c>
      <c r="F970" s="224" t="s">
        <v>250</v>
      </c>
      <c r="G970" s="223" t="str">
        <f>VLOOKUP($B970,'FRS geographical categories'!$A$2:$C$45,2,FALSE)</f>
        <v>Significantly Rural</v>
      </c>
      <c r="H970" s="223" t="str">
        <f>VLOOKUP($B970,'FRS geographical categories'!$A$2:$C$45,3,FALSE)</f>
        <v>Non-metropolitan</v>
      </c>
      <c r="I970" s="224">
        <v>0</v>
      </c>
    </row>
    <row r="971" spans="1:9" ht="15.5" x14ac:dyDescent="0.35">
      <c r="A971" s="224" t="s">
        <v>54</v>
      </c>
      <c r="B971" s="224" t="s">
        <v>24</v>
      </c>
      <c r="C971" s="224" t="s">
        <v>89</v>
      </c>
      <c r="D971" s="224" t="s">
        <v>9</v>
      </c>
      <c r="E971" s="224" t="s">
        <v>256</v>
      </c>
      <c r="F971" s="224" t="s">
        <v>10</v>
      </c>
      <c r="G971" s="223" t="str">
        <f>VLOOKUP($B971,'FRS geographical categories'!$A$2:$C$45,2,FALSE)</f>
        <v>Significantly Rural</v>
      </c>
      <c r="H971" s="223" t="str">
        <f>VLOOKUP($B971,'FRS geographical categories'!$A$2:$C$45,3,FALSE)</f>
        <v>Non-metropolitan</v>
      </c>
      <c r="I971" s="224">
        <v>0</v>
      </c>
    </row>
    <row r="972" spans="1:9" ht="15.5" x14ac:dyDescent="0.35">
      <c r="A972" s="224" t="s">
        <v>54</v>
      </c>
      <c r="B972" s="224" t="s">
        <v>24</v>
      </c>
      <c r="C972" s="224" t="s">
        <v>89</v>
      </c>
      <c r="D972" s="224" t="s">
        <v>55</v>
      </c>
      <c r="E972" s="224" t="s">
        <v>256</v>
      </c>
      <c r="F972" s="224" t="s">
        <v>248</v>
      </c>
      <c r="G972" s="223" t="str">
        <f>VLOOKUP($B972,'FRS geographical categories'!$A$2:$C$45,2,FALSE)</f>
        <v>Significantly Rural</v>
      </c>
      <c r="H972" s="223" t="str">
        <f>VLOOKUP($B972,'FRS geographical categories'!$A$2:$C$45,3,FALSE)</f>
        <v>Non-metropolitan</v>
      </c>
      <c r="I972" s="224">
        <v>0</v>
      </c>
    </row>
    <row r="973" spans="1:9" ht="15.5" x14ac:dyDescent="0.35">
      <c r="A973" s="224" t="s">
        <v>54</v>
      </c>
      <c r="B973" s="224" t="s">
        <v>24</v>
      </c>
      <c r="C973" s="224" t="s">
        <v>89</v>
      </c>
      <c r="D973" s="224" t="s">
        <v>55</v>
      </c>
      <c r="E973" s="224" t="s">
        <v>256</v>
      </c>
      <c r="F973" s="224" t="s">
        <v>249</v>
      </c>
      <c r="G973" s="223" t="str">
        <f>VLOOKUP($B973,'FRS geographical categories'!$A$2:$C$45,2,FALSE)</f>
        <v>Significantly Rural</v>
      </c>
      <c r="H973" s="223" t="str">
        <f>VLOOKUP($B973,'FRS geographical categories'!$A$2:$C$45,3,FALSE)</f>
        <v>Non-metropolitan</v>
      </c>
      <c r="I973" s="224">
        <v>0</v>
      </c>
    </row>
    <row r="974" spans="1:9" ht="15.5" x14ac:dyDescent="0.35">
      <c r="A974" s="224" t="s">
        <v>54</v>
      </c>
      <c r="B974" s="224" t="s">
        <v>24</v>
      </c>
      <c r="C974" s="224" t="s">
        <v>89</v>
      </c>
      <c r="D974" s="224" t="s">
        <v>55</v>
      </c>
      <c r="E974" s="224" t="s">
        <v>256</v>
      </c>
      <c r="F974" s="224" t="s">
        <v>250</v>
      </c>
      <c r="G974" s="223" t="str">
        <f>VLOOKUP($B974,'FRS geographical categories'!$A$2:$C$45,2,FALSE)</f>
        <v>Significantly Rural</v>
      </c>
      <c r="H974" s="223" t="str">
        <f>VLOOKUP($B974,'FRS geographical categories'!$A$2:$C$45,3,FALSE)</f>
        <v>Non-metropolitan</v>
      </c>
      <c r="I974" s="224">
        <v>0</v>
      </c>
    </row>
    <row r="975" spans="1:9" ht="15.5" x14ac:dyDescent="0.35">
      <c r="A975" s="224" t="s">
        <v>54</v>
      </c>
      <c r="B975" s="224" t="s">
        <v>24</v>
      </c>
      <c r="C975" s="224" t="s">
        <v>89</v>
      </c>
      <c r="D975" s="224" t="s">
        <v>55</v>
      </c>
      <c r="E975" s="224" t="s">
        <v>256</v>
      </c>
      <c r="F975" s="224" t="s">
        <v>10</v>
      </c>
      <c r="G975" s="223" t="str">
        <f>VLOOKUP($B975,'FRS geographical categories'!$A$2:$C$45,2,FALSE)</f>
        <v>Significantly Rural</v>
      </c>
      <c r="H975" s="223" t="str">
        <f>VLOOKUP($B975,'FRS geographical categories'!$A$2:$C$45,3,FALSE)</f>
        <v>Non-metropolitan</v>
      </c>
      <c r="I975" s="224">
        <v>0</v>
      </c>
    </row>
    <row r="976" spans="1:9" ht="15.5" x14ac:dyDescent="0.35">
      <c r="A976" s="224" t="s">
        <v>54</v>
      </c>
      <c r="B976" s="224" t="s">
        <v>25</v>
      </c>
      <c r="C976" s="224" t="s">
        <v>86</v>
      </c>
      <c r="D976" s="224" t="s">
        <v>9</v>
      </c>
      <c r="E976" s="224" t="s">
        <v>256</v>
      </c>
      <c r="F976" s="224" t="s">
        <v>248</v>
      </c>
      <c r="G976" s="223" t="str">
        <f>VLOOKUP($B976,'FRS geographical categories'!$A$2:$C$45,2,FALSE)</f>
        <v>Significantly Rural</v>
      </c>
      <c r="H976" s="223" t="str">
        <f>VLOOKUP($B976,'FRS geographical categories'!$A$2:$C$45,3,FALSE)</f>
        <v>Non-metropolitan</v>
      </c>
      <c r="I976" s="224">
        <v>292</v>
      </c>
    </row>
    <row r="977" spans="1:9" ht="15.5" x14ac:dyDescent="0.35">
      <c r="A977" s="224" t="s">
        <v>54</v>
      </c>
      <c r="B977" s="224" t="s">
        <v>25</v>
      </c>
      <c r="C977" s="224" t="s">
        <v>86</v>
      </c>
      <c r="D977" s="224" t="s">
        <v>9</v>
      </c>
      <c r="E977" s="224" t="s">
        <v>256</v>
      </c>
      <c r="F977" s="224" t="s">
        <v>249</v>
      </c>
      <c r="G977" s="223" t="str">
        <f>VLOOKUP($B977,'FRS geographical categories'!$A$2:$C$45,2,FALSE)</f>
        <v>Significantly Rural</v>
      </c>
      <c r="H977" s="223" t="str">
        <f>VLOOKUP($B977,'FRS geographical categories'!$A$2:$C$45,3,FALSE)</f>
        <v>Non-metropolitan</v>
      </c>
      <c r="I977" s="224">
        <v>1179</v>
      </c>
    </row>
    <row r="978" spans="1:9" ht="15.5" x14ac:dyDescent="0.35">
      <c r="A978" s="224" t="s">
        <v>54</v>
      </c>
      <c r="B978" s="224" t="s">
        <v>25</v>
      </c>
      <c r="C978" s="224" t="s">
        <v>86</v>
      </c>
      <c r="D978" s="224" t="s">
        <v>9</v>
      </c>
      <c r="E978" s="224" t="s">
        <v>256</v>
      </c>
      <c r="F978" s="224" t="s">
        <v>250</v>
      </c>
      <c r="G978" s="223" t="str">
        <f>VLOOKUP($B978,'FRS geographical categories'!$A$2:$C$45,2,FALSE)</f>
        <v>Significantly Rural</v>
      </c>
      <c r="H978" s="223" t="str">
        <f>VLOOKUP($B978,'FRS geographical categories'!$A$2:$C$45,3,FALSE)</f>
        <v>Non-metropolitan</v>
      </c>
      <c r="I978" s="224">
        <v>334</v>
      </c>
    </row>
    <row r="979" spans="1:9" ht="15.5" x14ac:dyDescent="0.35">
      <c r="A979" s="224" t="s">
        <v>54</v>
      </c>
      <c r="B979" s="224" t="s">
        <v>25</v>
      </c>
      <c r="C979" s="224" t="s">
        <v>86</v>
      </c>
      <c r="D979" s="224" t="s">
        <v>9</v>
      </c>
      <c r="E979" s="224" t="s">
        <v>256</v>
      </c>
      <c r="F979" s="224" t="s">
        <v>111</v>
      </c>
      <c r="G979" s="223" t="str">
        <f>VLOOKUP($B979,'FRS geographical categories'!$A$2:$C$45,2,FALSE)</f>
        <v>Significantly Rural</v>
      </c>
      <c r="H979" s="223" t="str">
        <f>VLOOKUP($B979,'FRS geographical categories'!$A$2:$C$45,3,FALSE)</f>
        <v>Non-metropolitan</v>
      </c>
      <c r="I979" s="224">
        <v>1359</v>
      </c>
    </row>
    <row r="980" spans="1:9" ht="15.5" x14ac:dyDescent="0.35">
      <c r="A980" s="224" t="s">
        <v>54</v>
      </c>
      <c r="B980" s="224" t="s">
        <v>25</v>
      </c>
      <c r="C980" s="224" t="s">
        <v>86</v>
      </c>
      <c r="D980" s="224" t="s">
        <v>9</v>
      </c>
      <c r="E980" s="224" t="s">
        <v>256</v>
      </c>
      <c r="F980" s="224" t="s">
        <v>10</v>
      </c>
      <c r="G980" s="223" t="str">
        <f>VLOOKUP($B980,'FRS geographical categories'!$A$2:$C$45,2,FALSE)</f>
        <v>Significantly Rural</v>
      </c>
      <c r="H980" s="223" t="str">
        <f>VLOOKUP($B980,'FRS geographical categories'!$A$2:$C$45,3,FALSE)</f>
        <v>Non-metropolitan</v>
      </c>
      <c r="I980" s="224">
        <v>2144</v>
      </c>
    </row>
    <row r="981" spans="1:9" ht="15.5" x14ac:dyDescent="0.35">
      <c r="A981" s="224" t="s">
        <v>54</v>
      </c>
      <c r="B981" s="224" t="s">
        <v>25</v>
      </c>
      <c r="C981" s="224" t="s">
        <v>86</v>
      </c>
      <c r="D981" s="224" t="s">
        <v>55</v>
      </c>
      <c r="E981" s="224" t="s">
        <v>256</v>
      </c>
      <c r="F981" s="224" t="s">
        <v>248</v>
      </c>
      <c r="G981" s="223" t="str">
        <f>VLOOKUP($B981,'FRS geographical categories'!$A$2:$C$45,2,FALSE)</f>
        <v>Significantly Rural</v>
      </c>
      <c r="H981" s="223" t="str">
        <f>VLOOKUP($B981,'FRS geographical categories'!$A$2:$C$45,3,FALSE)</f>
        <v>Non-metropolitan</v>
      </c>
      <c r="I981" s="224">
        <v>0</v>
      </c>
    </row>
    <row r="982" spans="1:9" ht="15.5" x14ac:dyDescent="0.35">
      <c r="A982" s="224" t="s">
        <v>54</v>
      </c>
      <c r="B982" s="224" t="s">
        <v>25</v>
      </c>
      <c r="C982" s="224" t="s">
        <v>86</v>
      </c>
      <c r="D982" s="224" t="s">
        <v>55</v>
      </c>
      <c r="E982" s="224" t="s">
        <v>256</v>
      </c>
      <c r="F982" s="224" t="s">
        <v>249</v>
      </c>
      <c r="G982" s="223" t="str">
        <f>VLOOKUP($B982,'FRS geographical categories'!$A$2:$C$45,2,FALSE)</f>
        <v>Significantly Rural</v>
      </c>
      <c r="H982" s="223" t="str">
        <f>VLOOKUP($B982,'FRS geographical categories'!$A$2:$C$45,3,FALSE)</f>
        <v>Non-metropolitan</v>
      </c>
      <c r="I982" s="224">
        <v>0</v>
      </c>
    </row>
    <row r="983" spans="1:9" ht="15.5" x14ac:dyDescent="0.35">
      <c r="A983" s="224" t="s">
        <v>54</v>
      </c>
      <c r="B983" s="224" t="s">
        <v>25</v>
      </c>
      <c r="C983" s="224" t="s">
        <v>86</v>
      </c>
      <c r="D983" s="224" t="s">
        <v>55</v>
      </c>
      <c r="E983" s="224" t="s">
        <v>256</v>
      </c>
      <c r="F983" s="224" t="s">
        <v>250</v>
      </c>
      <c r="G983" s="223" t="str">
        <f>VLOOKUP($B983,'FRS geographical categories'!$A$2:$C$45,2,FALSE)</f>
        <v>Significantly Rural</v>
      </c>
      <c r="H983" s="223" t="str">
        <f>VLOOKUP($B983,'FRS geographical categories'!$A$2:$C$45,3,FALSE)</f>
        <v>Non-metropolitan</v>
      </c>
      <c r="I983" s="224">
        <v>0</v>
      </c>
    </row>
    <row r="984" spans="1:9" ht="15.5" x14ac:dyDescent="0.35">
      <c r="A984" s="224" t="s">
        <v>54</v>
      </c>
      <c r="B984" s="224" t="s">
        <v>25</v>
      </c>
      <c r="C984" s="224" t="s">
        <v>86</v>
      </c>
      <c r="D984" s="224" t="s">
        <v>55</v>
      </c>
      <c r="E984" s="224" t="s">
        <v>256</v>
      </c>
      <c r="F984" s="224" t="s">
        <v>111</v>
      </c>
      <c r="G984" s="223" t="str">
        <f>VLOOKUP($B984,'FRS geographical categories'!$A$2:$C$45,2,FALSE)</f>
        <v>Significantly Rural</v>
      </c>
      <c r="H984" s="223" t="str">
        <f>VLOOKUP($B984,'FRS geographical categories'!$A$2:$C$45,3,FALSE)</f>
        <v>Non-metropolitan</v>
      </c>
      <c r="I984" s="224">
        <v>0</v>
      </c>
    </row>
    <row r="985" spans="1:9" ht="15.5" x14ac:dyDescent="0.35">
      <c r="A985" s="224" t="s">
        <v>54</v>
      </c>
      <c r="B985" s="224" t="s">
        <v>25</v>
      </c>
      <c r="C985" s="224" t="s">
        <v>86</v>
      </c>
      <c r="D985" s="224" t="s">
        <v>55</v>
      </c>
      <c r="E985" s="224" t="s">
        <v>256</v>
      </c>
      <c r="F985" s="224" t="s">
        <v>10</v>
      </c>
      <c r="G985" s="223" t="str">
        <f>VLOOKUP($B985,'FRS geographical categories'!$A$2:$C$45,2,FALSE)</f>
        <v>Significantly Rural</v>
      </c>
      <c r="H985" s="223" t="str">
        <f>VLOOKUP($B985,'FRS geographical categories'!$A$2:$C$45,3,FALSE)</f>
        <v>Non-metropolitan</v>
      </c>
      <c r="I985" s="224">
        <v>2144</v>
      </c>
    </row>
    <row r="986" spans="1:9" ht="15.5" x14ac:dyDescent="0.35">
      <c r="A986" s="224" t="s">
        <v>54</v>
      </c>
      <c r="B986" s="224" t="s">
        <v>25</v>
      </c>
      <c r="C986" s="224" t="s">
        <v>89</v>
      </c>
      <c r="D986" s="224" t="s">
        <v>9</v>
      </c>
      <c r="E986" s="224" t="s">
        <v>256</v>
      </c>
      <c r="F986" s="224" t="s">
        <v>248</v>
      </c>
      <c r="G986" s="223" t="str">
        <f>VLOOKUP($B986,'FRS geographical categories'!$A$2:$C$45,2,FALSE)</f>
        <v>Significantly Rural</v>
      </c>
      <c r="H986" s="223" t="str">
        <f>VLOOKUP($B986,'FRS geographical categories'!$A$2:$C$45,3,FALSE)</f>
        <v>Non-metropolitan</v>
      </c>
      <c r="I986" s="224">
        <v>0</v>
      </c>
    </row>
    <row r="987" spans="1:9" ht="15.5" x14ac:dyDescent="0.35">
      <c r="A987" s="224" t="s">
        <v>54</v>
      </c>
      <c r="B987" s="224" t="s">
        <v>25</v>
      </c>
      <c r="C987" s="224" t="s">
        <v>89</v>
      </c>
      <c r="D987" s="224" t="s">
        <v>9</v>
      </c>
      <c r="E987" s="224" t="s">
        <v>256</v>
      </c>
      <c r="F987" s="224" t="s">
        <v>249</v>
      </c>
      <c r="G987" s="223" t="str">
        <f>VLOOKUP($B987,'FRS geographical categories'!$A$2:$C$45,2,FALSE)</f>
        <v>Significantly Rural</v>
      </c>
      <c r="H987" s="223" t="str">
        <f>VLOOKUP($B987,'FRS geographical categories'!$A$2:$C$45,3,FALSE)</f>
        <v>Non-metropolitan</v>
      </c>
      <c r="I987" s="224">
        <v>0</v>
      </c>
    </row>
    <row r="988" spans="1:9" ht="15.5" x14ac:dyDescent="0.35">
      <c r="A988" s="224" t="s">
        <v>54</v>
      </c>
      <c r="B988" s="224" t="s">
        <v>25</v>
      </c>
      <c r="C988" s="224" t="s">
        <v>89</v>
      </c>
      <c r="D988" s="224" t="s">
        <v>9</v>
      </c>
      <c r="E988" s="224" t="s">
        <v>256</v>
      </c>
      <c r="F988" s="224" t="s">
        <v>250</v>
      </c>
      <c r="G988" s="223" t="str">
        <f>VLOOKUP($B988,'FRS geographical categories'!$A$2:$C$45,2,FALSE)</f>
        <v>Significantly Rural</v>
      </c>
      <c r="H988" s="223" t="str">
        <f>VLOOKUP($B988,'FRS geographical categories'!$A$2:$C$45,3,FALSE)</f>
        <v>Non-metropolitan</v>
      </c>
      <c r="I988" s="224">
        <v>0</v>
      </c>
    </row>
    <row r="989" spans="1:9" ht="15.5" x14ac:dyDescent="0.35">
      <c r="A989" s="224" t="s">
        <v>54</v>
      </c>
      <c r="B989" s="224" t="s">
        <v>25</v>
      </c>
      <c r="C989" s="224" t="s">
        <v>89</v>
      </c>
      <c r="D989" s="224" t="s">
        <v>9</v>
      </c>
      <c r="E989" s="224" t="s">
        <v>256</v>
      </c>
      <c r="F989" s="224" t="s">
        <v>10</v>
      </c>
      <c r="G989" s="223" t="str">
        <f>VLOOKUP($B989,'FRS geographical categories'!$A$2:$C$45,2,FALSE)</f>
        <v>Significantly Rural</v>
      </c>
      <c r="H989" s="223" t="str">
        <f>VLOOKUP($B989,'FRS geographical categories'!$A$2:$C$45,3,FALSE)</f>
        <v>Non-metropolitan</v>
      </c>
      <c r="I989" s="224">
        <v>0</v>
      </c>
    </row>
    <row r="990" spans="1:9" ht="15.5" x14ac:dyDescent="0.35">
      <c r="A990" s="224" t="s">
        <v>54</v>
      </c>
      <c r="B990" s="224" t="s">
        <v>25</v>
      </c>
      <c r="C990" s="224" t="s">
        <v>89</v>
      </c>
      <c r="D990" s="224" t="s">
        <v>55</v>
      </c>
      <c r="E990" s="224" t="s">
        <v>256</v>
      </c>
      <c r="F990" s="224" t="s">
        <v>248</v>
      </c>
      <c r="G990" s="223" t="str">
        <f>VLOOKUP($B990,'FRS geographical categories'!$A$2:$C$45,2,FALSE)</f>
        <v>Significantly Rural</v>
      </c>
      <c r="H990" s="223" t="str">
        <f>VLOOKUP($B990,'FRS geographical categories'!$A$2:$C$45,3,FALSE)</f>
        <v>Non-metropolitan</v>
      </c>
      <c r="I990" s="224">
        <v>0</v>
      </c>
    </row>
    <row r="991" spans="1:9" ht="15.5" x14ac:dyDescent="0.35">
      <c r="A991" s="224" t="s">
        <v>54</v>
      </c>
      <c r="B991" s="224" t="s">
        <v>25</v>
      </c>
      <c r="C991" s="224" t="s">
        <v>89</v>
      </c>
      <c r="D991" s="224" t="s">
        <v>55</v>
      </c>
      <c r="E991" s="224" t="s">
        <v>256</v>
      </c>
      <c r="F991" s="224" t="s">
        <v>249</v>
      </c>
      <c r="G991" s="223" t="str">
        <f>VLOOKUP($B991,'FRS geographical categories'!$A$2:$C$45,2,FALSE)</f>
        <v>Significantly Rural</v>
      </c>
      <c r="H991" s="223" t="str">
        <f>VLOOKUP($B991,'FRS geographical categories'!$A$2:$C$45,3,FALSE)</f>
        <v>Non-metropolitan</v>
      </c>
      <c r="I991" s="224">
        <v>0</v>
      </c>
    </row>
    <row r="992" spans="1:9" ht="15.5" x14ac:dyDescent="0.35">
      <c r="A992" s="224" t="s">
        <v>54</v>
      </c>
      <c r="B992" s="224" t="s">
        <v>25</v>
      </c>
      <c r="C992" s="224" t="s">
        <v>89</v>
      </c>
      <c r="D992" s="224" t="s">
        <v>55</v>
      </c>
      <c r="E992" s="224" t="s">
        <v>256</v>
      </c>
      <c r="F992" s="224" t="s">
        <v>250</v>
      </c>
      <c r="G992" s="223" t="str">
        <f>VLOOKUP($B992,'FRS geographical categories'!$A$2:$C$45,2,FALSE)</f>
        <v>Significantly Rural</v>
      </c>
      <c r="H992" s="223" t="str">
        <f>VLOOKUP($B992,'FRS geographical categories'!$A$2:$C$45,3,FALSE)</f>
        <v>Non-metropolitan</v>
      </c>
      <c r="I992" s="224">
        <v>0</v>
      </c>
    </row>
    <row r="993" spans="1:9" ht="15.5" x14ac:dyDescent="0.35">
      <c r="A993" s="224" t="s">
        <v>54</v>
      </c>
      <c r="B993" s="224" t="s">
        <v>25</v>
      </c>
      <c r="C993" s="224" t="s">
        <v>89</v>
      </c>
      <c r="D993" s="224" t="s">
        <v>55</v>
      </c>
      <c r="E993" s="224" t="s">
        <v>256</v>
      </c>
      <c r="F993" s="224" t="s">
        <v>10</v>
      </c>
      <c r="G993" s="223" t="str">
        <f>VLOOKUP($B993,'FRS geographical categories'!$A$2:$C$45,2,FALSE)</f>
        <v>Significantly Rural</v>
      </c>
      <c r="H993" s="223" t="str">
        <f>VLOOKUP($B993,'FRS geographical categories'!$A$2:$C$45,3,FALSE)</f>
        <v>Non-metropolitan</v>
      </c>
      <c r="I993" s="224">
        <v>0</v>
      </c>
    </row>
    <row r="994" spans="1:9" ht="15.5" x14ac:dyDescent="0.35">
      <c r="A994" s="224" t="s">
        <v>54</v>
      </c>
      <c r="B994" s="224" t="s">
        <v>26</v>
      </c>
      <c r="C994" s="224" t="s">
        <v>86</v>
      </c>
      <c r="D994" s="224" t="s">
        <v>9</v>
      </c>
      <c r="E994" s="224" t="s">
        <v>256</v>
      </c>
      <c r="F994" s="224" t="s">
        <v>248</v>
      </c>
      <c r="G994" s="223" t="str">
        <f>VLOOKUP($B994,'FRS geographical categories'!$A$2:$C$45,2,FALSE)</f>
        <v>Predominantly Urban</v>
      </c>
      <c r="H994" s="223" t="str">
        <f>VLOOKUP($B994,'FRS geographical categories'!$A$2:$C$45,3,FALSE)</f>
        <v>Metropolitan</v>
      </c>
      <c r="I994" s="224">
        <v>2028</v>
      </c>
    </row>
    <row r="995" spans="1:9" ht="15.5" x14ac:dyDescent="0.35">
      <c r="A995" s="224" t="s">
        <v>54</v>
      </c>
      <c r="B995" s="224" t="s">
        <v>26</v>
      </c>
      <c r="C995" s="224" t="s">
        <v>86</v>
      </c>
      <c r="D995" s="224" t="s">
        <v>9</v>
      </c>
      <c r="E995" s="224" t="s">
        <v>256</v>
      </c>
      <c r="F995" s="224" t="s">
        <v>249</v>
      </c>
      <c r="G995" s="223" t="str">
        <f>VLOOKUP($B995,'FRS geographical categories'!$A$2:$C$45,2,FALSE)</f>
        <v>Predominantly Urban</v>
      </c>
      <c r="H995" s="223" t="str">
        <f>VLOOKUP($B995,'FRS geographical categories'!$A$2:$C$45,3,FALSE)</f>
        <v>Metropolitan</v>
      </c>
      <c r="I995" s="224">
        <v>6259</v>
      </c>
    </row>
    <row r="996" spans="1:9" ht="15.5" x14ac:dyDescent="0.35">
      <c r="A996" s="224" t="s">
        <v>54</v>
      </c>
      <c r="B996" s="224" t="s">
        <v>26</v>
      </c>
      <c r="C996" s="224" t="s">
        <v>86</v>
      </c>
      <c r="D996" s="224" t="s">
        <v>9</v>
      </c>
      <c r="E996" s="224" t="s">
        <v>256</v>
      </c>
      <c r="F996" s="224" t="s">
        <v>250</v>
      </c>
      <c r="G996" s="223" t="str">
        <f>VLOOKUP($B996,'FRS geographical categories'!$A$2:$C$45,2,FALSE)</f>
        <v>Predominantly Urban</v>
      </c>
      <c r="H996" s="223" t="str">
        <f>VLOOKUP($B996,'FRS geographical categories'!$A$2:$C$45,3,FALSE)</f>
        <v>Metropolitan</v>
      </c>
      <c r="I996" s="224">
        <v>3318</v>
      </c>
    </row>
    <row r="997" spans="1:9" ht="15.5" x14ac:dyDescent="0.35">
      <c r="A997" s="224" t="s">
        <v>54</v>
      </c>
      <c r="B997" s="224" t="s">
        <v>26</v>
      </c>
      <c r="C997" s="224" t="s">
        <v>86</v>
      </c>
      <c r="D997" s="224" t="s">
        <v>9</v>
      </c>
      <c r="E997" s="224" t="s">
        <v>256</v>
      </c>
      <c r="F997" s="224" t="s">
        <v>111</v>
      </c>
      <c r="G997" s="223" t="str">
        <f>VLOOKUP($B997,'FRS geographical categories'!$A$2:$C$45,2,FALSE)</f>
        <v>Predominantly Urban</v>
      </c>
      <c r="H997" s="223" t="str">
        <f>VLOOKUP($B997,'FRS geographical categories'!$A$2:$C$45,3,FALSE)</f>
        <v>Metropolitan</v>
      </c>
      <c r="I997" s="224">
        <v>14825</v>
      </c>
    </row>
    <row r="998" spans="1:9" ht="15.5" x14ac:dyDescent="0.35">
      <c r="A998" s="224" t="s">
        <v>54</v>
      </c>
      <c r="B998" s="224" t="s">
        <v>26</v>
      </c>
      <c r="C998" s="224" t="s">
        <v>86</v>
      </c>
      <c r="D998" s="224" t="s">
        <v>9</v>
      </c>
      <c r="E998" s="224" t="s">
        <v>256</v>
      </c>
      <c r="F998" s="224" t="s">
        <v>10</v>
      </c>
      <c r="G998" s="223" t="str">
        <f>VLOOKUP($B998,'FRS geographical categories'!$A$2:$C$45,2,FALSE)</f>
        <v>Predominantly Urban</v>
      </c>
      <c r="H998" s="223" t="str">
        <f>VLOOKUP($B998,'FRS geographical categories'!$A$2:$C$45,3,FALSE)</f>
        <v>Metropolitan</v>
      </c>
      <c r="I998" s="224">
        <v>17339</v>
      </c>
    </row>
    <row r="999" spans="1:9" ht="15.5" x14ac:dyDescent="0.35">
      <c r="A999" s="224" t="s">
        <v>54</v>
      </c>
      <c r="B999" s="224" t="s">
        <v>26</v>
      </c>
      <c r="C999" s="224" t="s">
        <v>86</v>
      </c>
      <c r="D999" s="224" t="s">
        <v>55</v>
      </c>
      <c r="E999" s="224" t="s">
        <v>256</v>
      </c>
      <c r="F999" s="224" t="s">
        <v>248</v>
      </c>
      <c r="G999" s="223" t="str">
        <f>VLOOKUP($B999,'FRS geographical categories'!$A$2:$C$45,2,FALSE)</f>
        <v>Predominantly Urban</v>
      </c>
      <c r="H999" s="223" t="str">
        <f>VLOOKUP($B999,'FRS geographical categories'!$A$2:$C$45,3,FALSE)</f>
        <v>Metropolitan</v>
      </c>
      <c r="I999" s="224">
        <v>0</v>
      </c>
    </row>
    <row r="1000" spans="1:9" ht="15.5" x14ac:dyDescent="0.35">
      <c r="A1000" s="224" t="s">
        <v>54</v>
      </c>
      <c r="B1000" s="224" t="s">
        <v>26</v>
      </c>
      <c r="C1000" s="224" t="s">
        <v>86</v>
      </c>
      <c r="D1000" s="224" t="s">
        <v>55</v>
      </c>
      <c r="E1000" s="224" t="s">
        <v>256</v>
      </c>
      <c r="F1000" s="224" t="s">
        <v>249</v>
      </c>
      <c r="G1000" s="223" t="str">
        <f>VLOOKUP($B1000,'FRS geographical categories'!$A$2:$C$45,2,FALSE)</f>
        <v>Predominantly Urban</v>
      </c>
      <c r="H1000" s="223" t="str">
        <f>VLOOKUP($B1000,'FRS geographical categories'!$A$2:$C$45,3,FALSE)</f>
        <v>Metropolitan</v>
      </c>
      <c r="I1000" s="224">
        <v>0</v>
      </c>
    </row>
    <row r="1001" spans="1:9" ht="15.5" x14ac:dyDescent="0.35">
      <c r="A1001" s="224" t="s">
        <v>54</v>
      </c>
      <c r="B1001" s="224" t="s">
        <v>26</v>
      </c>
      <c r="C1001" s="224" t="s">
        <v>86</v>
      </c>
      <c r="D1001" s="224" t="s">
        <v>55</v>
      </c>
      <c r="E1001" s="224" t="s">
        <v>256</v>
      </c>
      <c r="F1001" s="224" t="s">
        <v>250</v>
      </c>
      <c r="G1001" s="223" t="str">
        <f>VLOOKUP($B1001,'FRS geographical categories'!$A$2:$C$45,2,FALSE)</f>
        <v>Predominantly Urban</v>
      </c>
      <c r="H1001" s="223" t="str">
        <f>VLOOKUP($B1001,'FRS geographical categories'!$A$2:$C$45,3,FALSE)</f>
        <v>Metropolitan</v>
      </c>
      <c r="I1001" s="224">
        <v>0</v>
      </c>
    </row>
    <row r="1002" spans="1:9" ht="15.5" x14ac:dyDescent="0.35">
      <c r="A1002" s="224" t="s">
        <v>54</v>
      </c>
      <c r="B1002" s="224" t="s">
        <v>26</v>
      </c>
      <c r="C1002" s="224" t="s">
        <v>86</v>
      </c>
      <c r="D1002" s="224" t="s">
        <v>55</v>
      </c>
      <c r="E1002" s="224" t="s">
        <v>256</v>
      </c>
      <c r="F1002" s="224" t="s">
        <v>111</v>
      </c>
      <c r="G1002" s="223" t="str">
        <f>VLOOKUP($B1002,'FRS geographical categories'!$A$2:$C$45,2,FALSE)</f>
        <v>Predominantly Urban</v>
      </c>
      <c r="H1002" s="223" t="str">
        <f>VLOOKUP($B1002,'FRS geographical categories'!$A$2:$C$45,3,FALSE)</f>
        <v>Metropolitan</v>
      </c>
      <c r="I1002" s="224">
        <v>0</v>
      </c>
    </row>
    <row r="1003" spans="1:9" ht="15.5" x14ac:dyDescent="0.35">
      <c r="A1003" s="224" t="s">
        <v>54</v>
      </c>
      <c r="B1003" s="224" t="s">
        <v>26</v>
      </c>
      <c r="C1003" s="224" t="s">
        <v>86</v>
      </c>
      <c r="D1003" s="224" t="s">
        <v>55</v>
      </c>
      <c r="E1003" s="224" t="s">
        <v>256</v>
      </c>
      <c r="F1003" s="224" t="s">
        <v>10</v>
      </c>
      <c r="G1003" s="223" t="str">
        <f>VLOOKUP($B1003,'FRS geographical categories'!$A$2:$C$45,2,FALSE)</f>
        <v>Predominantly Urban</v>
      </c>
      <c r="H1003" s="223" t="str">
        <f>VLOOKUP($B1003,'FRS geographical categories'!$A$2:$C$45,3,FALSE)</f>
        <v>Metropolitan</v>
      </c>
      <c r="I1003" s="224">
        <v>6000</v>
      </c>
    </row>
    <row r="1004" spans="1:9" ht="15.5" x14ac:dyDescent="0.35">
      <c r="A1004" s="224" t="s">
        <v>54</v>
      </c>
      <c r="B1004" s="224" t="s">
        <v>26</v>
      </c>
      <c r="C1004" s="224" t="s">
        <v>89</v>
      </c>
      <c r="D1004" s="224" t="s">
        <v>9</v>
      </c>
      <c r="E1004" s="224" t="s">
        <v>256</v>
      </c>
      <c r="F1004" s="224" t="s">
        <v>248</v>
      </c>
      <c r="G1004" s="223" t="str">
        <f>VLOOKUP($B1004,'FRS geographical categories'!$A$2:$C$45,2,FALSE)</f>
        <v>Predominantly Urban</v>
      </c>
      <c r="H1004" s="223" t="str">
        <f>VLOOKUP($B1004,'FRS geographical categories'!$A$2:$C$45,3,FALSE)</f>
        <v>Metropolitan</v>
      </c>
      <c r="I1004" s="224">
        <v>0</v>
      </c>
    </row>
    <row r="1005" spans="1:9" ht="15.5" x14ac:dyDescent="0.35">
      <c r="A1005" s="224" t="s">
        <v>54</v>
      </c>
      <c r="B1005" s="224" t="s">
        <v>26</v>
      </c>
      <c r="C1005" s="224" t="s">
        <v>89</v>
      </c>
      <c r="D1005" s="224" t="s">
        <v>9</v>
      </c>
      <c r="E1005" s="224" t="s">
        <v>256</v>
      </c>
      <c r="F1005" s="224" t="s">
        <v>249</v>
      </c>
      <c r="G1005" s="223" t="str">
        <f>VLOOKUP($B1005,'FRS geographical categories'!$A$2:$C$45,2,FALSE)</f>
        <v>Predominantly Urban</v>
      </c>
      <c r="H1005" s="223" t="str">
        <f>VLOOKUP($B1005,'FRS geographical categories'!$A$2:$C$45,3,FALSE)</f>
        <v>Metropolitan</v>
      </c>
      <c r="I1005" s="224">
        <v>0</v>
      </c>
    </row>
    <row r="1006" spans="1:9" ht="15.5" x14ac:dyDescent="0.35">
      <c r="A1006" s="224" t="s">
        <v>54</v>
      </c>
      <c r="B1006" s="224" t="s">
        <v>26</v>
      </c>
      <c r="C1006" s="224" t="s">
        <v>89</v>
      </c>
      <c r="D1006" s="224" t="s">
        <v>9</v>
      </c>
      <c r="E1006" s="224" t="s">
        <v>256</v>
      </c>
      <c r="F1006" s="224" t="s">
        <v>250</v>
      </c>
      <c r="G1006" s="223" t="str">
        <f>VLOOKUP($B1006,'FRS geographical categories'!$A$2:$C$45,2,FALSE)</f>
        <v>Predominantly Urban</v>
      </c>
      <c r="H1006" s="223" t="str">
        <f>VLOOKUP($B1006,'FRS geographical categories'!$A$2:$C$45,3,FALSE)</f>
        <v>Metropolitan</v>
      </c>
      <c r="I1006" s="224">
        <v>0</v>
      </c>
    </row>
    <row r="1007" spans="1:9" ht="15.5" x14ac:dyDescent="0.35">
      <c r="A1007" s="224" t="s">
        <v>54</v>
      </c>
      <c r="B1007" s="224" t="s">
        <v>26</v>
      </c>
      <c r="C1007" s="224" t="s">
        <v>89</v>
      </c>
      <c r="D1007" s="224" t="s">
        <v>9</v>
      </c>
      <c r="E1007" s="224" t="s">
        <v>256</v>
      </c>
      <c r="F1007" s="224" t="s">
        <v>10</v>
      </c>
      <c r="G1007" s="223" t="str">
        <f>VLOOKUP($B1007,'FRS geographical categories'!$A$2:$C$45,2,FALSE)</f>
        <v>Predominantly Urban</v>
      </c>
      <c r="H1007" s="223" t="str">
        <f>VLOOKUP($B1007,'FRS geographical categories'!$A$2:$C$45,3,FALSE)</f>
        <v>Metropolitan</v>
      </c>
      <c r="I1007" s="224">
        <v>2</v>
      </c>
    </row>
    <row r="1008" spans="1:9" ht="15.5" x14ac:dyDescent="0.35">
      <c r="A1008" s="224" t="s">
        <v>54</v>
      </c>
      <c r="B1008" s="224" t="s">
        <v>26</v>
      </c>
      <c r="C1008" s="224" t="s">
        <v>89</v>
      </c>
      <c r="D1008" s="224" t="s">
        <v>55</v>
      </c>
      <c r="E1008" s="224" t="s">
        <v>256</v>
      </c>
      <c r="F1008" s="224" t="s">
        <v>248</v>
      </c>
      <c r="G1008" s="223" t="str">
        <f>VLOOKUP($B1008,'FRS geographical categories'!$A$2:$C$45,2,FALSE)</f>
        <v>Predominantly Urban</v>
      </c>
      <c r="H1008" s="223" t="str">
        <f>VLOOKUP($B1008,'FRS geographical categories'!$A$2:$C$45,3,FALSE)</f>
        <v>Metropolitan</v>
      </c>
      <c r="I1008" s="224">
        <v>0</v>
      </c>
    </row>
    <row r="1009" spans="1:9" ht="15.5" x14ac:dyDescent="0.35">
      <c r="A1009" s="224" t="s">
        <v>54</v>
      </c>
      <c r="B1009" s="224" t="s">
        <v>26</v>
      </c>
      <c r="C1009" s="224" t="s">
        <v>89</v>
      </c>
      <c r="D1009" s="224" t="s">
        <v>55</v>
      </c>
      <c r="E1009" s="224" t="s">
        <v>256</v>
      </c>
      <c r="F1009" s="224" t="s">
        <v>249</v>
      </c>
      <c r="G1009" s="223" t="str">
        <f>VLOOKUP($B1009,'FRS geographical categories'!$A$2:$C$45,2,FALSE)</f>
        <v>Predominantly Urban</v>
      </c>
      <c r="H1009" s="223" t="str">
        <f>VLOOKUP($B1009,'FRS geographical categories'!$A$2:$C$45,3,FALSE)</f>
        <v>Metropolitan</v>
      </c>
      <c r="I1009" s="224">
        <v>0</v>
      </c>
    </row>
    <row r="1010" spans="1:9" ht="15.5" x14ac:dyDescent="0.35">
      <c r="A1010" s="224" t="s">
        <v>54</v>
      </c>
      <c r="B1010" s="224" t="s">
        <v>26</v>
      </c>
      <c r="C1010" s="224" t="s">
        <v>89</v>
      </c>
      <c r="D1010" s="224" t="s">
        <v>55</v>
      </c>
      <c r="E1010" s="224" t="s">
        <v>256</v>
      </c>
      <c r="F1010" s="224" t="s">
        <v>250</v>
      </c>
      <c r="G1010" s="223" t="str">
        <f>VLOOKUP($B1010,'FRS geographical categories'!$A$2:$C$45,2,FALSE)</f>
        <v>Predominantly Urban</v>
      </c>
      <c r="H1010" s="223" t="str">
        <f>VLOOKUP($B1010,'FRS geographical categories'!$A$2:$C$45,3,FALSE)</f>
        <v>Metropolitan</v>
      </c>
      <c r="I1010" s="224">
        <v>0</v>
      </c>
    </row>
    <row r="1011" spans="1:9" ht="15.5" x14ac:dyDescent="0.35">
      <c r="A1011" s="224" t="s">
        <v>54</v>
      </c>
      <c r="B1011" s="224" t="s">
        <v>26</v>
      </c>
      <c r="C1011" s="224" t="s">
        <v>89</v>
      </c>
      <c r="D1011" s="224" t="s">
        <v>55</v>
      </c>
      <c r="E1011" s="224" t="s">
        <v>256</v>
      </c>
      <c r="F1011" s="224" t="s">
        <v>10</v>
      </c>
      <c r="G1011" s="223" t="str">
        <f>VLOOKUP($B1011,'FRS geographical categories'!$A$2:$C$45,2,FALSE)</f>
        <v>Predominantly Urban</v>
      </c>
      <c r="H1011" s="223" t="str">
        <f>VLOOKUP($B1011,'FRS geographical categories'!$A$2:$C$45,3,FALSE)</f>
        <v>Metropolitan</v>
      </c>
      <c r="I1011" s="224">
        <v>0</v>
      </c>
    </row>
    <row r="1012" spans="1:9" ht="15.5" x14ac:dyDescent="0.35">
      <c r="A1012" s="224" t="s">
        <v>54</v>
      </c>
      <c r="B1012" s="224" t="s">
        <v>27</v>
      </c>
      <c r="C1012" s="224" t="s">
        <v>86</v>
      </c>
      <c r="D1012" s="224" t="s">
        <v>9</v>
      </c>
      <c r="E1012" s="224" t="s">
        <v>256</v>
      </c>
      <c r="F1012" s="224" t="s">
        <v>248</v>
      </c>
      <c r="G1012" s="223" t="str">
        <f>VLOOKUP($B1012,'FRS geographical categories'!$A$2:$C$45,2,FALSE)</f>
        <v>Predominantly Urban</v>
      </c>
      <c r="H1012" s="223" t="str">
        <f>VLOOKUP($B1012,'FRS geographical categories'!$A$2:$C$45,3,FALSE)</f>
        <v>Metropolitan</v>
      </c>
      <c r="I1012" s="224">
        <v>0</v>
      </c>
    </row>
    <row r="1013" spans="1:9" ht="15.5" x14ac:dyDescent="0.35">
      <c r="A1013" s="224" t="s">
        <v>54</v>
      </c>
      <c r="B1013" s="224" t="s">
        <v>27</v>
      </c>
      <c r="C1013" s="224" t="s">
        <v>86</v>
      </c>
      <c r="D1013" s="224" t="s">
        <v>9</v>
      </c>
      <c r="E1013" s="224" t="s">
        <v>256</v>
      </c>
      <c r="F1013" s="224" t="s">
        <v>249</v>
      </c>
      <c r="G1013" s="223" t="str">
        <f>VLOOKUP($B1013,'FRS geographical categories'!$A$2:$C$45,2,FALSE)</f>
        <v>Predominantly Urban</v>
      </c>
      <c r="H1013" s="223" t="str">
        <f>VLOOKUP($B1013,'FRS geographical categories'!$A$2:$C$45,3,FALSE)</f>
        <v>Metropolitan</v>
      </c>
      <c r="I1013" s="224">
        <v>0</v>
      </c>
    </row>
    <row r="1014" spans="1:9" ht="15.5" x14ac:dyDescent="0.35">
      <c r="A1014" s="224" t="s">
        <v>54</v>
      </c>
      <c r="B1014" s="224" t="s">
        <v>27</v>
      </c>
      <c r="C1014" s="224" t="s">
        <v>86</v>
      </c>
      <c r="D1014" s="224" t="s">
        <v>9</v>
      </c>
      <c r="E1014" s="224" t="s">
        <v>256</v>
      </c>
      <c r="F1014" s="224" t="s">
        <v>250</v>
      </c>
      <c r="G1014" s="223" t="str">
        <f>VLOOKUP($B1014,'FRS geographical categories'!$A$2:$C$45,2,FALSE)</f>
        <v>Predominantly Urban</v>
      </c>
      <c r="H1014" s="223" t="str">
        <f>VLOOKUP($B1014,'FRS geographical categories'!$A$2:$C$45,3,FALSE)</f>
        <v>Metropolitan</v>
      </c>
      <c r="I1014" s="224">
        <v>0</v>
      </c>
    </row>
    <row r="1015" spans="1:9" ht="15.5" x14ac:dyDescent="0.35">
      <c r="A1015" s="224" t="s">
        <v>54</v>
      </c>
      <c r="B1015" s="224" t="s">
        <v>27</v>
      </c>
      <c r="C1015" s="224" t="s">
        <v>86</v>
      </c>
      <c r="D1015" s="224" t="s">
        <v>9</v>
      </c>
      <c r="E1015" s="224" t="s">
        <v>256</v>
      </c>
      <c r="F1015" s="224" t="s">
        <v>111</v>
      </c>
      <c r="G1015" s="223" t="str">
        <f>VLOOKUP($B1015,'FRS geographical categories'!$A$2:$C$45,2,FALSE)</f>
        <v>Predominantly Urban</v>
      </c>
      <c r="H1015" s="223" t="str">
        <f>VLOOKUP($B1015,'FRS geographical categories'!$A$2:$C$45,3,FALSE)</f>
        <v>Metropolitan</v>
      </c>
      <c r="I1015" s="224">
        <v>0</v>
      </c>
    </row>
    <row r="1016" spans="1:9" ht="15.5" x14ac:dyDescent="0.35">
      <c r="A1016" s="224" t="s">
        <v>54</v>
      </c>
      <c r="B1016" s="224" t="s">
        <v>27</v>
      </c>
      <c r="C1016" s="224" t="s">
        <v>86</v>
      </c>
      <c r="D1016" s="224" t="s">
        <v>9</v>
      </c>
      <c r="E1016" s="224" t="s">
        <v>256</v>
      </c>
      <c r="F1016" s="224" t="s">
        <v>10</v>
      </c>
      <c r="G1016" s="223" t="str">
        <f>VLOOKUP($B1016,'FRS geographical categories'!$A$2:$C$45,2,FALSE)</f>
        <v>Predominantly Urban</v>
      </c>
      <c r="H1016" s="223" t="str">
        <f>VLOOKUP($B1016,'FRS geographical categories'!$A$2:$C$45,3,FALSE)</f>
        <v>Metropolitan</v>
      </c>
      <c r="I1016" s="224">
        <v>0</v>
      </c>
    </row>
    <row r="1017" spans="1:9" ht="15.5" x14ac:dyDescent="0.35">
      <c r="A1017" s="224" t="s">
        <v>54</v>
      </c>
      <c r="B1017" s="224" t="s">
        <v>27</v>
      </c>
      <c r="C1017" s="224" t="s">
        <v>86</v>
      </c>
      <c r="D1017" s="224" t="s">
        <v>55</v>
      </c>
      <c r="E1017" s="224" t="s">
        <v>256</v>
      </c>
      <c r="F1017" s="224" t="s">
        <v>248</v>
      </c>
      <c r="G1017" s="223" t="str">
        <f>VLOOKUP($B1017,'FRS geographical categories'!$A$2:$C$45,2,FALSE)</f>
        <v>Predominantly Urban</v>
      </c>
      <c r="H1017" s="223" t="str">
        <f>VLOOKUP($B1017,'FRS geographical categories'!$A$2:$C$45,3,FALSE)</f>
        <v>Metropolitan</v>
      </c>
      <c r="I1017" s="224">
        <v>395</v>
      </c>
    </row>
    <row r="1018" spans="1:9" ht="15.5" x14ac:dyDescent="0.35">
      <c r="A1018" s="224" t="s">
        <v>54</v>
      </c>
      <c r="B1018" s="224" t="s">
        <v>27</v>
      </c>
      <c r="C1018" s="224" t="s">
        <v>86</v>
      </c>
      <c r="D1018" s="224" t="s">
        <v>55</v>
      </c>
      <c r="E1018" s="224" t="s">
        <v>256</v>
      </c>
      <c r="F1018" s="224" t="s">
        <v>249</v>
      </c>
      <c r="G1018" s="223" t="str">
        <f>VLOOKUP($B1018,'FRS geographical categories'!$A$2:$C$45,2,FALSE)</f>
        <v>Predominantly Urban</v>
      </c>
      <c r="H1018" s="223" t="str">
        <f>VLOOKUP($B1018,'FRS geographical categories'!$A$2:$C$45,3,FALSE)</f>
        <v>Metropolitan</v>
      </c>
      <c r="I1018" s="224">
        <v>805</v>
      </c>
    </row>
    <row r="1019" spans="1:9" ht="15.5" x14ac:dyDescent="0.35">
      <c r="A1019" s="224" t="s">
        <v>54</v>
      </c>
      <c r="B1019" s="224" t="s">
        <v>27</v>
      </c>
      <c r="C1019" s="224" t="s">
        <v>86</v>
      </c>
      <c r="D1019" s="224" t="s">
        <v>55</v>
      </c>
      <c r="E1019" s="224" t="s">
        <v>256</v>
      </c>
      <c r="F1019" s="224" t="s">
        <v>250</v>
      </c>
      <c r="G1019" s="223" t="str">
        <f>VLOOKUP($B1019,'FRS geographical categories'!$A$2:$C$45,2,FALSE)</f>
        <v>Predominantly Urban</v>
      </c>
      <c r="H1019" s="223" t="str">
        <f>VLOOKUP($B1019,'FRS geographical categories'!$A$2:$C$45,3,FALSE)</f>
        <v>Metropolitan</v>
      </c>
      <c r="I1019" s="224">
        <v>1941</v>
      </c>
    </row>
    <row r="1020" spans="1:9" ht="15.5" x14ac:dyDescent="0.35">
      <c r="A1020" s="224" t="s">
        <v>54</v>
      </c>
      <c r="B1020" s="224" t="s">
        <v>27</v>
      </c>
      <c r="C1020" s="224" t="s">
        <v>86</v>
      </c>
      <c r="D1020" s="224" t="s">
        <v>55</v>
      </c>
      <c r="E1020" s="224" t="s">
        <v>256</v>
      </c>
      <c r="F1020" s="224" t="s">
        <v>111</v>
      </c>
      <c r="G1020" s="223" t="str">
        <f>VLOOKUP($B1020,'FRS geographical categories'!$A$2:$C$45,2,FALSE)</f>
        <v>Predominantly Urban</v>
      </c>
      <c r="H1020" s="223" t="str">
        <f>VLOOKUP($B1020,'FRS geographical categories'!$A$2:$C$45,3,FALSE)</f>
        <v>Metropolitan</v>
      </c>
      <c r="I1020" s="224">
        <v>0</v>
      </c>
    </row>
    <row r="1021" spans="1:9" ht="15.5" x14ac:dyDescent="0.35">
      <c r="A1021" s="224" t="s">
        <v>54</v>
      </c>
      <c r="B1021" s="224" t="s">
        <v>27</v>
      </c>
      <c r="C1021" s="224" t="s">
        <v>86</v>
      </c>
      <c r="D1021" s="224" t="s">
        <v>55</v>
      </c>
      <c r="E1021" s="224" t="s">
        <v>256</v>
      </c>
      <c r="F1021" s="224" t="s">
        <v>10</v>
      </c>
      <c r="G1021" s="223" t="str">
        <f>VLOOKUP($B1021,'FRS geographical categories'!$A$2:$C$45,2,FALSE)</f>
        <v>Predominantly Urban</v>
      </c>
      <c r="H1021" s="223" t="str">
        <f>VLOOKUP($B1021,'FRS geographical categories'!$A$2:$C$45,3,FALSE)</f>
        <v>Metropolitan</v>
      </c>
      <c r="I1021" s="224">
        <v>8335</v>
      </c>
    </row>
    <row r="1022" spans="1:9" ht="15.5" x14ac:dyDescent="0.35">
      <c r="A1022" s="224" t="s">
        <v>54</v>
      </c>
      <c r="B1022" s="224" t="s">
        <v>27</v>
      </c>
      <c r="C1022" s="224" t="s">
        <v>89</v>
      </c>
      <c r="D1022" s="224" t="s">
        <v>9</v>
      </c>
      <c r="E1022" s="224" t="s">
        <v>256</v>
      </c>
      <c r="F1022" s="224" t="s">
        <v>248</v>
      </c>
      <c r="G1022" s="223" t="str">
        <f>VLOOKUP($B1022,'FRS geographical categories'!$A$2:$C$45,2,FALSE)</f>
        <v>Predominantly Urban</v>
      </c>
      <c r="H1022" s="223" t="str">
        <f>VLOOKUP($B1022,'FRS geographical categories'!$A$2:$C$45,3,FALSE)</f>
        <v>Metropolitan</v>
      </c>
      <c r="I1022" s="224">
        <v>0</v>
      </c>
    </row>
    <row r="1023" spans="1:9" ht="15.5" x14ac:dyDescent="0.35">
      <c r="A1023" s="224" t="s">
        <v>54</v>
      </c>
      <c r="B1023" s="224" t="s">
        <v>27</v>
      </c>
      <c r="C1023" s="224" t="s">
        <v>89</v>
      </c>
      <c r="D1023" s="224" t="s">
        <v>9</v>
      </c>
      <c r="E1023" s="224" t="s">
        <v>256</v>
      </c>
      <c r="F1023" s="224" t="s">
        <v>249</v>
      </c>
      <c r="G1023" s="223" t="str">
        <f>VLOOKUP($B1023,'FRS geographical categories'!$A$2:$C$45,2,FALSE)</f>
        <v>Predominantly Urban</v>
      </c>
      <c r="H1023" s="223" t="str">
        <f>VLOOKUP($B1023,'FRS geographical categories'!$A$2:$C$45,3,FALSE)</f>
        <v>Metropolitan</v>
      </c>
      <c r="I1023" s="224">
        <v>0</v>
      </c>
    </row>
    <row r="1024" spans="1:9" ht="15.5" x14ac:dyDescent="0.35">
      <c r="A1024" s="224" t="s">
        <v>54</v>
      </c>
      <c r="B1024" s="224" t="s">
        <v>27</v>
      </c>
      <c r="C1024" s="224" t="s">
        <v>89</v>
      </c>
      <c r="D1024" s="224" t="s">
        <v>9</v>
      </c>
      <c r="E1024" s="224" t="s">
        <v>256</v>
      </c>
      <c r="F1024" s="224" t="s">
        <v>250</v>
      </c>
      <c r="G1024" s="223" t="str">
        <f>VLOOKUP($B1024,'FRS geographical categories'!$A$2:$C$45,2,FALSE)</f>
        <v>Predominantly Urban</v>
      </c>
      <c r="H1024" s="223" t="str">
        <f>VLOOKUP($B1024,'FRS geographical categories'!$A$2:$C$45,3,FALSE)</f>
        <v>Metropolitan</v>
      </c>
      <c r="I1024" s="224">
        <v>0</v>
      </c>
    </row>
    <row r="1025" spans="1:9" ht="15.5" x14ac:dyDescent="0.35">
      <c r="A1025" s="224" t="s">
        <v>54</v>
      </c>
      <c r="B1025" s="224" t="s">
        <v>27</v>
      </c>
      <c r="C1025" s="224" t="s">
        <v>89</v>
      </c>
      <c r="D1025" s="224" t="s">
        <v>9</v>
      </c>
      <c r="E1025" s="224" t="s">
        <v>256</v>
      </c>
      <c r="F1025" s="224" t="s">
        <v>10</v>
      </c>
      <c r="G1025" s="223" t="str">
        <f>VLOOKUP($B1025,'FRS geographical categories'!$A$2:$C$45,2,FALSE)</f>
        <v>Predominantly Urban</v>
      </c>
      <c r="H1025" s="223" t="str">
        <f>VLOOKUP($B1025,'FRS geographical categories'!$A$2:$C$45,3,FALSE)</f>
        <v>Metropolitan</v>
      </c>
      <c r="I1025" s="224">
        <v>0</v>
      </c>
    </row>
    <row r="1026" spans="1:9" ht="15.5" x14ac:dyDescent="0.35">
      <c r="A1026" s="224" t="s">
        <v>54</v>
      </c>
      <c r="B1026" s="224" t="s">
        <v>27</v>
      </c>
      <c r="C1026" s="224" t="s">
        <v>89</v>
      </c>
      <c r="D1026" s="224" t="s">
        <v>55</v>
      </c>
      <c r="E1026" s="224" t="s">
        <v>256</v>
      </c>
      <c r="F1026" s="224" t="s">
        <v>248</v>
      </c>
      <c r="G1026" s="223" t="str">
        <f>VLOOKUP($B1026,'FRS geographical categories'!$A$2:$C$45,2,FALSE)</f>
        <v>Predominantly Urban</v>
      </c>
      <c r="H1026" s="223" t="str">
        <f>VLOOKUP($B1026,'FRS geographical categories'!$A$2:$C$45,3,FALSE)</f>
        <v>Metropolitan</v>
      </c>
      <c r="I1026" s="224">
        <v>0</v>
      </c>
    </row>
    <row r="1027" spans="1:9" ht="15.5" x14ac:dyDescent="0.35">
      <c r="A1027" s="224" t="s">
        <v>54</v>
      </c>
      <c r="B1027" s="224" t="s">
        <v>27</v>
      </c>
      <c r="C1027" s="224" t="s">
        <v>89</v>
      </c>
      <c r="D1027" s="224" t="s">
        <v>55</v>
      </c>
      <c r="E1027" s="224" t="s">
        <v>256</v>
      </c>
      <c r="F1027" s="224" t="s">
        <v>249</v>
      </c>
      <c r="G1027" s="223" t="str">
        <f>VLOOKUP($B1027,'FRS geographical categories'!$A$2:$C$45,2,FALSE)</f>
        <v>Predominantly Urban</v>
      </c>
      <c r="H1027" s="223" t="str">
        <f>VLOOKUP($B1027,'FRS geographical categories'!$A$2:$C$45,3,FALSE)</f>
        <v>Metropolitan</v>
      </c>
      <c r="I1027" s="224">
        <v>0</v>
      </c>
    </row>
    <row r="1028" spans="1:9" ht="15.5" x14ac:dyDescent="0.35">
      <c r="A1028" s="224" t="s">
        <v>54</v>
      </c>
      <c r="B1028" s="224" t="s">
        <v>27</v>
      </c>
      <c r="C1028" s="224" t="s">
        <v>89</v>
      </c>
      <c r="D1028" s="224" t="s">
        <v>55</v>
      </c>
      <c r="E1028" s="224" t="s">
        <v>256</v>
      </c>
      <c r="F1028" s="224" t="s">
        <v>250</v>
      </c>
      <c r="G1028" s="223" t="str">
        <f>VLOOKUP($B1028,'FRS geographical categories'!$A$2:$C$45,2,FALSE)</f>
        <v>Predominantly Urban</v>
      </c>
      <c r="H1028" s="223" t="str">
        <f>VLOOKUP($B1028,'FRS geographical categories'!$A$2:$C$45,3,FALSE)</f>
        <v>Metropolitan</v>
      </c>
      <c r="I1028" s="224">
        <v>0</v>
      </c>
    </row>
    <row r="1029" spans="1:9" ht="15.5" x14ac:dyDescent="0.35">
      <c r="A1029" s="224" t="s">
        <v>54</v>
      </c>
      <c r="B1029" s="224" t="s">
        <v>27</v>
      </c>
      <c r="C1029" s="224" t="s">
        <v>89</v>
      </c>
      <c r="D1029" s="224" t="s">
        <v>55</v>
      </c>
      <c r="E1029" s="224" t="s">
        <v>256</v>
      </c>
      <c r="F1029" s="224" t="s">
        <v>10</v>
      </c>
      <c r="G1029" s="223" t="str">
        <f>VLOOKUP($B1029,'FRS geographical categories'!$A$2:$C$45,2,FALSE)</f>
        <v>Predominantly Urban</v>
      </c>
      <c r="H1029" s="223" t="str">
        <f>VLOOKUP($B1029,'FRS geographical categories'!$A$2:$C$45,3,FALSE)</f>
        <v>Metropolitan</v>
      </c>
      <c r="I1029" s="224">
        <v>0</v>
      </c>
    </row>
    <row r="1030" spans="1:9" ht="15.5" x14ac:dyDescent="0.35">
      <c r="A1030" s="224" t="s">
        <v>54</v>
      </c>
      <c r="B1030" s="224" t="s">
        <v>93</v>
      </c>
      <c r="C1030" s="224" t="s">
        <v>86</v>
      </c>
      <c r="D1030" s="224" t="s">
        <v>9</v>
      </c>
      <c r="E1030" s="224" t="s">
        <v>256</v>
      </c>
      <c r="F1030" s="224" t="s">
        <v>248</v>
      </c>
      <c r="G1030" s="223" t="str">
        <f>VLOOKUP($B1030,'FRS geographical categories'!$A$2:$C$45,2,FALSE)</f>
        <v>Significantly Rural</v>
      </c>
      <c r="H1030" s="223" t="str">
        <f>VLOOKUP($B1030,'FRS geographical categories'!$A$2:$C$45,3,FALSE)</f>
        <v>Non-metropolitan</v>
      </c>
      <c r="I1030" s="224">
        <v>277</v>
      </c>
    </row>
    <row r="1031" spans="1:9" ht="15.5" x14ac:dyDescent="0.35">
      <c r="A1031" s="224" t="s">
        <v>54</v>
      </c>
      <c r="B1031" s="224" t="s">
        <v>93</v>
      </c>
      <c r="C1031" s="224" t="s">
        <v>86</v>
      </c>
      <c r="D1031" s="224" t="s">
        <v>9</v>
      </c>
      <c r="E1031" s="224" t="s">
        <v>256</v>
      </c>
      <c r="F1031" s="224" t="s">
        <v>249</v>
      </c>
      <c r="G1031" s="223" t="str">
        <f>VLOOKUP($B1031,'FRS geographical categories'!$A$2:$C$45,2,FALSE)</f>
        <v>Significantly Rural</v>
      </c>
      <c r="H1031" s="223" t="str">
        <f>VLOOKUP($B1031,'FRS geographical categories'!$A$2:$C$45,3,FALSE)</f>
        <v>Non-metropolitan</v>
      </c>
      <c r="I1031" s="224">
        <v>1112</v>
      </c>
    </row>
    <row r="1032" spans="1:9" ht="15.5" x14ac:dyDescent="0.35">
      <c r="A1032" s="224" t="s">
        <v>54</v>
      </c>
      <c r="B1032" s="224" t="s">
        <v>93</v>
      </c>
      <c r="C1032" s="224" t="s">
        <v>86</v>
      </c>
      <c r="D1032" s="224" t="s">
        <v>9</v>
      </c>
      <c r="E1032" s="224" t="s">
        <v>256</v>
      </c>
      <c r="F1032" s="224" t="s">
        <v>250</v>
      </c>
      <c r="G1032" s="223" t="str">
        <f>VLOOKUP($B1032,'FRS geographical categories'!$A$2:$C$45,2,FALSE)</f>
        <v>Significantly Rural</v>
      </c>
      <c r="H1032" s="223" t="str">
        <f>VLOOKUP($B1032,'FRS geographical categories'!$A$2:$C$45,3,FALSE)</f>
        <v>Non-metropolitan</v>
      </c>
      <c r="I1032" s="224">
        <v>996</v>
      </c>
    </row>
    <row r="1033" spans="1:9" ht="15.5" x14ac:dyDescent="0.35">
      <c r="A1033" s="224" t="s">
        <v>54</v>
      </c>
      <c r="B1033" s="224" t="s">
        <v>93</v>
      </c>
      <c r="C1033" s="224" t="s">
        <v>86</v>
      </c>
      <c r="D1033" s="224" t="s">
        <v>9</v>
      </c>
      <c r="E1033" s="224" t="s">
        <v>256</v>
      </c>
      <c r="F1033" s="224" t="s">
        <v>111</v>
      </c>
      <c r="G1033" s="223" t="str">
        <f>VLOOKUP($B1033,'FRS geographical categories'!$A$2:$C$45,2,FALSE)</f>
        <v>Significantly Rural</v>
      </c>
      <c r="H1033" s="223" t="str">
        <f>VLOOKUP($B1033,'FRS geographical categories'!$A$2:$C$45,3,FALSE)</f>
        <v>Non-metropolitan</v>
      </c>
      <c r="I1033" s="224">
        <v>1984</v>
      </c>
    </row>
    <row r="1034" spans="1:9" ht="15.5" x14ac:dyDescent="0.35">
      <c r="A1034" s="224" t="s">
        <v>54</v>
      </c>
      <c r="B1034" s="224" t="s">
        <v>93</v>
      </c>
      <c r="C1034" s="224" t="s">
        <v>86</v>
      </c>
      <c r="D1034" s="224" t="s">
        <v>9</v>
      </c>
      <c r="E1034" s="224" t="s">
        <v>256</v>
      </c>
      <c r="F1034" s="224" t="s">
        <v>10</v>
      </c>
      <c r="G1034" s="223" t="str">
        <f>VLOOKUP($B1034,'FRS geographical categories'!$A$2:$C$45,2,FALSE)</f>
        <v>Significantly Rural</v>
      </c>
      <c r="H1034" s="223" t="str">
        <f>VLOOKUP($B1034,'FRS geographical categories'!$A$2:$C$45,3,FALSE)</f>
        <v>Non-metropolitan</v>
      </c>
      <c r="I1034" s="224">
        <v>5420</v>
      </c>
    </row>
    <row r="1035" spans="1:9" ht="15.5" x14ac:dyDescent="0.35">
      <c r="A1035" s="224" t="s">
        <v>54</v>
      </c>
      <c r="B1035" s="224" t="s">
        <v>93</v>
      </c>
      <c r="C1035" s="224" t="s">
        <v>86</v>
      </c>
      <c r="D1035" s="224" t="s">
        <v>55</v>
      </c>
      <c r="E1035" s="224" t="s">
        <v>256</v>
      </c>
      <c r="F1035" s="224" t="s">
        <v>248</v>
      </c>
      <c r="G1035" s="223" t="str">
        <f>VLOOKUP($B1035,'FRS geographical categories'!$A$2:$C$45,2,FALSE)</f>
        <v>Significantly Rural</v>
      </c>
      <c r="H1035" s="223" t="str">
        <f>VLOOKUP($B1035,'FRS geographical categories'!$A$2:$C$45,3,FALSE)</f>
        <v>Non-metropolitan</v>
      </c>
      <c r="I1035" s="224">
        <v>15</v>
      </c>
    </row>
    <row r="1036" spans="1:9" ht="15.5" x14ac:dyDescent="0.35">
      <c r="A1036" s="224" t="s">
        <v>54</v>
      </c>
      <c r="B1036" s="224" t="s">
        <v>93</v>
      </c>
      <c r="C1036" s="224" t="s">
        <v>86</v>
      </c>
      <c r="D1036" s="224" t="s">
        <v>55</v>
      </c>
      <c r="E1036" s="224" t="s">
        <v>256</v>
      </c>
      <c r="F1036" s="224" t="s">
        <v>249</v>
      </c>
      <c r="G1036" s="223" t="str">
        <f>VLOOKUP($B1036,'FRS geographical categories'!$A$2:$C$45,2,FALSE)</f>
        <v>Significantly Rural</v>
      </c>
      <c r="H1036" s="223" t="str">
        <f>VLOOKUP($B1036,'FRS geographical categories'!$A$2:$C$45,3,FALSE)</f>
        <v>Non-metropolitan</v>
      </c>
      <c r="I1036" s="224">
        <v>56</v>
      </c>
    </row>
    <row r="1037" spans="1:9" ht="15.5" x14ac:dyDescent="0.35">
      <c r="A1037" s="224" t="s">
        <v>54</v>
      </c>
      <c r="B1037" s="224" t="s">
        <v>93</v>
      </c>
      <c r="C1037" s="224" t="s">
        <v>86</v>
      </c>
      <c r="D1037" s="224" t="s">
        <v>55</v>
      </c>
      <c r="E1037" s="224" t="s">
        <v>256</v>
      </c>
      <c r="F1037" s="224" t="s">
        <v>250</v>
      </c>
      <c r="G1037" s="223" t="str">
        <f>VLOOKUP($B1037,'FRS geographical categories'!$A$2:$C$45,2,FALSE)</f>
        <v>Significantly Rural</v>
      </c>
      <c r="H1037" s="223" t="str">
        <f>VLOOKUP($B1037,'FRS geographical categories'!$A$2:$C$45,3,FALSE)</f>
        <v>Non-metropolitan</v>
      </c>
      <c r="I1037" s="224">
        <v>39</v>
      </c>
    </row>
    <row r="1038" spans="1:9" ht="15.5" x14ac:dyDescent="0.35">
      <c r="A1038" s="224" t="s">
        <v>54</v>
      </c>
      <c r="B1038" s="224" t="s">
        <v>93</v>
      </c>
      <c r="C1038" s="224" t="s">
        <v>86</v>
      </c>
      <c r="D1038" s="224" t="s">
        <v>55</v>
      </c>
      <c r="E1038" s="224" t="s">
        <v>256</v>
      </c>
      <c r="F1038" s="224" t="s">
        <v>111</v>
      </c>
      <c r="G1038" s="223" t="str">
        <f>VLOOKUP($B1038,'FRS geographical categories'!$A$2:$C$45,2,FALSE)</f>
        <v>Significantly Rural</v>
      </c>
      <c r="H1038" s="223" t="str">
        <f>VLOOKUP($B1038,'FRS geographical categories'!$A$2:$C$45,3,FALSE)</f>
        <v>Non-metropolitan</v>
      </c>
      <c r="I1038" s="224">
        <v>146</v>
      </c>
    </row>
    <row r="1039" spans="1:9" ht="15.5" x14ac:dyDescent="0.35">
      <c r="A1039" s="224" t="s">
        <v>54</v>
      </c>
      <c r="B1039" s="224" t="s">
        <v>93</v>
      </c>
      <c r="C1039" s="224" t="s">
        <v>86</v>
      </c>
      <c r="D1039" s="224" t="s">
        <v>55</v>
      </c>
      <c r="E1039" s="224" t="s">
        <v>256</v>
      </c>
      <c r="F1039" s="224" t="s">
        <v>10</v>
      </c>
      <c r="G1039" s="223" t="str">
        <f>VLOOKUP($B1039,'FRS geographical categories'!$A$2:$C$45,2,FALSE)</f>
        <v>Significantly Rural</v>
      </c>
      <c r="H1039" s="223" t="str">
        <f>VLOOKUP($B1039,'FRS geographical categories'!$A$2:$C$45,3,FALSE)</f>
        <v>Non-metropolitan</v>
      </c>
      <c r="I1039" s="224">
        <v>2279</v>
      </c>
    </row>
    <row r="1040" spans="1:9" ht="15.5" x14ac:dyDescent="0.35">
      <c r="A1040" s="224" t="s">
        <v>54</v>
      </c>
      <c r="B1040" s="224" t="s">
        <v>93</v>
      </c>
      <c r="C1040" s="224" t="s">
        <v>89</v>
      </c>
      <c r="D1040" s="224" t="s">
        <v>9</v>
      </c>
      <c r="E1040" s="224" t="s">
        <v>256</v>
      </c>
      <c r="F1040" s="224" t="s">
        <v>248</v>
      </c>
      <c r="G1040" s="223" t="str">
        <f>VLOOKUP($B1040,'FRS geographical categories'!$A$2:$C$45,2,FALSE)</f>
        <v>Significantly Rural</v>
      </c>
      <c r="H1040" s="223" t="str">
        <f>VLOOKUP($B1040,'FRS geographical categories'!$A$2:$C$45,3,FALSE)</f>
        <v>Non-metropolitan</v>
      </c>
      <c r="I1040" s="224">
        <v>0</v>
      </c>
    </row>
    <row r="1041" spans="1:9" ht="15.5" x14ac:dyDescent="0.35">
      <c r="A1041" s="224" t="s">
        <v>54</v>
      </c>
      <c r="B1041" s="224" t="s">
        <v>93</v>
      </c>
      <c r="C1041" s="224" t="s">
        <v>89</v>
      </c>
      <c r="D1041" s="224" t="s">
        <v>9</v>
      </c>
      <c r="E1041" s="224" t="s">
        <v>256</v>
      </c>
      <c r="F1041" s="224" t="s">
        <v>249</v>
      </c>
      <c r="G1041" s="223" t="str">
        <f>VLOOKUP($B1041,'FRS geographical categories'!$A$2:$C$45,2,FALSE)</f>
        <v>Significantly Rural</v>
      </c>
      <c r="H1041" s="223" t="str">
        <f>VLOOKUP($B1041,'FRS geographical categories'!$A$2:$C$45,3,FALSE)</f>
        <v>Non-metropolitan</v>
      </c>
      <c r="I1041" s="224">
        <v>0</v>
      </c>
    </row>
    <row r="1042" spans="1:9" ht="15.5" x14ac:dyDescent="0.35">
      <c r="A1042" s="224" t="s">
        <v>54</v>
      </c>
      <c r="B1042" s="224" t="s">
        <v>93</v>
      </c>
      <c r="C1042" s="224" t="s">
        <v>89</v>
      </c>
      <c r="D1042" s="224" t="s">
        <v>9</v>
      </c>
      <c r="E1042" s="224" t="s">
        <v>256</v>
      </c>
      <c r="F1042" s="224" t="s">
        <v>250</v>
      </c>
      <c r="G1042" s="223" t="str">
        <f>VLOOKUP($B1042,'FRS geographical categories'!$A$2:$C$45,2,FALSE)</f>
        <v>Significantly Rural</v>
      </c>
      <c r="H1042" s="223" t="str">
        <f>VLOOKUP($B1042,'FRS geographical categories'!$A$2:$C$45,3,FALSE)</f>
        <v>Non-metropolitan</v>
      </c>
      <c r="I1042" s="224">
        <v>0</v>
      </c>
    </row>
    <row r="1043" spans="1:9" ht="15.5" x14ac:dyDescent="0.35">
      <c r="A1043" s="224" t="s">
        <v>54</v>
      </c>
      <c r="B1043" s="224" t="s">
        <v>93</v>
      </c>
      <c r="C1043" s="224" t="s">
        <v>89</v>
      </c>
      <c r="D1043" s="224" t="s">
        <v>9</v>
      </c>
      <c r="E1043" s="224" t="s">
        <v>256</v>
      </c>
      <c r="F1043" s="224" t="s">
        <v>10</v>
      </c>
      <c r="G1043" s="223" t="str">
        <f>VLOOKUP($B1043,'FRS geographical categories'!$A$2:$C$45,2,FALSE)</f>
        <v>Significantly Rural</v>
      </c>
      <c r="H1043" s="223" t="str">
        <f>VLOOKUP($B1043,'FRS geographical categories'!$A$2:$C$45,3,FALSE)</f>
        <v>Non-metropolitan</v>
      </c>
      <c r="I1043" s="224">
        <v>0</v>
      </c>
    </row>
    <row r="1044" spans="1:9" ht="15.5" x14ac:dyDescent="0.35">
      <c r="A1044" s="224" t="s">
        <v>54</v>
      </c>
      <c r="B1044" s="224" t="s">
        <v>93</v>
      </c>
      <c r="C1044" s="224" t="s">
        <v>89</v>
      </c>
      <c r="D1044" s="224" t="s">
        <v>55</v>
      </c>
      <c r="E1044" s="224" t="s">
        <v>256</v>
      </c>
      <c r="F1044" s="224" t="s">
        <v>248</v>
      </c>
      <c r="G1044" s="223" t="str">
        <f>VLOOKUP($B1044,'FRS geographical categories'!$A$2:$C$45,2,FALSE)</f>
        <v>Significantly Rural</v>
      </c>
      <c r="H1044" s="223" t="str">
        <f>VLOOKUP($B1044,'FRS geographical categories'!$A$2:$C$45,3,FALSE)</f>
        <v>Non-metropolitan</v>
      </c>
      <c r="I1044" s="224">
        <v>0</v>
      </c>
    </row>
    <row r="1045" spans="1:9" ht="15.5" x14ac:dyDescent="0.35">
      <c r="A1045" s="224" t="s">
        <v>54</v>
      </c>
      <c r="B1045" s="224" t="s">
        <v>93</v>
      </c>
      <c r="C1045" s="224" t="s">
        <v>89</v>
      </c>
      <c r="D1045" s="224" t="s">
        <v>55</v>
      </c>
      <c r="E1045" s="224" t="s">
        <v>256</v>
      </c>
      <c r="F1045" s="224" t="s">
        <v>249</v>
      </c>
      <c r="G1045" s="223" t="str">
        <f>VLOOKUP($B1045,'FRS geographical categories'!$A$2:$C$45,2,FALSE)</f>
        <v>Significantly Rural</v>
      </c>
      <c r="H1045" s="223" t="str">
        <f>VLOOKUP($B1045,'FRS geographical categories'!$A$2:$C$45,3,FALSE)</f>
        <v>Non-metropolitan</v>
      </c>
      <c r="I1045" s="224">
        <v>0</v>
      </c>
    </row>
    <row r="1046" spans="1:9" ht="15.5" x14ac:dyDescent="0.35">
      <c r="A1046" s="224" t="s">
        <v>54</v>
      </c>
      <c r="B1046" s="224" t="s">
        <v>93</v>
      </c>
      <c r="C1046" s="224" t="s">
        <v>89</v>
      </c>
      <c r="D1046" s="224" t="s">
        <v>55</v>
      </c>
      <c r="E1046" s="224" t="s">
        <v>256</v>
      </c>
      <c r="F1046" s="224" t="s">
        <v>250</v>
      </c>
      <c r="G1046" s="223" t="str">
        <f>VLOOKUP($B1046,'FRS geographical categories'!$A$2:$C$45,2,FALSE)</f>
        <v>Significantly Rural</v>
      </c>
      <c r="H1046" s="223" t="str">
        <f>VLOOKUP($B1046,'FRS geographical categories'!$A$2:$C$45,3,FALSE)</f>
        <v>Non-metropolitan</v>
      </c>
      <c r="I1046" s="224">
        <v>0</v>
      </c>
    </row>
    <row r="1047" spans="1:9" ht="15.5" x14ac:dyDescent="0.35">
      <c r="A1047" s="224" t="s">
        <v>54</v>
      </c>
      <c r="B1047" s="224" t="s">
        <v>93</v>
      </c>
      <c r="C1047" s="224" t="s">
        <v>89</v>
      </c>
      <c r="D1047" s="224" t="s">
        <v>55</v>
      </c>
      <c r="E1047" s="224" t="s">
        <v>256</v>
      </c>
      <c r="F1047" s="224" t="s">
        <v>10</v>
      </c>
      <c r="G1047" s="223" t="str">
        <f>VLOOKUP($B1047,'FRS geographical categories'!$A$2:$C$45,2,FALSE)</f>
        <v>Significantly Rural</v>
      </c>
      <c r="H1047" s="223" t="str">
        <f>VLOOKUP($B1047,'FRS geographical categories'!$A$2:$C$45,3,FALSE)</f>
        <v>Non-metropolitan</v>
      </c>
      <c r="I1047" s="224">
        <v>0</v>
      </c>
    </row>
    <row r="1048" spans="1:9" ht="15.5" x14ac:dyDescent="0.35">
      <c r="A1048" s="224" t="s">
        <v>54</v>
      </c>
      <c r="B1048" s="224" t="s">
        <v>28</v>
      </c>
      <c r="C1048" s="224" t="s">
        <v>86</v>
      </c>
      <c r="D1048" s="224" t="s">
        <v>9</v>
      </c>
      <c r="E1048" s="224" t="s">
        <v>256</v>
      </c>
      <c r="F1048" s="224" t="s">
        <v>248</v>
      </c>
      <c r="G1048" s="223" t="str">
        <f>VLOOKUP($B1048,'FRS geographical categories'!$A$2:$C$45,2,FALSE)</f>
        <v>Significantly Rural</v>
      </c>
      <c r="H1048" s="223" t="str">
        <f>VLOOKUP($B1048,'FRS geographical categories'!$A$2:$C$45,3,FALSE)</f>
        <v>Non-metropolitan</v>
      </c>
      <c r="I1048" s="224">
        <v>41</v>
      </c>
    </row>
    <row r="1049" spans="1:9" ht="15.5" x14ac:dyDescent="0.35">
      <c r="A1049" s="224" t="s">
        <v>54</v>
      </c>
      <c r="B1049" s="224" t="s">
        <v>28</v>
      </c>
      <c r="C1049" s="224" t="s">
        <v>86</v>
      </c>
      <c r="D1049" s="224" t="s">
        <v>9</v>
      </c>
      <c r="E1049" s="224" t="s">
        <v>256</v>
      </c>
      <c r="F1049" s="224" t="s">
        <v>249</v>
      </c>
      <c r="G1049" s="223" t="str">
        <f>VLOOKUP($B1049,'FRS geographical categories'!$A$2:$C$45,2,FALSE)</f>
        <v>Significantly Rural</v>
      </c>
      <c r="H1049" s="223" t="str">
        <f>VLOOKUP($B1049,'FRS geographical categories'!$A$2:$C$45,3,FALSE)</f>
        <v>Non-metropolitan</v>
      </c>
      <c r="I1049" s="224">
        <v>348</v>
      </c>
    </row>
    <row r="1050" spans="1:9" ht="15.5" x14ac:dyDescent="0.35">
      <c r="A1050" s="224" t="s">
        <v>54</v>
      </c>
      <c r="B1050" s="224" t="s">
        <v>28</v>
      </c>
      <c r="C1050" s="224" t="s">
        <v>86</v>
      </c>
      <c r="D1050" s="224" t="s">
        <v>9</v>
      </c>
      <c r="E1050" s="224" t="s">
        <v>256</v>
      </c>
      <c r="F1050" s="224" t="s">
        <v>250</v>
      </c>
      <c r="G1050" s="223" t="str">
        <f>VLOOKUP($B1050,'FRS geographical categories'!$A$2:$C$45,2,FALSE)</f>
        <v>Significantly Rural</v>
      </c>
      <c r="H1050" s="223" t="str">
        <f>VLOOKUP($B1050,'FRS geographical categories'!$A$2:$C$45,3,FALSE)</f>
        <v>Non-metropolitan</v>
      </c>
      <c r="I1050" s="224">
        <v>1112</v>
      </c>
    </row>
    <row r="1051" spans="1:9" ht="15.5" x14ac:dyDescent="0.35">
      <c r="A1051" s="224" t="s">
        <v>54</v>
      </c>
      <c r="B1051" s="224" t="s">
        <v>28</v>
      </c>
      <c r="C1051" s="224" t="s">
        <v>86</v>
      </c>
      <c r="D1051" s="224" t="s">
        <v>9</v>
      </c>
      <c r="E1051" s="224" t="s">
        <v>256</v>
      </c>
      <c r="F1051" s="224" t="s">
        <v>111</v>
      </c>
      <c r="G1051" s="223" t="str">
        <f>VLOOKUP($B1051,'FRS geographical categories'!$A$2:$C$45,2,FALSE)</f>
        <v>Significantly Rural</v>
      </c>
      <c r="H1051" s="223" t="str">
        <f>VLOOKUP($B1051,'FRS geographical categories'!$A$2:$C$45,3,FALSE)</f>
        <v>Non-metropolitan</v>
      </c>
      <c r="I1051" s="224">
        <v>545</v>
      </c>
    </row>
    <row r="1052" spans="1:9" ht="15.5" x14ac:dyDescent="0.35">
      <c r="A1052" s="224" t="s">
        <v>54</v>
      </c>
      <c r="B1052" s="224" t="s">
        <v>28</v>
      </c>
      <c r="C1052" s="224" t="s">
        <v>86</v>
      </c>
      <c r="D1052" s="224" t="s">
        <v>9</v>
      </c>
      <c r="E1052" s="224" t="s">
        <v>256</v>
      </c>
      <c r="F1052" s="224" t="s">
        <v>10</v>
      </c>
      <c r="G1052" s="223" t="str">
        <f>VLOOKUP($B1052,'FRS geographical categories'!$A$2:$C$45,2,FALSE)</f>
        <v>Significantly Rural</v>
      </c>
      <c r="H1052" s="223" t="str">
        <f>VLOOKUP($B1052,'FRS geographical categories'!$A$2:$C$45,3,FALSE)</f>
        <v>Non-metropolitan</v>
      </c>
      <c r="I1052" s="224">
        <v>2046</v>
      </c>
    </row>
    <row r="1053" spans="1:9" ht="15.5" x14ac:dyDescent="0.35">
      <c r="A1053" s="224" t="s">
        <v>54</v>
      </c>
      <c r="B1053" s="224" t="s">
        <v>28</v>
      </c>
      <c r="C1053" s="224" t="s">
        <v>86</v>
      </c>
      <c r="D1053" s="224" t="s">
        <v>55</v>
      </c>
      <c r="E1053" s="224" t="s">
        <v>256</v>
      </c>
      <c r="F1053" s="224" t="s">
        <v>248</v>
      </c>
      <c r="G1053" s="223" t="str">
        <f>VLOOKUP($B1053,'FRS geographical categories'!$A$2:$C$45,2,FALSE)</f>
        <v>Significantly Rural</v>
      </c>
      <c r="H1053" s="223" t="str">
        <f>VLOOKUP($B1053,'FRS geographical categories'!$A$2:$C$45,3,FALSE)</f>
        <v>Non-metropolitan</v>
      </c>
      <c r="I1053" s="224">
        <v>0</v>
      </c>
    </row>
    <row r="1054" spans="1:9" ht="15.5" x14ac:dyDescent="0.35">
      <c r="A1054" s="224" t="s">
        <v>54</v>
      </c>
      <c r="B1054" s="224" t="s">
        <v>28</v>
      </c>
      <c r="C1054" s="224" t="s">
        <v>86</v>
      </c>
      <c r="D1054" s="224" t="s">
        <v>55</v>
      </c>
      <c r="E1054" s="224" t="s">
        <v>256</v>
      </c>
      <c r="F1054" s="224" t="s">
        <v>249</v>
      </c>
      <c r="G1054" s="223" t="str">
        <f>VLOOKUP($B1054,'FRS geographical categories'!$A$2:$C$45,2,FALSE)</f>
        <v>Significantly Rural</v>
      </c>
      <c r="H1054" s="223" t="str">
        <f>VLOOKUP($B1054,'FRS geographical categories'!$A$2:$C$45,3,FALSE)</f>
        <v>Non-metropolitan</v>
      </c>
      <c r="I1054" s="224">
        <v>0</v>
      </c>
    </row>
    <row r="1055" spans="1:9" ht="15.5" x14ac:dyDescent="0.35">
      <c r="A1055" s="224" t="s">
        <v>54</v>
      </c>
      <c r="B1055" s="224" t="s">
        <v>28</v>
      </c>
      <c r="C1055" s="224" t="s">
        <v>86</v>
      </c>
      <c r="D1055" s="224" t="s">
        <v>55</v>
      </c>
      <c r="E1055" s="224" t="s">
        <v>256</v>
      </c>
      <c r="F1055" s="224" t="s">
        <v>250</v>
      </c>
      <c r="G1055" s="223" t="str">
        <f>VLOOKUP($B1055,'FRS geographical categories'!$A$2:$C$45,2,FALSE)</f>
        <v>Significantly Rural</v>
      </c>
      <c r="H1055" s="223" t="str">
        <f>VLOOKUP($B1055,'FRS geographical categories'!$A$2:$C$45,3,FALSE)</f>
        <v>Non-metropolitan</v>
      </c>
      <c r="I1055" s="224">
        <v>0</v>
      </c>
    </row>
    <row r="1056" spans="1:9" ht="15.5" x14ac:dyDescent="0.35">
      <c r="A1056" s="224" t="s">
        <v>54</v>
      </c>
      <c r="B1056" s="224" t="s">
        <v>28</v>
      </c>
      <c r="C1056" s="224" t="s">
        <v>86</v>
      </c>
      <c r="D1056" s="224" t="s">
        <v>55</v>
      </c>
      <c r="E1056" s="224" t="s">
        <v>256</v>
      </c>
      <c r="F1056" s="224" t="s">
        <v>111</v>
      </c>
      <c r="G1056" s="223" t="str">
        <f>VLOOKUP($B1056,'FRS geographical categories'!$A$2:$C$45,2,FALSE)</f>
        <v>Significantly Rural</v>
      </c>
      <c r="H1056" s="223" t="str">
        <f>VLOOKUP($B1056,'FRS geographical categories'!$A$2:$C$45,3,FALSE)</f>
        <v>Non-metropolitan</v>
      </c>
      <c r="I1056" s="224">
        <v>290</v>
      </c>
    </row>
    <row r="1057" spans="1:9" ht="15.5" x14ac:dyDescent="0.35">
      <c r="A1057" s="224" t="s">
        <v>54</v>
      </c>
      <c r="B1057" s="224" t="s">
        <v>28</v>
      </c>
      <c r="C1057" s="224" t="s">
        <v>86</v>
      </c>
      <c r="D1057" s="224" t="s">
        <v>55</v>
      </c>
      <c r="E1057" s="224" t="s">
        <v>256</v>
      </c>
      <c r="F1057" s="224" t="s">
        <v>10</v>
      </c>
      <c r="G1057" s="223" t="str">
        <f>VLOOKUP($B1057,'FRS geographical categories'!$A$2:$C$45,2,FALSE)</f>
        <v>Significantly Rural</v>
      </c>
      <c r="H1057" s="223" t="str">
        <f>VLOOKUP($B1057,'FRS geographical categories'!$A$2:$C$45,3,FALSE)</f>
        <v>Non-metropolitan</v>
      </c>
      <c r="I1057" s="224">
        <v>290</v>
      </c>
    </row>
    <row r="1058" spans="1:9" ht="15.5" x14ac:dyDescent="0.35">
      <c r="A1058" s="224" t="s">
        <v>54</v>
      </c>
      <c r="B1058" s="224" t="s">
        <v>28</v>
      </c>
      <c r="C1058" s="224" t="s">
        <v>89</v>
      </c>
      <c r="D1058" s="224" t="s">
        <v>9</v>
      </c>
      <c r="E1058" s="224" t="s">
        <v>256</v>
      </c>
      <c r="F1058" s="224" t="s">
        <v>248</v>
      </c>
      <c r="G1058" s="223" t="str">
        <f>VLOOKUP($B1058,'FRS geographical categories'!$A$2:$C$45,2,FALSE)</f>
        <v>Significantly Rural</v>
      </c>
      <c r="H1058" s="223" t="str">
        <f>VLOOKUP($B1058,'FRS geographical categories'!$A$2:$C$45,3,FALSE)</f>
        <v>Non-metropolitan</v>
      </c>
      <c r="I1058" s="224">
        <v>0</v>
      </c>
    </row>
    <row r="1059" spans="1:9" ht="15.5" x14ac:dyDescent="0.35">
      <c r="A1059" s="224" t="s">
        <v>54</v>
      </c>
      <c r="B1059" s="224" t="s">
        <v>28</v>
      </c>
      <c r="C1059" s="224" t="s">
        <v>89</v>
      </c>
      <c r="D1059" s="224" t="s">
        <v>9</v>
      </c>
      <c r="E1059" s="224" t="s">
        <v>256</v>
      </c>
      <c r="F1059" s="224" t="s">
        <v>249</v>
      </c>
      <c r="G1059" s="223" t="str">
        <f>VLOOKUP($B1059,'FRS geographical categories'!$A$2:$C$45,2,FALSE)</f>
        <v>Significantly Rural</v>
      </c>
      <c r="H1059" s="223" t="str">
        <f>VLOOKUP($B1059,'FRS geographical categories'!$A$2:$C$45,3,FALSE)</f>
        <v>Non-metropolitan</v>
      </c>
      <c r="I1059" s="224">
        <v>0</v>
      </c>
    </row>
    <row r="1060" spans="1:9" ht="15.5" x14ac:dyDescent="0.35">
      <c r="A1060" s="224" t="s">
        <v>54</v>
      </c>
      <c r="B1060" s="224" t="s">
        <v>28</v>
      </c>
      <c r="C1060" s="224" t="s">
        <v>89</v>
      </c>
      <c r="D1060" s="224" t="s">
        <v>9</v>
      </c>
      <c r="E1060" s="224" t="s">
        <v>256</v>
      </c>
      <c r="F1060" s="224" t="s">
        <v>250</v>
      </c>
      <c r="G1060" s="223" t="str">
        <f>VLOOKUP($B1060,'FRS geographical categories'!$A$2:$C$45,2,FALSE)</f>
        <v>Significantly Rural</v>
      </c>
      <c r="H1060" s="223" t="str">
        <f>VLOOKUP($B1060,'FRS geographical categories'!$A$2:$C$45,3,FALSE)</f>
        <v>Non-metropolitan</v>
      </c>
      <c r="I1060" s="224">
        <v>0</v>
      </c>
    </row>
    <row r="1061" spans="1:9" ht="15.5" x14ac:dyDescent="0.35">
      <c r="A1061" s="224" t="s">
        <v>54</v>
      </c>
      <c r="B1061" s="224" t="s">
        <v>28</v>
      </c>
      <c r="C1061" s="224" t="s">
        <v>89</v>
      </c>
      <c r="D1061" s="224" t="s">
        <v>9</v>
      </c>
      <c r="E1061" s="224" t="s">
        <v>256</v>
      </c>
      <c r="F1061" s="224" t="s">
        <v>10</v>
      </c>
      <c r="G1061" s="223" t="str">
        <f>VLOOKUP($B1061,'FRS geographical categories'!$A$2:$C$45,2,FALSE)</f>
        <v>Significantly Rural</v>
      </c>
      <c r="H1061" s="223" t="str">
        <f>VLOOKUP($B1061,'FRS geographical categories'!$A$2:$C$45,3,FALSE)</f>
        <v>Non-metropolitan</v>
      </c>
      <c r="I1061" s="224">
        <v>0</v>
      </c>
    </row>
    <row r="1062" spans="1:9" ht="15.5" x14ac:dyDescent="0.35">
      <c r="A1062" s="224" t="s">
        <v>54</v>
      </c>
      <c r="B1062" s="224" t="s">
        <v>28</v>
      </c>
      <c r="C1062" s="224" t="s">
        <v>89</v>
      </c>
      <c r="D1062" s="224" t="s">
        <v>55</v>
      </c>
      <c r="E1062" s="224" t="s">
        <v>256</v>
      </c>
      <c r="F1062" s="224" t="s">
        <v>248</v>
      </c>
      <c r="G1062" s="223" t="str">
        <f>VLOOKUP($B1062,'FRS geographical categories'!$A$2:$C$45,2,FALSE)</f>
        <v>Significantly Rural</v>
      </c>
      <c r="H1062" s="223" t="str">
        <f>VLOOKUP($B1062,'FRS geographical categories'!$A$2:$C$45,3,FALSE)</f>
        <v>Non-metropolitan</v>
      </c>
      <c r="I1062" s="224">
        <v>0</v>
      </c>
    </row>
    <row r="1063" spans="1:9" ht="15.5" x14ac:dyDescent="0.35">
      <c r="A1063" s="224" t="s">
        <v>54</v>
      </c>
      <c r="B1063" s="224" t="s">
        <v>28</v>
      </c>
      <c r="C1063" s="224" t="s">
        <v>89</v>
      </c>
      <c r="D1063" s="224" t="s">
        <v>55</v>
      </c>
      <c r="E1063" s="224" t="s">
        <v>256</v>
      </c>
      <c r="F1063" s="224" t="s">
        <v>249</v>
      </c>
      <c r="G1063" s="223" t="str">
        <f>VLOOKUP($B1063,'FRS geographical categories'!$A$2:$C$45,2,FALSE)</f>
        <v>Significantly Rural</v>
      </c>
      <c r="H1063" s="223" t="str">
        <f>VLOOKUP($B1063,'FRS geographical categories'!$A$2:$C$45,3,FALSE)</f>
        <v>Non-metropolitan</v>
      </c>
      <c r="I1063" s="224">
        <v>0</v>
      </c>
    </row>
    <row r="1064" spans="1:9" ht="15.5" x14ac:dyDescent="0.35">
      <c r="A1064" s="224" t="s">
        <v>54</v>
      </c>
      <c r="B1064" s="224" t="s">
        <v>28</v>
      </c>
      <c r="C1064" s="224" t="s">
        <v>89</v>
      </c>
      <c r="D1064" s="224" t="s">
        <v>55</v>
      </c>
      <c r="E1064" s="224" t="s">
        <v>256</v>
      </c>
      <c r="F1064" s="224" t="s">
        <v>250</v>
      </c>
      <c r="G1064" s="223" t="str">
        <f>VLOOKUP($B1064,'FRS geographical categories'!$A$2:$C$45,2,FALSE)</f>
        <v>Significantly Rural</v>
      </c>
      <c r="H1064" s="223" t="str">
        <f>VLOOKUP($B1064,'FRS geographical categories'!$A$2:$C$45,3,FALSE)</f>
        <v>Non-metropolitan</v>
      </c>
      <c r="I1064" s="224">
        <v>0</v>
      </c>
    </row>
    <row r="1065" spans="1:9" ht="15.5" x14ac:dyDescent="0.35">
      <c r="A1065" s="224" t="s">
        <v>54</v>
      </c>
      <c r="B1065" s="224" t="s">
        <v>28</v>
      </c>
      <c r="C1065" s="224" t="s">
        <v>89</v>
      </c>
      <c r="D1065" s="224" t="s">
        <v>55</v>
      </c>
      <c r="E1065" s="224" t="s">
        <v>256</v>
      </c>
      <c r="F1065" s="224" t="s">
        <v>10</v>
      </c>
      <c r="G1065" s="223" t="str">
        <f>VLOOKUP($B1065,'FRS geographical categories'!$A$2:$C$45,2,FALSE)</f>
        <v>Significantly Rural</v>
      </c>
      <c r="H1065" s="223" t="str">
        <f>VLOOKUP($B1065,'FRS geographical categories'!$A$2:$C$45,3,FALSE)</f>
        <v>Non-metropolitan</v>
      </c>
      <c r="I1065" s="224">
        <v>0</v>
      </c>
    </row>
    <row r="1066" spans="1:9" ht="15.5" x14ac:dyDescent="0.35">
      <c r="A1066" s="224" t="s">
        <v>54</v>
      </c>
      <c r="B1066" s="224" t="s">
        <v>29</v>
      </c>
      <c r="C1066" s="224" t="s">
        <v>86</v>
      </c>
      <c r="D1066" s="224" t="s">
        <v>9</v>
      </c>
      <c r="E1066" s="224" t="s">
        <v>256</v>
      </c>
      <c r="F1066" s="224" t="s">
        <v>248</v>
      </c>
      <c r="G1066" s="223" t="str">
        <f>VLOOKUP($B1066,'FRS geographical categories'!$A$2:$C$45,2,FALSE)</f>
        <v>Predominantly Urban</v>
      </c>
      <c r="H1066" s="223" t="str">
        <f>VLOOKUP($B1066,'FRS geographical categories'!$A$2:$C$45,3,FALSE)</f>
        <v>Non-metropolitan</v>
      </c>
      <c r="I1066" s="224">
        <v>134</v>
      </c>
    </row>
    <row r="1067" spans="1:9" ht="15.5" x14ac:dyDescent="0.35">
      <c r="A1067" s="224" t="s">
        <v>54</v>
      </c>
      <c r="B1067" s="224" t="s">
        <v>29</v>
      </c>
      <c r="C1067" s="224" t="s">
        <v>86</v>
      </c>
      <c r="D1067" s="224" t="s">
        <v>9</v>
      </c>
      <c r="E1067" s="224" t="s">
        <v>256</v>
      </c>
      <c r="F1067" s="224" t="s">
        <v>249</v>
      </c>
      <c r="G1067" s="223" t="str">
        <f>VLOOKUP($B1067,'FRS geographical categories'!$A$2:$C$45,2,FALSE)</f>
        <v>Predominantly Urban</v>
      </c>
      <c r="H1067" s="223" t="str">
        <f>VLOOKUP($B1067,'FRS geographical categories'!$A$2:$C$45,3,FALSE)</f>
        <v>Non-metropolitan</v>
      </c>
      <c r="I1067" s="224">
        <v>377</v>
      </c>
    </row>
    <row r="1068" spans="1:9" ht="15.5" x14ac:dyDescent="0.35">
      <c r="A1068" s="224" t="s">
        <v>54</v>
      </c>
      <c r="B1068" s="224" t="s">
        <v>29</v>
      </c>
      <c r="C1068" s="224" t="s">
        <v>86</v>
      </c>
      <c r="D1068" s="224" t="s">
        <v>9</v>
      </c>
      <c r="E1068" s="224" t="s">
        <v>256</v>
      </c>
      <c r="F1068" s="224" t="s">
        <v>250</v>
      </c>
      <c r="G1068" s="223" t="str">
        <f>VLOOKUP($B1068,'FRS geographical categories'!$A$2:$C$45,2,FALSE)</f>
        <v>Predominantly Urban</v>
      </c>
      <c r="H1068" s="223" t="str">
        <f>VLOOKUP($B1068,'FRS geographical categories'!$A$2:$C$45,3,FALSE)</f>
        <v>Non-metropolitan</v>
      </c>
      <c r="I1068" s="224">
        <v>1143</v>
      </c>
    </row>
    <row r="1069" spans="1:9" ht="15.5" x14ac:dyDescent="0.35">
      <c r="A1069" s="224" t="s">
        <v>54</v>
      </c>
      <c r="B1069" s="224" t="s">
        <v>29</v>
      </c>
      <c r="C1069" s="224" t="s">
        <v>86</v>
      </c>
      <c r="D1069" s="224" t="s">
        <v>9</v>
      </c>
      <c r="E1069" s="224" t="s">
        <v>256</v>
      </c>
      <c r="F1069" s="224" t="s">
        <v>111</v>
      </c>
      <c r="G1069" s="223" t="str">
        <f>VLOOKUP($B1069,'FRS geographical categories'!$A$2:$C$45,2,FALSE)</f>
        <v>Predominantly Urban</v>
      </c>
      <c r="H1069" s="223" t="str">
        <f>VLOOKUP($B1069,'FRS geographical categories'!$A$2:$C$45,3,FALSE)</f>
        <v>Non-metropolitan</v>
      </c>
      <c r="I1069" s="224">
        <v>1235</v>
      </c>
    </row>
    <row r="1070" spans="1:9" ht="15.5" x14ac:dyDescent="0.35">
      <c r="A1070" s="224" t="s">
        <v>54</v>
      </c>
      <c r="B1070" s="224" t="s">
        <v>29</v>
      </c>
      <c r="C1070" s="224" t="s">
        <v>86</v>
      </c>
      <c r="D1070" s="224" t="s">
        <v>9</v>
      </c>
      <c r="E1070" s="224" t="s">
        <v>256</v>
      </c>
      <c r="F1070" s="224" t="s">
        <v>10</v>
      </c>
      <c r="G1070" s="223" t="str">
        <f>VLOOKUP($B1070,'FRS geographical categories'!$A$2:$C$45,2,FALSE)</f>
        <v>Predominantly Urban</v>
      </c>
      <c r="H1070" s="223" t="str">
        <f>VLOOKUP($B1070,'FRS geographical categories'!$A$2:$C$45,3,FALSE)</f>
        <v>Non-metropolitan</v>
      </c>
      <c r="I1070" s="224">
        <v>4368</v>
      </c>
    </row>
    <row r="1071" spans="1:9" ht="15.5" x14ac:dyDescent="0.35">
      <c r="A1071" s="224" t="s">
        <v>54</v>
      </c>
      <c r="B1071" s="224" t="s">
        <v>29</v>
      </c>
      <c r="C1071" s="224" t="s">
        <v>86</v>
      </c>
      <c r="D1071" s="224" t="s">
        <v>55</v>
      </c>
      <c r="E1071" s="224" t="s">
        <v>256</v>
      </c>
      <c r="F1071" s="224" t="s">
        <v>248</v>
      </c>
      <c r="G1071" s="223" t="str">
        <f>VLOOKUP($B1071,'FRS geographical categories'!$A$2:$C$45,2,FALSE)</f>
        <v>Predominantly Urban</v>
      </c>
      <c r="H1071" s="223" t="str">
        <f>VLOOKUP($B1071,'FRS geographical categories'!$A$2:$C$45,3,FALSE)</f>
        <v>Non-metropolitan</v>
      </c>
      <c r="I1071" s="224">
        <v>6</v>
      </c>
    </row>
    <row r="1072" spans="1:9" ht="15.5" x14ac:dyDescent="0.35">
      <c r="A1072" s="224" t="s">
        <v>54</v>
      </c>
      <c r="B1072" s="224" t="s">
        <v>29</v>
      </c>
      <c r="C1072" s="224" t="s">
        <v>86</v>
      </c>
      <c r="D1072" s="224" t="s">
        <v>55</v>
      </c>
      <c r="E1072" s="224" t="s">
        <v>256</v>
      </c>
      <c r="F1072" s="224" t="s">
        <v>249</v>
      </c>
      <c r="G1072" s="223" t="str">
        <f>VLOOKUP($B1072,'FRS geographical categories'!$A$2:$C$45,2,FALSE)</f>
        <v>Predominantly Urban</v>
      </c>
      <c r="H1072" s="223" t="str">
        <f>VLOOKUP($B1072,'FRS geographical categories'!$A$2:$C$45,3,FALSE)</f>
        <v>Non-metropolitan</v>
      </c>
      <c r="I1072" s="224">
        <v>11</v>
      </c>
    </row>
    <row r="1073" spans="1:9" ht="15.5" x14ac:dyDescent="0.35">
      <c r="A1073" s="224" t="s">
        <v>54</v>
      </c>
      <c r="B1073" s="224" t="s">
        <v>29</v>
      </c>
      <c r="C1073" s="224" t="s">
        <v>86</v>
      </c>
      <c r="D1073" s="224" t="s">
        <v>55</v>
      </c>
      <c r="E1073" s="224" t="s">
        <v>256</v>
      </c>
      <c r="F1073" s="224" t="s">
        <v>250</v>
      </c>
      <c r="G1073" s="223" t="str">
        <f>VLOOKUP($B1073,'FRS geographical categories'!$A$2:$C$45,2,FALSE)</f>
        <v>Predominantly Urban</v>
      </c>
      <c r="H1073" s="223" t="str">
        <f>VLOOKUP($B1073,'FRS geographical categories'!$A$2:$C$45,3,FALSE)</f>
        <v>Non-metropolitan</v>
      </c>
      <c r="I1073" s="224">
        <v>37</v>
      </c>
    </row>
    <row r="1074" spans="1:9" ht="15.5" x14ac:dyDescent="0.35">
      <c r="A1074" s="224" t="s">
        <v>54</v>
      </c>
      <c r="B1074" s="224" t="s">
        <v>29</v>
      </c>
      <c r="C1074" s="224" t="s">
        <v>86</v>
      </c>
      <c r="D1074" s="224" t="s">
        <v>55</v>
      </c>
      <c r="E1074" s="224" t="s">
        <v>256</v>
      </c>
      <c r="F1074" s="224" t="s">
        <v>111</v>
      </c>
      <c r="G1074" s="223" t="str">
        <f>VLOOKUP($B1074,'FRS geographical categories'!$A$2:$C$45,2,FALSE)</f>
        <v>Predominantly Urban</v>
      </c>
      <c r="H1074" s="223" t="str">
        <f>VLOOKUP($B1074,'FRS geographical categories'!$A$2:$C$45,3,FALSE)</f>
        <v>Non-metropolitan</v>
      </c>
      <c r="I1074" s="224">
        <v>32</v>
      </c>
    </row>
    <row r="1075" spans="1:9" ht="15.5" x14ac:dyDescent="0.35">
      <c r="A1075" s="224" t="s">
        <v>54</v>
      </c>
      <c r="B1075" s="224" t="s">
        <v>29</v>
      </c>
      <c r="C1075" s="224" t="s">
        <v>86</v>
      </c>
      <c r="D1075" s="224" t="s">
        <v>55</v>
      </c>
      <c r="E1075" s="224" t="s">
        <v>256</v>
      </c>
      <c r="F1075" s="224" t="s">
        <v>10</v>
      </c>
      <c r="G1075" s="223" t="str">
        <f>VLOOKUP($B1075,'FRS geographical categories'!$A$2:$C$45,2,FALSE)</f>
        <v>Predominantly Urban</v>
      </c>
      <c r="H1075" s="223" t="str">
        <f>VLOOKUP($B1075,'FRS geographical categories'!$A$2:$C$45,3,FALSE)</f>
        <v>Non-metropolitan</v>
      </c>
      <c r="I1075" s="224">
        <v>96</v>
      </c>
    </row>
    <row r="1076" spans="1:9" ht="15.5" x14ac:dyDescent="0.35">
      <c r="A1076" s="224" t="s">
        <v>54</v>
      </c>
      <c r="B1076" s="224" t="s">
        <v>29</v>
      </c>
      <c r="C1076" s="224" t="s">
        <v>89</v>
      </c>
      <c r="D1076" s="224" t="s">
        <v>9</v>
      </c>
      <c r="E1076" s="224" t="s">
        <v>256</v>
      </c>
      <c r="F1076" s="224" t="s">
        <v>248</v>
      </c>
      <c r="G1076" s="223" t="str">
        <f>VLOOKUP($B1076,'FRS geographical categories'!$A$2:$C$45,2,FALSE)</f>
        <v>Predominantly Urban</v>
      </c>
      <c r="H1076" s="223" t="str">
        <f>VLOOKUP($B1076,'FRS geographical categories'!$A$2:$C$45,3,FALSE)</f>
        <v>Non-metropolitan</v>
      </c>
      <c r="I1076" s="224">
        <v>0</v>
      </c>
    </row>
    <row r="1077" spans="1:9" ht="15.5" x14ac:dyDescent="0.35">
      <c r="A1077" s="224" t="s">
        <v>54</v>
      </c>
      <c r="B1077" s="224" t="s">
        <v>29</v>
      </c>
      <c r="C1077" s="224" t="s">
        <v>89</v>
      </c>
      <c r="D1077" s="224" t="s">
        <v>9</v>
      </c>
      <c r="E1077" s="224" t="s">
        <v>256</v>
      </c>
      <c r="F1077" s="224" t="s">
        <v>249</v>
      </c>
      <c r="G1077" s="223" t="str">
        <f>VLOOKUP($B1077,'FRS geographical categories'!$A$2:$C$45,2,FALSE)</f>
        <v>Predominantly Urban</v>
      </c>
      <c r="H1077" s="223" t="str">
        <f>VLOOKUP($B1077,'FRS geographical categories'!$A$2:$C$45,3,FALSE)</f>
        <v>Non-metropolitan</v>
      </c>
      <c r="I1077" s="224">
        <v>0</v>
      </c>
    </row>
    <row r="1078" spans="1:9" ht="15.5" x14ac:dyDescent="0.35">
      <c r="A1078" s="224" t="s">
        <v>54</v>
      </c>
      <c r="B1078" s="224" t="s">
        <v>29</v>
      </c>
      <c r="C1078" s="224" t="s">
        <v>89</v>
      </c>
      <c r="D1078" s="224" t="s">
        <v>9</v>
      </c>
      <c r="E1078" s="224" t="s">
        <v>256</v>
      </c>
      <c r="F1078" s="224" t="s">
        <v>250</v>
      </c>
      <c r="G1078" s="223" t="str">
        <f>VLOOKUP($B1078,'FRS geographical categories'!$A$2:$C$45,2,FALSE)</f>
        <v>Predominantly Urban</v>
      </c>
      <c r="H1078" s="223" t="str">
        <f>VLOOKUP($B1078,'FRS geographical categories'!$A$2:$C$45,3,FALSE)</f>
        <v>Non-metropolitan</v>
      </c>
      <c r="I1078" s="224">
        <v>0</v>
      </c>
    </row>
    <row r="1079" spans="1:9" ht="15.5" x14ac:dyDescent="0.35">
      <c r="A1079" s="224" t="s">
        <v>54</v>
      </c>
      <c r="B1079" s="224" t="s">
        <v>29</v>
      </c>
      <c r="C1079" s="224" t="s">
        <v>89</v>
      </c>
      <c r="D1079" s="224" t="s">
        <v>9</v>
      </c>
      <c r="E1079" s="224" t="s">
        <v>256</v>
      </c>
      <c r="F1079" s="224" t="s">
        <v>10</v>
      </c>
      <c r="G1079" s="223" t="str">
        <f>VLOOKUP($B1079,'FRS geographical categories'!$A$2:$C$45,2,FALSE)</f>
        <v>Predominantly Urban</v>
      </c>
      <c r="H1079" s="223" t="str">
        <f>VLOOKUP($B1079,'FRS geographical categories'!$A$2:$C$45,3,FALSE)</f>
        <v>Non-metropolitan</v>
      </c>
      <c r="I1079" s="224">
        <v>0</v>
      </c>
    </row>
    <row r="1080" spans="1:9" ht="15.5" x14ac:dyDescent="0.35">
      <c r="A1080" s="224" t="s">
        <v>54</v>
      </c>
      <c r="B1080" s="224" t="s">
        <v>29</v>
      </c>
      <c r="C1080" s="224" t="s">
        <v>89</v>
      </c>
      <c r="D1080" s="224" t="s">
        <v>55</v>
      </c>
      <c r="E1080" s="224" t="s">
        <v>256</v>
      </c>
      <c r="F1080" s="224" t="s">
        <v>248</v>
      </c>
      <c r="G1080" s="223" t="str">
        <f>VLOOKUP($B1080,'FRS geographical categories'!$A$2:$C$45,2,FALSE)</f>
        <v>Predominantly Urban</v>
      </c>
      <c r="H1080" s="223" t="str">
        <f>VLOOKUP($B1080,'FRS geographical categories'!$A$2:$C$45,3,FALSE)</f>
        <v>Non-metropolitan</v>
      </c>
      <c r="I1080" s="224">
        <v>0</v>
      </c>
    </row>
    <row r="1081" spans="1:9" ht="15.5" x14ac:dyDescent="0.35">
      <c r="A1081" s="224" t="s">
        <v>54</v>
      </c>
      <c r="B1081" s="224" t="s">
        <v>29</v>
      </c>
      <c r="C1081" s="224" t="s">
        <v>89</v>
      </c>
      <c r="D1081" s="224" t="s">
        <v>55</v>
      </c>
      <c r="E1081" s="224" t="s">
        <v>256</v>
      </c>
      <c r="F1081" s="224" t="s">
        <v>249</v>
      </c>
      <c r="G1081" s="223" t="str">
        <f>VLOOKUP($B1081,'FRS geographical categories'!$A$2:$C$45,2,FALSE)</f>
        <v>Predominantly Urban</v>
      </c>
      <c r="H1081" s="223" t="str">
        <f>VLOOKUP($B1081,'FRS geographical categories'!$A$2:$C$45,3,FALSE)</f>
        <v>Non-metropolitan</v>
      </c>
      <c r="I1081" s="224">
        <v>0</v>
      </c>
    </row>
    <row r="1082" spans="1:9" ht="15.5" x14ac:dyDescent="0.35">
      <c r="A1082" s="224" t="s">
        <v>54</v>
      </c>
      <c r="B1082" s="224" t="s">
        <v>29</v>
      </c>
      <c r="C1082" s="224" t="s">
        <v>89</v>
      </c>
      <c r="D1082" s="224" t="s">
        <v>55</v>
      </c>
      <c r="E1082" s="224" t="s">
        <v>256</v>
      </c>
      <c r="F1082" s="224" t="s">
        <v>250</v>
      </c>
      <c r="G1082" s="223" t="str">
        <f>VLOOKUP($B1082,'FRS geographical categories'!$A$2:$C$45,2,FALSE)</f>
        <v>Predominantly Urban</v>
      </c>
      <c r="H1082" s="223" t="str">
        <f>VLOOKUP($B1082,'FRS geographical categories'!$A$2:$C$45,3,FALSE)</f>
        <v>Non-metropolitan</v>
      </c>
      <c r="I1082" s="224">
        <v>0</v>
      </c>
    </row>
    <row r="1083" spans="1:9" ht="15.5" x14ac:dyDescent="0.35">
      <c r="A1083" s="224" t="s">
        <v>54</v>
      </c>
      <c r="B1083" s="224" t="s">
        <v>29</v>
      </c>
      <c r="C1083" s="224" t="s">
        <v>89</v>
      </c>
      <c r="D1083" s="224" t="s">
        <v>55</v>
      </c>
      <c r="E1083" s="224" t="s">
        <v>256</v>
      </c>
      <c r="F1083" s="224" t="s">
        <v>10</v>
      </c>
      <c r="G1083" s="223" t="str">
        <f>VLOOKUP($B1083,'FRS geographical categories'!$A$2:$C$45,2,FALSE)</f>
        <v>Predominantly Urban</v>
      </c>
      <c r="H1083" s="223" t="str">
        <f>VLOOKUP($B1083,'FRS geographical categories'!$A$2:$C$45,3,FALSE)</f>
        <v>Non-metropolitan</v>
      </c>
      <c r="I1083" s="224">
        <v>0</v>
      </c>
    </row>
    <row r="1084" spans="1:9" ht="15.5" x14ac:dyDescent="0.35">
      <c r="A1084" s="224" t="s">
        <v>54</v>
      </c>
      <c r="B1084" s="224" t="s">
        <v>30</v>
      </c>
      <c r="C1084" s="224" t="s">
        <v>86</v>
      </c>
      <c r="D1084" s="224" t="s">
        <v>9</v>
      </c>
      <c r="E1084" s="224" t="s">
        <v>256</v>
      </c>
      <c r="F1084" s="224" t="s">
        <v>248</v>
      </c>
      <c r="G1084" s="223" t="str">
        <f>VLOOKUP($B1084,'FRS geographical categories'!$A$2:$C$45,2,FALSE)</f>
        <v>Significantly Rural</v>
      </c>
      <c r="H1084" s="223" t="str">
        <f>VLOOKUP($B1084,'FRS geographical categories'!$A$2:$C$45,3,FALSE)</f>
        <v>Non-metropolitan</v>
      </c>
      <c r="I1084" s="224">
        <v>80</v>
      </c>
    </row>
    <row r="1085" spans="1:9" ht="15.5" x14ac:dyDescent="0.35">
      <c r="A1085" s="224" t="s">
        <v>54</v>
      </c>
      <c r="B1085" s="224" t="s">
        <v>30</v>
      </c>
      <c r="C1085" s="224" t="s">
        <v>86</v>
      </c>
      <c r="D1085" s="224" t="s">
        <v>9</v>
      </c>
      <c r="E1085" s="224" t="s">
        <v>256</v>
      </c>
      <c r="F1085" s="224" t="s">
        <v>249</v>
      </c>
      <c r="G1085" s="223" t="str">
        <f>VLOOKUP($B1085,'FRS geographical categories'!$A$2:$C$45,2,FALSE)</f>
        <v>Significantly Rural</v>
      </c>
      <c r="H1085" s="223" t="str">
        <f>VLOOKUP($B1085,'FRS geographical categories'!$A$2:$C$45,3,FALSE)</f>
        <v>Non-metropolitan</v>
      </c>
      <c r="I1085" s="224">
        <v>226</v>
      </c>
    </row>
    <row r="1086" spans="1:9" ht="15.5" x14ac:dyDescent="0.35">
      <c r="A1086" s="224" t="s">
        <v>54</v>
      </c>
      <c r="B1086" s="224" t="s">
        <v>30</v>
      </c>
      <c r="C1086" s="224" t="s">
        <v>86</v>
      </c>
      <c r="D1086" s="224" t="s">
        <v>9</v>
      </c>
      <c r="E1086" s="224" t="s">
        <v>256</v>
      </c>
      <c r="F1086" s="224" t="s">
        <v>250</v>
      </c>
      <c r="G1086" s="223" t="str">
        <f>VLOOKUP($B1086,'FRS geographical categories'!$A$2:$C$45,2,FALSE)</f>
        <v>Significantly Rural</v>
      </c>
      <c r="H1086" s="223" t="str">
        <f>VLOOKUP($B1086,'FRS geographical categories'!$A$2:$C$45,3,FALSE)</f>
        <v>Non-metropolitan</v>
      </c>
      <c r="I1086" s="224">
        <v>3060</v>
      </c>
    </row>
    <row r="1087" spans="1:9" ht="15.5" x14ac:dyDescent="0.35">
      <c r="A1087" s="224" t="s">
        <v>54</v>
      </c>
      <c r="B1087" s="224" t="s">
        <v>30</v>
      </c>
      <c r="C1087" s="224" t="s">
        <v>86</v>
      </c>
      <c r="D1087" s="224" t="s">
        <v>9</v>
      </c>
      <c r="E1087" s="224" t="s">
        <v>256</v>
      </c>
      <c r="F1087" s="224" t="s">
        <v>111</v>
      </c>
      <c r="G1087" s="223" t="str">
        <f>VLOOKUP($B1087,'FRS geographical categories'!$A$2:$C$45,2,FALSE)</f>
        <v>Significantly Rural</v>
      </c>
      <c r="H1087" s="223" t="str">
        <f>VLOOKUP($B1087,'FRS geographical categories'!$A$2:$C$45,3,FALSE)</f>
        <v>Non-metropolitan</v>
      </c>
      <c r="I1087" s="224">
        <v>4375</v>
      </c>
    </row>
    <row r="1088" spans="1:9" ht="15.5" x14ac:dyDescent="0.35">
      <c r="A1088" s="224" t="s">
        <v>54</v>
      </c>
      <c r="B1088" s="224" t="s">
        <v>30</v>
      </c>
      <c r="C1088" s="224" t="s">
        <v>86</v>
      </c>
      <c r="D1088" s="224" t="s">
        <v>9</v>
      </c>
      <c r="E1088" s="224" t="s">
        <v>256</v>
      </c>
      <c r="F1088" s="224" t="s">
        <v>10</v>
      </c>
      <c r="G1088" s="223" t="str">
        <f>VLOOKUP($B1088,'FRS geographical categories'!$A$2:$C$45,2,FALSE)</f>
        <v>Significantly Rural</v>
      </c>
      <c r="H1088" s="223" t="str">
        <f>VLOOKUP($B1088,'FRS geographical categories'!$A$2:$C$45,3,FALSE)</f>
        <v>Non-metropolitan</v>
      </c>
      <c r="I1088" s="224">
        <v>4639</v>
      </c>
    </row>
    <row r="1089" spans="1:9" ht="15.5" x14ac:dyDescent="0.35">
      <c r="A1089" s="224" t="s">
        <v>54</v>
      </c>
      <c r="B1089" s="224" t="s">
        <v>30</v>
      </c>
      <c r="C1089" s="224" t="s">
        <v>86</v>
      </c>
      <c r="D1089" s="224" t="s">
        <v>55</v>
      </c>
      <c r="E1089" s="224" t="s">
        <v>256</v>
      </c>
      <c r="F1089" s="224" t="s">
        <v>248</v>
      </c>
      <c r="G1089" s="223" t="str">
        <f>VLOOKUP($B1089,'FRS geographical categories'!$A$2:$C$45,2,FALSE)</f>
        <v>Significantly Rural</v>
      </c>
      <c r="H1089" s="223" t="str">
        <f>VLOOKUP($B1089,'FRS geographical categories'!$A$2:$C$45,3,FALSE)</f>
        <v>Non-metropolitan</v>
      </c>
      <c r="I1089" s="224">
        <v>3</v>
      </c>
    </row>
    <row r="1090" spans="1:9" ht="15.5" x14ac:dyDescent="0.35">
      <c r="A1090" s="224" t="s">
        <v>54</v>
      </c>
      <c r="B1090" s="224" t="s">
        <v>30</v>
      </c>
      <c r="C1090" s="224" t="s">
        <v>86</v>
      </c>
      <c r="D1090" s="224" t="s">
        <v>55</v>
      </c>
      <c r="E1090" s="224" t="s">
        <v>256</v>
      </c>
      <c r="F1090" s="224" t="s">
        <v>249</v>
      </c>
      <c r="G1090" s="223" t="str">
        <f>VLOOKUP($B1090,'FRS geographical categories'!$A$2:$C$45,2,FALSE)</f>
        <v>Significantly Rural</v>
      </c>
      <c r="H1090" s="223" t="str">
        <f>VLOOKUP($B1090,'FRS geographical categories'!$A$2:$C$45,3,FALSE)</f>
        <v>Non-metropolitan</v>
      </c>
      <c r="I1090" s="224">
        <v>11</v>
      </c>
    </row>
    <row r="1091" spans="1:9" ht="15.5" x14ac:dyDescent="0.35">
      <c r="A1091" s="224" t="s">
        <v>54</v>
      </c>
      <c r="B1091" s="224" t="s">
        <v>30</v>
      </c>
      <c r="C1091" s="224" t="s">
        <v>86</v>
      </c>
      <c r="D1091" s="224" t="s">
        <v>55</v>
      </c>
      <c r="E1091" s="224" t="s">
        <v>256</v>
      </c>
      <c r="F1091" s="224" t="s">
        <v>250</v>
      </c>
      <c r="G1091" s="223" t="str">
        <f>VLOOKUP($B1091,'FRS geographical categories'!$A$2:$C$45,2,FALSE)</f>
        <v>Significantly Rural</v>
      </c>
      <c r="H1091" s="223" t="str">
        <f>VLOOKUP($B1091,'FRS geographical categories'!$A$2:$C$45,3,FALSE)</f>
        <v>Non-metropolitan</v>
      </c>
      <c r="I1091" s="224">
        <v>79</v>
      </c>
    </row>
    <row r="1092" spans="1:9" ht="15.5" x14ac:dyDescent="0.35">
      <c r="A1092" s="224" t="s">
        <v>54</v>
      </c>
      <c r="B1092" s="224" t="s">
        <v>30</v>
      </c>
      <c r="C1092" s="224" t="s">
        <v>86</v>
      </c>
      <c r="D1092" s="224" t="s">
        <v>55</v>
      </c>
      <c r="E1092" s="224" t="s">
        <v>256</v>
      </c>
      <c r="F1092" s="224" t="s">
        <v>111</v>
      </c>
      <c r="G1092" s="223" t="str">
        <f>VLOOKUP($B1092,'FRS geographical categories'!$A$2:$C$45,2,FALSE)</f>
        <v>Significantly Rural</v>
      </c>
      <c r="H1092" s="223" t="str">
        <f>VLOOKUP($B1092,'FRS geographical categories'!$A$2:$C$45,3,FALSE)</f>
        <v>Non-metropolitan</v>
      </c>
      <c r="I1092" s="224">
        <v>145</v>
      </c>
    </row>
    <row r="1093" spans="1:9" ht="15.5" x14ac:dyDescent="0.35">
      <c r="A1093" s="224" t="s">
        <v>54</v>
      </c>
      <c r="B1093" s="224" t="s">
        <v>30</v>
      </c>
      <c r="C1093" s="224" t="s">
        <v>86</v>
      </c>
      <c r="D1093" s="224" t="s">
        <v>55</v>
      </c>
      <c r="E1093" s="224" t="s">
        <v>256</v>
      </c>
      <c r="F1093" s="224" t="s">
        <v>10</v>
      </c>
      <c r="G1093" s="223" t="str">
        <f>VLOOKUP($B1093,'FRS geographical categories'!$A$2:$C$45,2,FALSE)</f>
        <v>Significantly Rural</v>
      </c>
      <c r="H1093" s="223" t="str">
        <f>VLOOKUP($B1093,'FRS geographical categories'!$A$2:$C$45,3,FALSE)</f>
        <v>Non-metropolitan</v>
      </c>
      <c r="I1093" s="224">
        <v>153</v>
      </c>
    </row>
    <row r="1094" spans="1:9" ht="15.5" x14ac:dyDescent="0.35">
      <c r="A1094" s="224" t="s">
        <v>54</v>
      </c>
      <c r="B1094" s="224" t="s">
        <v>30</v>
      </c>
      <c r="C1094" s="224" t="s">
        <v>89</v>
      </c>
      <c r="D1094" s="224" t="s">
        <v>9</v>
      </c>
      <c r="E1094" s="224" t="s">
        <v>256</v>
      </c>
      <c r="F1094" s="224" t="s">
        <v>248</v>
      </c>
      <c r="G1094" s="223" t="str">
        <f>VLOOKUP($B1094,'FRS geographical categories'!$A$2:$C$45,2,FALSE)</f>
        <v>Significantly Rural</v>
      </c>
      <c r="H1094" s="223" t="str">
        <f>VLOOKUP($B1094,'FRS geographical categories'!$A$2:$C$45,3,FALSE)</f>
        <v>Non-metropolitan</v>
      </c>
      <c r="I1094" s="224">
        <v>0</v>
      </c>
    </row>
    <row r="1095" spans="1:9" ht="15.5" x14ac:dyDescent="0.35">
      <c r="A1095" s="224" t="s">
        <v>54</v>
      </c>
      <c r="B1095" s="224" t="s">
        <v>30</v>
      </c>
      <c r="C1095" s="224" t="s">
        <v>89</v>
      </c>
      <c r="D1095" s="224" t="s">
        <v>9</v>
      </c>
      <c r="E1095" s="224" t="s">
        <v>256</v>
      </c>
      <c r="F1095" s="224" t="s">
        <v>249</v>
      </c>
      <c r="G1095" s="223" t="str">
        <f>VLOOKUP($B1095,'FRS geographical categories'!$A$2:$C$45,2,FALSE)</f>
        <v>Significantly Rural</v>
      </c>
      <c r="H1095" s="223" t="str">
        <f>VLOOKUP($B1095,'FRS geographical categories'!$A$2:$C$45,3,FALSE)</f>
        <v>Non-metropolitan</v>
      </c>
      <c r="I1095" s="224">
        <v>0</v>
      </c>
    </row>
    <row r="1096" spans="1:9" ht="15.5" x14ac:dyDescent="0.35">
      <c r="A1096" s="224" t="s">
        <v>54</v>
      </c>
      <c r="B1096" s="224" t="s">
        <v>30</v>
      </c>
      <c r="C1096" s="224" t="s">
        <v>89</v>
      </c>
      <c r="D1096" s="224" t="s">
        <v>9</v>
      </c>
      <c r="E1096" s="224" t="s">
        <v>256</v>
      </c>
      <c r="F1096" s="224" t="s">
        <v>250</v>
      </c>
      <c r="G1096" s="223" t="str">
        <f>VLOOKUP($B1096,'FRS geographical categories'!$A$2:$C$45,2,FALSE)</f>
        <v>Significantly Rural</v>
      </c>
      <c r="H1096" s="223" t="str">
        <f>VLOOKUP($B1096,'FRS geographical categories'!$A$2:$C$45,3,FALSE)</f>
        <v>Non-metropolitan</v>
      </c>
      <c r="I1096" s="224">
        <v>0</v>
      </c>
    </row>
    <row r="1097" spans="1:9" ht="15.5" x14ac:dyDescent="0.35">
      <c r="A1097" s="224" t="s">
        <v>54</v>
      </c>
      <c r="B1097" s="224" t="s">
        <v>30</v>
      </c>
      <c r="C1097" s="224" t="s">
        <v>89</v>
      </c>
      <c r="D1097" s="224" t="s">
        <v>9</v>
      </c>
      <c r="E1097" s="224" t="s">
        <v>256</v>
      </c>
      <c r="F1097" s="224" t="s">
        <v>10</v>
      </c>
      <c r="G1097" s="223" t="str">
        <f>VLOOKUP($B1097,'FRS geographical categories'!$A$2:$C$45,2,FALSE)</f>
        <v>Significantly Rural</v>
      </c>
      <c r="H1097" s="223" t="str">
        <f>VLOOKUP($B1097,'FRS geographical categories'!$A$2:$C$45,3,FALSE)</f>
        <v>Non-metropolitan</v>
      </c>
      <c r="I1097" s="224">
        <v>0</v>
      </c>
    </row>
    <row r="1098" spans="1:9" ht="15.5" x14ac:dyDescent="0.35">
      <c r="A1098" s="224" t="s">
        <v>54</v>
      </c>
      <c r="B1098" s="224" t="s">
        <v>30</v>
      </c>
      <c r="C1098" s="224" t="s">
        <v>89</v>
      </c>
      <c r="D1098" s="224" t="s">
        <v>55</v>
      </c>
      <c r="E1098" s="224" t="s">
        <v>256</v>
      </c>
      <c r="F1098" s="224" t="s">
        <v>248</v>
      </c>
      <c r="G1098" s="223" t="str">
        <f>VLOOKUP($B1098,'FRS geographical categories'!$A$2:$C$45,2,FALSE)</f>
        <v>Significantly Rural</v>
      </c>
      <c r="H1098" s="223" t="str">
        <f>VLOOKUP($B1098,'FRS geographical categories'!$A$2:$C$45,3,FALSE)</f>
        <v>Non-metropolitan</v>
      </c>
      <c r="I1098" s="224">
        <v>0</v>
      </c>
    </row>
    <row r="1099" spans="1:9" ht="15.5" x14ac:dyDescent="0.35">
      <c r="A1099" s="224" t="s">
        <v>54</v>
      </c>
      <c r="B1099" s="224" t="s">
        <v>30</v>
      </c>
      <c r="C1099" s="224" t="s">
        <v>89</v>
      </c>
      <c r="D1099" s="224" t="s">
        <v>55</v>
      </c>
      <c r="E1099" s="224" t="s">
        <v>256</v>
      </c>
      <c r="F1099" s="224" t="s">
        <v>249</v>
      </c>
      <c r="G1099" s="223" t="str">
        <f>VLOOKUP($B1099,'FRS geographical categories'!$A$2:$C$45,2,FALSE)</f>
        <v>Significantly Rural</v>
      </c>
      <c r="H1099" s="223" t="str">
        <f>VLOOKUP($B1099,'FRS geographical categories'!$A$2:$C$45,3,FALSE)</f>
        <v>Non-metropolitan</v>
      </c>
      <c r="I1099" s="224">
        <v>0</v>
      </c>
    </row>
    <row r="1100" spans="1:9" ht="15.5" x14ac:dyDescent="0.35">
      <c r="A1100" s="224" t="s">
        <v>54</v>
      </c>
      <c r="B1100" s="224" t="s">
        <v>30</v>
      </c>
      <c r="C1100" s="224" t="s">
        <v>89</v>
      </c>
      <c r="D1100" s="224" t="s">
        <v>55</v>
      </c>
      <c r="E1100" s="224" t="s">
        <v>256</v>
      </c>
      <c r="F1100" s="224" t="s">
        <v>250</v>
      </c>
      <c r="G1100" s="223" t="str">
        <f>VLOOKUP($B1100,'FRS geographical categories'!$A$2:$C$45,2,FALSE)</f>
        <v>Significantly Rural</v>
      </c>
      <c r="H1100" s="223" t="str">
        <f>VLOOKUP($B1100,'FRS geographical categories'!$A$2:$C$45,3,FALSE)</f>
        <v>Non-metropolitan</v>
      </c>
      <c r="I1100" s="224">
        <v>0</v>
      </c>
    </row>
    <row r="1101" spans="1:9" ht="15.5" x14ac:dyDescent="0.35">
      <c r="A1101" s="224" t="s">
        <v>54</v>
      </c>
      <c r="B1101" s="224" t="s">
        <v>30</v>
      </c>
      <c r="C1101" s="224" t="s">
        <v>89</v>
      </c>
      <c r="D1101" s="224" t="s">
        <v>55</v>
      </c>
      <c r="E1101" s="224" t="s">
        <v>256</v>
      </c>
      <c r="F1101" s="224" t="s">
        <v>10</v>
      </c>
      <c r="G1101" s="223" t="str">
        <f>VLOOKUP($B1101,'FRS geographical categories'!$A$2:$C$45,2,FALSE)</f>
        <v>Significantly Rural</v>
      </c>
      <c r="H1101" s="223" t="str">
        <f>VLOOKUP($B1101,'FRS geographical categories'!$A$2:$C$45,3,FALSE)</f>
        <v>Non-metropolitan</v>
      </c>
      <c r="I1101" s="224">
        <v>0</v>
      </c>
    </row>
    <row r="1102" spans="1:9" ht="15.5" x14ac:dyDescent="0.35">
      <c r="A1102" s="224" t="s">
        <v>54</v>
      </c>
      <c r="B1102" s="224" t="s">
        <v>31</v>
      </c>
      <c r="C1102" s="224" t="s">
        <v>86</v>
      </c>
      <c r="D1102" s="224" t="s">
        <v>9</v>
      </c>
      <c r="E1102" s="224" t="s">
        <v>256</v>
      </c>
      <c r="F1102" s="224" t="s">
        <v>248</v>
      </c>
      <c r="G1102" s="223" t="str">
        <f>VLOOKUP($B1102,'FRS geographical categories'!$A$2:$C$45,2,FALSE)</f>
        <v>Predominantly Rural</v>
      </c>
      <c r="H1102" s="223" t="str">
        <f>VLOOKUP($B1102,'FRS geographical categories'!$A$2:$C$45,3,FALSE)</f>
        <v>Non-metropolitan</v>
      </c>
      <c r="I1102" s="224">
        <v>0</v>
      </c>
    </row>
    <row r="1103" spans="1:9" ht="15.5" x14ac:dyDescent="0.35">
      <c r="A1103" s="224" t="s">
        <v>54</v>
      </c>
      <c r="B1103" s="224" t="s">
        <v>31</v>
      </c>
      <c r="C1103" s="224" t="s">
        <v>86</v>
      </c>
      <c r="D1103" s="224" t="s">
        <v>9</v>
      </c>
      <c r="E1103" s="224" t="s">
        <v>256</v>
      </c>
      <c r="F1103" s="224" t="s">
        <v>249</v>
      </c>
      <c r="G1103" s="223" t="str">
        <f>VLOOKUP($B1103,'FRS geographical categories'!$A$2:$C$45,2,FALSE)</f>
        <v>Predominantly Rural</v>
      </c>
      <c r="H1103" s="223" t="str">
        <f>VLOOKUP($B1103,'FRS geographical categories'!$A$2:$C$45,3,FALSE)</f>
        <v>Non-metropolitan</v>
      </c>
      <c r="I1103" s="224">
        <v>5</v>
      </c>
    </row>
    <row r="1104" spans="1:9" ht="15.5" x14ac:dyDescent="0.35">
      <c r="A1104" s="224" t="s">
        <v>54</v>
      </c>
      <c r="B1104" s="224" t="s">
        <v>31</v>
      </c>
      <c r="C1104" s="224" t="s">
        <v>86</v>
      </c>
      <c r="D1104" s="224" t="s">
        <v>9</v>
      </c>
      <c r="E1104" s="224" t="s">
        <v>256</v>
      </c>
      <c r="F1104" s="224" t="s">
        <v>250</v>
      </c>
      <c r="G1104" s="223" t="str">
        <f>VLOOKUP($B1104,'FRS geographical categories'!$A$2:$C$45,2,FALSE)</f>
        <v>Predominantly Rural</v>
      </c>
      <c r="H1104" s="223" t="str">
        <f>VLOOKUP($B1104,'FRS geographical categories'!$A$2:$C$45,3,FALSE)</f>
        <v>Non-metropolitan</v>
      </c>
      <c r="I1104" s="224">
        <v>10</v>
      </c>
    </row>
    <row r="1105" spans="1:9" ht="15.5" x14ac:dyDescent="0.35">
      <c r="A1105" s="224" t="s">
        <v>54</v>
      </c>
      <c r="B1105" s="224" t="s">
        <v>31</v>
      </c>
      <c r="C1105" s="224" t="s">
        <v>86</v>
      </c>
      <c r="D1105" s="224" t="s">
        <v>9</v>
      </c>
      <c r="E1105" s="224" t="s">
        <v>256</v>
      </c>
      <c r="F1105" s="224" t="s">
        <v>111</v>
      </c>
      <c r="G1105" s="223" t="str">
        <f>VLOOKUP($B1105,'FRS geographical categories'!$A$2:$C$45,2,FALSE)</f>
        <v>Predominantly Rural</v>
      </c>
      <c r="H1105" s="223" t="str">
        <f>VLOOKUP($B1105,'FRS geographical categories'!$A$2:$C$45,3,FALSE)</f>
        <v>Non-metropolitan</v>
      </c>
      <c r="I1105" s="224">
        <v>15</v>
      </c>
    </row>
    <row r="1106" spans="1:9" ht="15.5" x14ac:dyDescent="0.35">
      <c r="A1106" s="224" t="s">
        <v>54</v>
      </c>
      <c r="B1106" s="224" t="s">
        <v>31</v>
      </c>
      <c r="C1106" s="224" t="s">
        <v>86</v>
      </c>
      <c r="D1106" s="224" t="s">
        <v>9</v>
      </c>
      <c r="E1106" s="224" t="s">
        <v>256</v>
      </c>
      <c r="F1106" s="224" t="s">
        <v>10</v>
      </c>
      <c r="G1106" s="223" t="str">
        <f>VLOOKUP($B1106,'FRS geographical categories'!$A$2:$C$45,2,FALSE)</f>
        <v>Predominantly Rural</v>
      </c>
      <c r="H1106" s="223" t="str">
        <f>VLOOKUP($B1106,'FRS geographical categories'!$A$2:$C$45,3,FALSE)</f>
        <v>Non-metropolitan</v>
      </c>
      <c r="I1106" s="224">
        <v>15</v>
      </c>
    </row>
    <row r="1107" spans="1:9" ht="15.5" x14ac:dyDescent="0.35">
      <c r="A1107" s="224" t="s">
        <v>54</v>
      </c>
      <c r="B1107" s="224" t="s">
        <v>31</v>
      </c>
      <c r="C1107" s="224" t="s">
        <v>86</v>
      </c>
      <c r="D1107" s="224" t="s">
        <v>55</v>
      </c>
      <c r="E1107" s="224" t="s">
        <v>256</v>
      </c>
      <c r="F1107" s="224" t="s">
        <v>248</v>
      </c>
      <c r="G1107" s="223" t="str">
        <f>VLOOKUP($B1107,'FRS geographical categories'!$A$2:$C$45,2,FALSE)</f>
        <v>Predominantly Rural</v>
      </c>
      <c r="H1107" s="223" t="str">
        <f>VLOOKUP($B1107,'FRS geographical categories'!$A$2:$C$45,3,FALSE)</f>
        <v>Non-metropolitan</v>
      </c>
      <c r="I1107" s="224">
        <v>0</v>
      </c>
    </row>
    <row r="1108" spans="1:9" ht="15.5" x14ac:dyDescent="0.35">
      <c r="A1108" s="224" t="s">
        <v>54</v>
      </c>
      <c r="B1108" s="224" t="s">
        <v>31</v>
      </c>
      <c r="C1108" s="224" t="s">
        <v>86</v>
      </c>
      <c r="D1108" s="224" t="s">
        <v>55</v>
      </c>
      <c r="E1108" s="224" t="s">
        <v>256</v>
      </c>
      <c r="F1108" s="224" t="s">
        <v>249</v>
      </c>
      <c r="G1108" s="223" t="str">
        <f>VLOOKUP($B1108,'FRS geographical categories'!$A$2:$C$45,2,FALSE)</f>
        <v>Predominantly Rural</v>
      </c>
      <c r="H1108" s="223" t="str">
        <f>VLOOKUP($B1108,'FRS geographical categories'!$A$2:$C$45,3,FALSE)</f>
        <v>Non-metropolitan</v>
      </c>
      <c r="I1108" s="224">
        <v>0</v>
      </c>
    </row>
    <row r="1109" spans="1:9" ht="15.5" x14ac:dyDescent="0.35">
      <c r="A1109" s="224" t="s">
        <v>54</v>
      </c>
      <c r="B1109" s="224" t="s">
        <v>31</v>
      </c>
      <c r="C1109" s="224" t="s">
        <v>86</v>
      </c>
      <c r="D1109" s="224" t="s">
        <v>55</v>
      </c>
      <c r="E1109" s="224" t="s">
        <v>256</v>
      </c>
      <c r="F1109" s="224" t="s">
        <v>250</v>
      </c>
      <c r="G1109" s="223" t="str">
        <f>VLOOKUP($B1109,'FRS geographical categories'!$A$2:$C$45,2,FALSE)</f>
        <v>Predominantly Rural</v>
      </c>
      <c r="H1109" s="223" t="str">
        <f>VLOOKUP($B1109,'FRS geographical categories'!$A$2:$C$45,3,FALSE)</f>
        <v>Non-metropolitan</v>
      </c>
      <c r="I1109" s="224">
        <v>0</v>
      </c>
    </row>
    <row r="1110" spans="1:9" ht="15.5" x14ac:dyDescent="0.35">
      <c r="A1110" s="224" t="s">
        <v>54</v>
      </c>
      <c r="B1110" s="224" t="s">
        <v>31</v>
      </c>
      <c r="C1110" s="224" t="s">
        <v>86</v>
      </c>
      <c r="D1110" s="224" t="s">
        <v>55</v>
      </c>
      <c r="E1110" s="224" t="s">
        <v>256</v>
      </c>
      <c r="F1110" s="224" t="s">
        <v>111</v>
      </c>
      <c r="G1110" s="223" t="str">
        <f>VLOOKUP($B1110,'FRS geographical categories'!$A$2:$C$45,2,FALSE)</f>
        <v>Predominantly Rural</v>
      </c>
      <c r="H1110" s="223" t="str">
        <f>VLOOKUP($B1110,'FRS geographical categories'!$A$2:$C$45,3,FALSE)</f>
        <v>Non-metropolitan</v>
      </c>
      <c r="I1110" s="224">
        <v>0</v>
      </c>
    </row>
    <row r="1111" spans="1:9" ht="15.5" x14ac:dyDescent="0.35">
      <c r="A1111" s="224" t="s">
        <v>54</v>
      </c>
      <c r="B1111" s="224" t="s">
        <v>31</v>
      </c>
      <c r="C1111" s="224" t="s">
        <v>86</v>
      </c>
      <c r="D1111" s="224" t="s">
        <v>55</v>
      </c>
      <c r="E1111" s="224" t="s">
        <v>256</v>
      </c>
      <c r="F1111" s="224" t="s">
        <v>10</v>
      </c>
      <c r="G1111" s="223" t="str">
        <f>VLOOKUP($B1111,'FRS geographical categories'!$A$2:$C$45,2,FALSE)</f>
        <v>Predominantly Rural</v>
      </c>
      <c r="H1111" s="223" t="str">
        <f>VLOOKUP($B1111,'FRS geographical categories'!$A$2:$C$45,3,FALSE)</f>
        <v>Non-metropolitan</v>
      </c>
      <c r="I1111" s="224">
        <v>0</v>
      </c>
    </row>
    <row r="1112" spans="1:9" ht="15.5" x14ac:dyDescent="0.35">
      <c r="A1112" s="224" t="s">
        <v>54</v>
      </c>
      <c r="B1112" s="224" t="s">
        <v>31</v>
      </c>
      <c r="C1112" s="224" t="s">
        <v>89</v>
      </c>
      <c r="D1112" s="224" t="s">
        <v>9</v>
      </c>
      <c r="E1112" s="224" t="s">
        <v>256</v>
      </c>
      <c r="F1112" s="224" t="s">
        <v>248</v>
      </c>
      <c r="G1112" s="223" t="str">
        <f>VLOOKUP($B1112,'FRS geographical categories'!$A$2:$C$45,2,FALSE)</f>
        <v>Predominantly Rural</v>
      </c>
      <c r="H1112" s="223" t="str">
        <f>VLOOKUP($B1112,'FRS geographical categories'!$A$2:$C$45,3,FALSE)</f>
        <v>Non-metropolitan</v>
      </c>
      <c r="I1112" s="224">
        <v>0</v>
      </c>
    </row>
    <row r="1113" spans="1:9" ht="15.5" x14ac:dyDescent="0.35">
      <c r="A1113" s="224" t="s">
        <v>54</v>
      </c>
      <c r="B1113" s="224" t="s">
        <v>31</v>
      </c>
      <c r="C1113" s="224" t="s">
        <v>89</v>
      </c>
      <c r="D1113" s="224" t="s">
        <v>9</v>
      </c>
      <c r="E1113" s="224" t="s">
        <v>256</v>
      </c>
      <c r="F1113" s="224" t="s">
        <v>249</v>
      </c>
      <c r="G1113" s="223" t="str">
        <f>VLOOKUP($B1113,'FRS geographical categories'!$A$2:$C$45,2,FALSE)</f>
        <v>Predominantly Rural</v>
      </c>
      <c r="H1113" s="223" t="str">
        <f>VLOOKUP($B1113,'FRS geographical categories'!$A$2:$C$45,3,FALSE)</f>
        <v>Non-metropolitan</v>
      </c>
      <c r="I1113" s="224">
        <v>0</v>
      </c>
    </row>
    <row r="1114" spans="1:9" ht="15.5" x14ac:dyDescent="0.35">
      <c r="A1114" s="224" t="s">
        <v>54</v>
      </c>
      <c r="B1114" s="224" t="s">
        <v>31</v>
      </c>
      <c r="C1114" s="224" t="s">
        <v>89</v>
      </c>
      <c r="D1114" s="224" t="s">
        <v>9</v>
      </c>
      <c r="E1114" s="224" t="s">
        <v>256</v>
      </c>
      <c r="F1114" s="224" t="s">
        <v>250</v>
      </c>
      <c r="G1114" s="223" t="str">
        <f>VLOOKUP($B1114,'FRS geographical categories'!$A$2:$C$45,2,FALSE)</f>
        <v>Predominantly Rural</v>
      </c>
      <c r="H1114" s="223" t="str">
        <f>VLOOKUP($B1114,'FRS geographical categories'!$A$2:$C$45,3,FALSE)</f>
        <v>Non-metropolitan</v>
      </c>
      <c r="I1114" s="224">
        <v>0</v>
      </c>
    </row>
    <row r="1115" spans="1:9" ht="15.5" x14ac:dyDescent="0.35">
      <c r="A1115" s="224" t="s">
        <v>54</v>
      </c>
      <c r="B1115" s="224" t="s">
        <v>31</v>
      </c>
      <c r="C1115" s="224" t="s">
        <v>89</v>
      </c>
      <c r="D1115" s="224" t="s">
        <v>9</v>
      </c>
      <c r="E1115" s="224" t="s">
        <v>256</v>
      </c>
      <c r="F1115" s="224" t="s">
        <v>10</v>
      </c>
      <c r="G1115" s="223" t="str">
        <f>VLOOKUP($B1115,'FRS geographical categories'!$A$2:$C$45,2,FALSE)</f>
        <v>Predominantly Rural</v>
      </c>
      <c r="H1115" s="223" t="str">
        <f>VLOOKUP($B1115,'FRS geographical categories'!$A$2:$C$45,3,FALSE)</f>
        <v>Non-metropolitan</v>
      </c>
      <c r="I1115" s="224">
        <v>0</v>
      </c>
    </row>
    <row r="1116" spans="1:9" ht="15.5" x14ac:dyDescent="0.35">
      <c r="A1116" s="224" t="s">
        <v>54</v>
      </c>
      <c r="B1116" s="224" t="s">
        <v>31</v>
      </c>
      <c r="C1116" s="224" t="s">
        <v>89</v>
      </c>
      <c r="D1116" s="224" t="s">
        <v>55</v>
      </c>
      <c r="E1116" s="224" t="s">
        <v>256</v>
      </c>
      <c r="F1116" s="224" t="s">
        <v>248</v>
      </c>
      <c r="G1116" s="223" t="str">
        <f>VLOOKUP($B1116,'FRS geographical categories'!$A$2:$C$45,2,FALSE)</f>
        <v>Predominantly Rural</v>
      </c>
      <c r="H1116" s="223" t="str">
        <f>VLOOKUP($B1116,'FRS geographical categories'!$A$2:$C$45,3,FALSE)</f>
        <v>Non-metropolitan</v>
      </c>
      <c r="I1116" s="224">
        <v>0</v>
      </c>
    </row>
    <row r="1117" spans="1:9" ht="15.5" x14ac:dyDescent="0.35">
      <c r="A1117" s="224" t="s">
        <v>54</v>
      </c>
      <c r="B1117" s="224" t="s">
        <v>31</v>
      </c>
      <c r="C1117" s="224" t="s">
        <v>89</v>
      </c>
      <c r="D1117" s="224" t="s">
        <v>55</v>
      </c>
      <c r="E1117" s="224" t="s">
        <v>256</v>
      </c>
      <c r="F1117" s="224" t="s">
        <v>249</v>
      </c>
      <c r="G1117" s="223" t="str">
        <f>VLOOKUP($B1117,'FRS geographical categories'!$A$2:$C$45,2,FALSE)</f>
        <v>Predominantly Rural</v>
      </c>
      <c r="H1117" s="223" t="str">
        <f>VLOOKUP($B1117,'FRS geographical categories'!$A$2:$C$45,3,FALSE)</f>
        <v>Non-metropolitan</v>
      </c>
      <c r="I1117" s="224">
        <v>0</v>
      </c>
    </row>
    <row r="1118" spans="1:9" ht="15.5" x14ac:dyDescent="0.35">
      <c r="A1118" s="224" t="s">
        <v>54</v>
      </c>
      <c r="B1118" s="224" t="s">
        <v>31</v>
      </c>
      <c r="C1118" s="224" t="s">
        <v>89</v>
      </c>
      <c r="D1118" s="224" t="s">
        <v>55</v>
      </c>
      <c r="E1118" s="224" t="s">
        <v>256</v>
      </c>
      <c r="F1118" s="224" t="s">
        <v>250</v>
      </c>
      <c r="G1118" s="223" t="str">
        <f>VLOOKUP($B1118,'FRS geographical categories'!$A$2:$C$45,2,FALSE)</f>
        <v>Predominantly Rural</v>
      </c>
      <c r="H1118" s="223" t="str">
        <f>VLOOKUP($B1118,'FRS geographical categories'!$A$2:$C$45,3,FALSE)</f>
        <v>Non-metropolitan</v>
      </c>
      <c r="I1118" s="224">
        <v>0</v>
      </c>
    </row>
    <row r="1119" spans="1:9" ht="15.5" x14ac:dyDescent="0.35">
      <c r="A1119" s="224" t="s">
        <v>54</v>
      </c>
      <c r="B1119" s="224" t="s">
        <v>31</v>
      </c>
      <c r="C1119" s="224" t="s">
        <v>89</v>
      </c>
      <c r="D1119" s="224" t="s">
        <v>55</v>
      </c>
      <c r="E1119" s="224" t="s">
        <v>256</v>
      </c>
      <c r="F1119" s="224" t="s">
        <v>10</v>
      </c>
      <c r="G1119" s="223" t="str">
        <f>VLOOKUP($B1119,'FRS geographical categories'!$A$2:$C$45,2,FALSE)</f>
        <v>Predominantly Rural</v>
      </c>
      <c r="H1119" s="223" t="str">
        <f>VLOOKUP($B1119,'FRS geographical categories'!$A$2:$C$45,3,FALSE)</f>
        <v>Non-metropolitan</v>
      </c>
      <c r="I1119" s="224">
        <v>0</v>
      </c>
    </row>
    <row r="1120" spans="1:9" ht="15.5" x14ac:dyDescent="0.35">
      <c r="A1120" s="224" t="s">
        <v>54</v>
      </c>
      <c r="B1120" s="224" t="s">
        <v>32</v>
      </c>
      <c r="C1120" s="224" t="s">
        <v>86</v>
      </c>
      <c r="D1120" s="224" t="s">
        <v>9</v>
      </c>
      <c r="E1120" s="224" t="s">
        <v>256</v>
      </c>
      <c r="F1120" s="224" t="s">
        <v>248</v>
      </c>
      <c r="G1120" s="223" t="str">
        <f>VLOOKUP($B1120,'FRS geographical categories'!$A$2:$C$45,2,FALSE)</f>
        <v>Significantly Rural</v>
      </c>
      <c r="H1120" s="223" t="str">
        <f>VLOOKUP($B1120,'FRS geographical categories'!$A$2:$C$45,3,FALSE)</f>
        <v>Non-metropolitan</v>
      </c>
      <c r="I1120" s="224">
        <v>1263</v>
      </c>
    </row>
    <row r="1121" spans="1:9" ht="15.5" x14ac:dyDescent="0.35">
      <c r="A1121" s="224" t="s">
        <v>54</v>
      </c>
      <c r="B1121" s="224" t="s">
        <v>32</v>
      </c>
      <c r="C1121" s="224" t="s">
        <v>86</v>
      </c>
      <c r="D1121" s="224" t="s">
        <v>9</v>
      </c>
      <c r="E1121" s="224" t="s">
        <v>256</v>
      </c>
      <c r="F1121" s="224" t="s">
        <v>249</v>
      </c>
      <c r="G1121" s="223" t="str">
        <f>VLOOKUP($B1121,'FRS geographical categories'!$A$2:$C$45,2,FALSE)</f>
        <v>Significantly Rural</v>
      </c>
      <c r="H1121" s="223" t="str">
        <f>VLOOKUP($B1121,'FRS geographical categories'!$A$2:$C$45,3,FALSE)</f>
        <v>Non-metropolitan</v>
      </c>
      <c r="I1121" s="224">
        <v>3118</v>
      </c>
    </row>
    <row r="1122" spans="1:9" ht="15.5" x14ac:dyDescent="0.35">
      <c r="A1122" s="224" t="s">
        <v>54</v>
      </c>
      <c r="B1122" s="224" t="s">
        <v>32</v>
      </c>
      <c r="C1122" s="224" t="s">
        <v>86</v>
      </c>
      <c r="D1122" s="224" t="s">
        <v>9</v>
      </c>
      <c r="E1122" s="224" t="s">
        <v>256</v>
      </c>
      <c r="F1122" s="224" t="s">
        <v>250</v>
      </c>
      <c r="G1122" s="223" t="str">
        <f>VLOOKUP($B1122,'FRS geographical categories'!$A$2:$C$45,2,FALSE)</f>
        <v>Significantly Rural</v>
      </c>
      <c r="H1122" s="223" t="str">
        <f>VLOOKUP($B1122,'FRS geographical categories'!$A$2:$C$45,3,FALSE)</f>
        <v>Non-metropolitan</v>
      </c>
      <c r="I1122" s="224">
        <v>2615</v>
      </c>
    </row>
    <row r="1123" spans="1:9" ht="15.5" x14ac:dyDescent="0.35">
      <c r="A1123" s="224" t="s">
        <v>54</v>
      </c>
      <c r="B1123" s="224" t="s">
        <v>32</v>
      </c>
      <c r="C1123" s="224" t="s">
        <v>86</v>
      </c>
      <c r="D1123" s="224" t="s">
        <v>9</v>
      </c>
      <c r="E1123" s="224" t="s">
        <v>256</v>
      </c>
      <c r="F1123" s="224" t="s">
        <v>111</v>
      </c>
      <c r="G1123" s="223" t="str">
        <f>VLOOKUP($B1123,'FRS geographical categories'!$A$2:$C$45,2,FALSE)</f>
        <v>Significantly Rural</v>
      </c>
      <c r="H1123" s="223" t="str">
        <f>VLOOKUP($B1123,'FRS geographical categories'!$A$2:$C$45,3,FALSE)</f>
        <v>Non-metropolitan</v>
      </c>
      <c r="I1123" s="224">
        <v>8296</v>
      </c>
    </row>
    <row r="1124" spans="1:9" ht="15.5" x14ac:dyDescent="0.35">
      <c r="A1124" s="224" t="s">
        <v>54</v>
      </c>
      <c r="B1124" s="224" t="s">
        <v>32</v>
      </c>
      <c r="C1124" s="224" t="s">
        <v>86</v>
      </c>
      <c r="D1124" s="224" t="s">
        <v>9</v>
      </c>
      <c r="E1124" s="224" t="s">
        <v>256</v>
      </c>
      <c r="F1124" s="224" t="s">
        <v>10</v>
      </c>
      <c r="G1124" s="223" t="str">
        <f>VLOOKUP($B1124,'FRS geographical categories'!$A$2:$C$45,2,FALSE)</f>
        <v>Significantly Rural</v>
      </c>
      <c r="H1124" s="223" t="str">
        <f>VLOOKUP($B1124,'FRS geographical categories'!$A$2:$C$45,3,FALSE)</f>
        <v>Non-metropolitan</v>
      </c>
      <c r="I1124" s="224">
        <v>8296</v>
      </c>
    </row>
    <row r="1125" spans="1:9" ht="15.5" x14ac:dyDescent="0.35">
      <c r="A1125" s="224" t="s">
        <v>54</v>
      </c>
      <c r="B1125" s="224" t="s">
        <v>32</v>
      </c>
      <c r="C1125" s="224" t="s">
        <v>86</v>
      </c>
      <c r="D1125" s="224" t="s">
        <v>55</v>
      </c>
      <c r="E1125" s="224" t="s">
        <v>256</v>
      </c>
      <c r="F1125" s="224" t="s">
        <v>248</v>
      </c>
      <c r="G1125" s="223" t="str">
        <f>VLOOKUP($B1125,'FRS geographical categories'!$A$2:$C$45,2,FALSE)</f>
        <v>Significantly Rural</v>
      </c>
      <c r="H1125" s="223" t="str">
        <f>VLOOKUP($B1125,'FRS geographical categories'!$A$2:$C$45,3,FALSE)</f>
        <v>Non-metropolitan</v>
      </c>
      <c r="I1125" s="224">
        <v>170</v>
      </c>
    </row>
    <row r="1126" spans="1:9" ht="15.5" x14ac:dyDescent="0.35">
      <c r="A1126" s="224" t="s">
        <v>54</v>
      </c>
      <c r="B1126" s="224" t="s">
        <v>32</v>
      </c>
      <c r="C1126" s="224" t="s">
        <v>86</v>
      </c>
      <c r="D1126" s="224" t="s">
        <v>55</v>
      </c>
      <c r="E1126" s="224" t="s">
        <v>256</v>
      </c>
      <c r="F1126" s="224" t="s">
        <v>249</v>
      </c>
      <c r="G1126" s="223" t="str">
        <f>VLOOKUP($B1126,'FRS geographical categories'!$A$2:$C$45,2,FALSE)</f>
        <v>Significantly Rural</v>
      </c>
      <c r="H1126" s="223" t="str">
        <f>VLOOKUP($B1126,'FRS geographical categories'!$A$2:$C$45,3,FALSE)</f>
        <v>Non-metropolitan</v>
      </c>
      <c r="I1126" s="224">
        <v>390</v>
      </c>
    </row>
    <row r="1127" spans="1:9" ht="15.5" x14ac:dyDescent="0.35">
      <c r="A1127" s="224" t="s">
        <v>54</v>
      </c>
      <c r="B1127" s="224" t="s">
        <v>32</v>
      </c>
      <c r="C1127" s="224" t="s">
        <v>86</v>
      </c>
      <c r="D1127" s="224" t="s">
        <v>55</v>
      </c>
      <c r="E1127" s="224" t="s">
        <v>256</v>
      </c>
      <c r="F1127" s="224" t="s">
        <v>250</v>
      </c>
      <c r="G1127" s="223" t="str">
        <f>VLOOKUP($B1127,'FRS geographical categories'!$A$2:$C$45,2,FALSE)</f>
        <v>Significantly Rural</v>
      </c>
      <c r="H1127" s="223" t="str">
        <f>VLOOKUP($B1127,'FRS geographical categories'!$A$2:$C$45,3,FALSE)</f>
        <v>Non-metropolitan</v>
      </c>
      <c r="I1127" s="224">
        <v>608</v>
      </c>
    </row>
    <row r="1128" spans="1:9" ht="15.5" x14ac:dyDescent="0.35">
      <c r="A1128" s="224" t="s">
        <v>54</v>
      </c>
      <c r="B1128" s="224" t="s">
        <v>32</v>
      </c>
      <c r="C1128" s="224" t="s">
        <v>86</v>
      </c>
      <c r="D1128" s="224" t="s">
        <v>55</v>
      </c>
      <c r="E1128" s="224" t="s">
        <v>256</v>
      </c>
      <c r="F1128" s="224" t="s">
        <v>111</v>
      </c>
      <c r="G1128" s="223" t="str">
        <f>VLOOKUP($B1128,'FRS geographical categories'!$A$2:$C$45,2,FALSE)</f>
        <v>Significantly Rural</v>
      </c>
      <c r="H1128" s="223" t="str">
        <f>VLOOKUP($B1128,'FRS geographical categories'!$A$2:$C$45,3,FALSE)</f>
        <v>Non-metropolitan</v>
      </c>
      <c r="I1128" s="224">
        <v>1881</v>
      </c>
    </row>
    <row r="1129" spans="1:9" ht="15.5" x14ac:dyDescent="0.35">
      <c r="A1129" s="224" t="s">
        <v>54</v>
      </c>
      <c r="B1129" s="224" t="s">
        <v>32</v>
      </c>
      <c r="C1129" s="224" t="s">
        <v>86</v>
      </c>
      <c r="D1129" s="224" t="s">
        <v>55</v>
      </c>
      <c r="E1129" s="224" t="s">
        <v>256</v>
      </c>
      <c r="F1129" s="224" t="s">
        <v>10</v>
      </c>
      <c r="G1129" s="223" t="str">
        <f>VLOOKUP($B1129,'FRS geographical categories'!$A$2:$C$45,2,FALSE)</f>
        <v>Significantly Rural</v>
      </c>
      <c r="H1129" s="223" t="str">
        <f>VLOOKUP($B1129,'FRS geographical categories'!$A$2:$C$45,3,FALSE)</f>
        <v>Non-metropolitan</v>
      </c>
      <c r="I1129" s="224">
        <v>1881</v>
      </c>
    </row>
    <row r="1130" spans="1:9" ht="15.5" x14ac:dyDescent="0.35">
      <c r="A1130" s="224" t="s">
        <v>54</v>
      </c>
      <c r="B1130" s="224" t="s">
        <v>32</v>
      </c>
      <c r="C1130" s="224" t="s">
        <v>89</v>
      </c>
      <c r="D1130" s="224" t="s">
        <v>9</v>
      </c>
      <c r="E1130" s="224" t="s">
        <v>256</v>
      </c>
      <c r="F1130" s="224" t="s">
        <v>248</v>
      </c>
      <c r="G1130" s="223" t="str">
        <f>VLOOKUP($B1130,'FRS geographical categories'!$A$2:$C$45,2,FALSE)</f>
        <v>Significantly Rural</v>
      </c>
      <c r="H1130" s="223" t="str">
        <f>VLOOKUP($B1130,'FRS geographical categories'!$A$2:$C$45,3,FALSE)</f>
        <v>Non-metropolitan</v>
      </c>
      <c r="I1130" s="224">
        <v>0</v>
      </c>
    </row>
    <row r="1131" spans="1:9" ht="15.5" x14ac:dyDescent="0.35">
      <c r="A1131" s="224" t="s">
        <v>54</v>
      </c>
      <c r="B1131" s="224" t="s">
        <v>32</v>
      </c>
      <c r="C1131" s="224" t="s">
        <v>89</v>
      </c>
      <c r="D1131" s="224" t="s">
        <v>9</v>
      </c>
      <c r="E1131" s="224" t="s">
        <v>256</v>
      </c>
      <c r="F1131" s="224" t="s">
        <v>249</v>
      </c>
      <c r="G1131" s="223" t="str">
        <f>VLOOKUP($B1131,'FRS geographical categories'!$A$2:$C$45,2,FALSE)</f>
        <v>Significantly Rural</v>
      </c>
      <c r="H1131" s="223" t="str">
        <f>VLOOKUP($B1131,'FRS geographical categories'!$A$2:$C$45,3,FALSE)</f>
        <v>Non-metropolitan</v>
      </c>
      <c r="I1131" s="224">
        <v>0</v>
      </c>
    </row>
    <row r="1132" spans="1:9" ht="15.5" x14ac:dyDescent="0.35">
      <c r="A1132" s="224" t="s">
        <v>54</v>
      </c>
      <c r="B1132" s="224" t="s">
        <v>32</v>
      </c>
      <c r="C1132" s="224" t="s">
        <v>89</v>
      </c>
      <c r="D1132" s="224" t="s">
        <v>9</v>
      </c>
      <c r="E1132" s="224" t="s">
        <v>256</v>
      </c>
      <c r="F1132" s="224" t="s">
        <v>250</v>
      </c>
      <c r="G1132" s="223" t="str">
        <f>VLOOKUP($B1132,'FRS geographical categories'!$A$2:$C$45,2,FALSE)</f>
        <v>Significantly Rural</v>
      </c>
      <c r="H1132" s="223" t="str">
        <f>VLOOKUP($B1132,'FRS geographical categories'!$A$2:$C$45,3,FALSE)</f>
        <v>Non-metropolitan</v>
      </c>
      <c r="I1132" s="224">
        <v>0</v>
      </c>
    </row>
    <row r="1133" spans="1:9" ht="15.5" x14ac:dyDescent="0.35">
      <c r="A1133" s="224" t="s">
        <v>54</v>
      </c>
      <c r="B1133" s="224" t="s">
        <v>32</v>
      </c>
      <c r="C1133" s="224" t="s">
        <v>89</v>
      </c>
      <c r="D1133" s="224" t="s">
        <v>9</v>
      </c>
      <c r="E1133" s="224" t="s">
        <v>256</v>
      </c>
      <c r="F1133" s="224" t="s">
        <v>10</v>
      </c>
      <c r="G1133" s="223" t="str">
        <f>VLOOKUP($B1133,'FRS geographical categories'!$A$2:$C$45,2,FALSE)</f>
        <v>Significantly Rural</v>
      </c>
      <c r="H1133" s="223" t="str">
        <f>VLOOKUP($B1133,'FRS geographical categories'!$A$2:$C$45,3,FALSE)</f>
        <v>Non-metropolitan</v>
      </c>
      <c r="I1133" s="224">
        <v>0</v>
      </c>
    </row>
    <row r="1134" spans="1:9" ht="15.5" x14ac:dyDescent="0.35">
      <c r="A1134" s="224" t="s">
        <v>54</v>
      </c>
      <c r="B1134" s="224" t="s">
        <v>32</v>
      </c>
      <c r="C1134" s="224" t="s">
        <v>89</v>
      </c>
      <c r="D1134" s="224" t="s">
        <v>55</v>
      </c>
      <c r="E1134" s="224" t="s">
        <v>256</v>
      </c>
      <c r="F1134" s="224" t="s">
        <v>248</v>
      </c>
      <c r="G1134" s="223" t="str">
        <f>VLOOKUP($B1134,'FRS geographical categories'!$A$2:$C$45,2,FALSE)</f>
        <v>Significantly Rural</v>
      </c>
      <c r="H1134" s="223" t="str">
        <f>VLOOKUP($B1134,'FRS geographical categories'!$A$2:$C$45,3,FALSE)</f>
        <v>Non-metropolitan</v>
      </c>
      <c r="I1134" s="224">
        <v>0</v>
      </c>
    </row>
    <row r="1135" spans="1:9" ht="15.5" x14ac:dyDescent="0.35">
      <c r="A1135" s="224" t="s">
        <v>54</v>
      </c>
      <c r="B1135" s="224" t="s">
        <v>32</v>
      </c>
      <c r="C1135" s="224" t="s">
        <v>89</v>
      </c>
      <c r="D1135" s="224" t="s">
        <v>55</v>
      </c>
      <c r="E1135" s="224" t="s">
        <v>256</v>
      </c>
      <c r="F1135" s="224" t="s">
        <v>249</v>
      </c>
      <c r="G1135" s="223" t="str">
        <f>VLOOKUP($B1135,'FRS geographical categories'!$A$2:$C$45,2,FALSE)</f>
        <v>Significantly Rural</v>
      </c>
      <c r="H1135" s="223" t="str">
        <f>VLOOKUP($B1135,'FRS geographical categories'!$A$2:$C$45,3,FALSE)</f>
        <v>Non-metropolitan</v>
      </c>
      <c r="I1135" s="224">
        <v>0</v>
      </c>
    </row>
    <row r="1136" spans="1:9" ht="15.5" x14ac:dyDescent="0.35">
      <c r="A1136" s="224" t="s">
        <v>54</v>
      </c>
      <c r="B1136" s="224" t="s">
        <v>32</v>
      </c>
      <c r="C1136" s="224" t="s">
        <v>89</v>
      </c>
      <c r="D1136" s="224" t="s">
        <v>55</v>
      </c>
      <c r="E1136" s="224" t="s">
        <v>256</v>
      </c>
      <c r="F1136" s="224" t="s">
        <v>250</v>
      </c>
      <c r="G1136" s="223" t="str">
        <f>VLOOKUP($B1136,'FRS geographical categories'!$A$2:$C$45,2,FALSE)</f>
        <v>Significantly Rural</v>
      </c>
      <c r="H1136" s="223" t="str">
        <f>VLOOKUP($B1136,'FRS geographical categories'!$A$2:$C$45,3,FALSE)</f>
        <v>Non-metropolitan</v>
      </c>
      <c r="I1136" s="224">
        <v>0</v>
      </c>
    </row>
    <row r="1137" spans="1:9" ht="15.5" x14ac:dyDescent="0.35">
      <c r="A1137" s="224" t="s">
        <v>54</v>
      </c>
      <c r="B1137" s="224" t="s">
        <v>32</v>
      </c>
      <c r="C1137" s="224" t="s">
        <v>89</v>
      </c>
      <c r="D1137" s="224" t="s">
        <v>55</v>
      </c>
      <c r="E1137" s="224" t="s">
        <v>256</v>
      </c>
      <c r="F1137" s="224" t="s">
        <v>10</v>
      </c>
      <c r="G1137" s="223" t="str">
        <f>VLOOKUP($B1137,'FRS geographical categories'!$A$2:$C$45,2,FALSE)</f>
        <v>Significantly Rural</v>
      </c>
      <c r="H1137" s="223" t="str">
        <f>VLOOKUP($B1137,'FRS geographical categories'!$A$2:$C$45,3,FALSE)</f>
        <v>Non-metropolitan</v>
      </c>
      <c r="I1137" s="224">
        <v>0</v>
      </c>
    </row>
    <row r="1138" spans="1:9" ht="15.5" x14ac:dyDescent="0.35">
      <c r="A1138" s="224" t="s">
        <v>54</v>
      </c>
      <c r="B1138" s="224" t="s">
        <v>33</v>
      </c>
      <c r="C1138" s="224" t="s">
        <v>86</v>
      </c>
      <c r="D1138" s="224" t="s">
        <v>9</v>
      </c>
      <c r="E1138" s="224" t="s">
        <v>256</v>
      </c>
      <c r="F1138" s="224" t="s">
        <v>248</v>
      </c>
      <c r="G1138" s="223" t="str">
        <f>VLOOKUP($B1138,'FRS geographical categories'!$A$2:$C$45,2,FALSE)</f>
        <v>Predominantly Urban</v>
      </c>
      <c r="H1138" s="223" t="str">
        <f>VLOOKUP($B1138,'FRS geographical categories'!$A$2:$C$45,3,FALSE)</f>
        <v>Non-metropolitan</v>
      </c>
      <c r="I1138" s="224">
        <v>0</v>
      </c>
    </row>
    <row r="1139" spans="1:9" ht="15.5" x14ac:dyDescent="0.35">
      <c r="A1139" s="224" t="s">
        <v>54</v>
      </c>
      <c r="B1139" s="224" t="s">
        <v>33</v>
      </c>
      <c r="C1139" s="224" t="s">
        <v>86</v>
      </c>
      <c r="D1139" s="224" t="s">
        <v>9</v>
      </c>
      <c r="E1139" s="224" t="s">
        <v>256</v>
      </c>
      <c r="F1139" s="224" t="s">
        <v>249</v>
      </c>
      <c r="G1139" s="223" t="str">
        <f>VLOOKUP($B1139,'FRS geographical categories'!$A$2:$C$45,2,FALSE)</f>
        <v>Predominantly Urban</v>
      </c>
      <c r="H1139" s="223" t="str">
        <f>VLOOKUP($B1139,'FRS geographical categories'!$A$2:$C$45,3,FALSE)</f>
        <v>Non-metropolitan</v>
      </c>
      <c r="I1139" s="224">
        <v>0</v>
      </c>
    </row>
    <row r="1140" spans="1:9" ht="15.5" x14ac:dyDescent="0.35">
      <c r="A1140" s="224" t="s">
        <v>54</v>
      </c>
      <c r="B1140" s="224" t="s">
        <v>33</v>
      </c>
      <c r="C1140" s="224" t="s">
        <v>86</v>
      </c>
      <c r="D1140" s="224" t="s">
        <v>9</v>
      </c>
      <c r="E1140" s="224" t="s">
        <v>256</v>
      </c>
      <c r="F1140" s="224" t="s">
        <v>250</v>
      </c>
      <c r="G1140" s="223" t="str">
        <f>VLOOKUP($B1140,'FRS geographical categories'!$A$2:$C$45,2,FALSE)</f>
        <v>Predominantly Urban</v>
      </c>
      <c r="H1140" s="223" t="str">
        <f>VLOOKUP($B1140,'FRS geographical categories'!$A$2:$C$45,3,FALSE)</f>
        <v>Non-metropolitan</v>
      </c>
      <c r="I1140" s="224">
        <v>0</v>
      </c>
    </row>
    <row r="1141" spans="1:9" ht="15.5" x14ac:dyDescent="0.35">
      <c r="A1141" s="224" t="s">
        <v>54</v>
      </c>
      <c r="B1141" s="224" t="s">
        <v>33</v>
      </c>
      <c r="C1141" s="224" t="s">
        <v>86</v>
      </c>
      <c r="D1141" s="224" t="s">
        <v>9</v>
      </c>
      <c r="E1141" s="224" t="s">
        <v>256</v>
      </c>
      <c r="F1141" s="224" t="s">
        <v>111</v>
      </c>
      <c r="G1141" s="223" t="str">
        <f>VLOOKUP($B1141,'FRS geographical categories'!$A$2:$C$45,2,FALSE)</f>
        <v>Predominantly Urban</v>
      </c>
      <c r="H1141" s="223" t="str">
        <f>VLOOKUP($B1141,'FRS geographical categories'!$A$2:$C$45,3,FALSE)</f>
        <v>Non-metropolitan</v>
      </c>
      <c r="I1141" s="224">
        <v>0</v>
      </c>
    </row>
    <row r="1142" spans="1:9" ht="15.5" x14ac:dyDescent="0.35">
      <c r="A1142" s="224" t="s">
        <v>54</v>
      </c>
      <c r="B1142" s="224" t="s">
        <v>33</v>
      </c>
      <c r="C1142" s="224" t="s">
        <v>86</v>
      </c>
      <c r="D1142" s="224" t="s">
        <v>9</v>
      </c>
      <c r="E1142" s="224" t="s">
        <v>256</v>
      </c>
      <c r="F1142" s="224" t="s">
        <v>10</v>
      </c>
      <c r="G1142" s="223" t="str">
        <f>VLOOKUP($B1142,'FRS geographical categories'!$A$2:$C$45,2,FALSE)</f>
        <v>Predominantly Urban</v>
      </c>
      <c r="H1142" s="223" t="str">
        <f>VLOOKUP($B1142,'FRS geographical categories'!$A$2:$C$45,3,FALSE)</f>
        <v>Non-metropolitan</v>
      </c>
      <c r="I1142" s="224">
        <v>0</v>
      </c>
    </row>
    <row r="1143" spans="1:9" ht="15.5" x14ac:dyDescent="0.35">
      <c r="A1143" s="224" t="s">
        <v>54</v>
      </c>
      <c r="B1143" s="224" t="s">
        <v>33</v>
      </c>
      <c r="C1143" s="224" t="s">
        <v>86</v>
      </c>
      <c r="D1143" s="224" t="s">
        <v>55</v>
      </c>
      <c r="E1143" s="224" t="s">
        <v>256</v>
      </c>
      <c r="F1143" s="224" t="s">
        <v>248</v>
      </c>
      <c r="G1143" s="223" t="str">
        <f>VLOOKUP($B1143,'FRS geographical categories'!$A$2:$C$45,2,FALSE)</f>
        <v>Predominantly Urban</v>
      </c>
      <c r="H1143" s="223" t="str">
        <f>VLOOKUP($B1143,'FRS geographical categories'!$A$2:$C$45,3,FALSE)</f>
        <v>Non-metropolitan</v>
      </c>
      <c r="I1143" s="224">
        <v>1596</v>
      </c>
    </row>
    <row r="1144" spans="1:9" ht="15.5" x14ac:dyDescent="0.35">
      <c r="A1144" s="224" t="s">
        <v>54</v>
      </c>
      <c r="B1144" s="224" t="s">
        <v>33</v>
      </c>
      <c r="C1144" s="224" t="s">
        <v>86</v>
      </c>
      <c r="D1144" s="224" t="s">
        <v>55</v>
      </c>
      <c r="E1144" s="224" t="s">
        <v>256</v>
      </c>
      <c r="F1144" s="224" t="s">
        <v>249</v>
      </c>
      <c r="G1144" s="223" t="str">
        <f>VLOOKUP($B1144,'FRS geographical categories'!$A$2:$C$45,2,FALSE)</f>
        <v>Predominantly Urban</v>
      </c>
      <c r="H1144" s="223" t="str">
        <f>VLOOKUP($B1144,'FRS geographical categories'!$A$2:$C$45,3,FALSE)</f>
        <v>Non-metropolitan</v>
      </c>
      <c r="I1144" s="224">
        <v>6007</v>
      </c>
    </row>
    <row r="1145" spans="1:9" ht="15.5" x14ac:dyDescent="0.35">
      <c r="A1145" s="224" t="s">
        <v>54</v>
      </c>
      <c r="B1145" s="224" t="s">
        <v>33</v>
      </c>
      <c r="C1145" s="224" t="s">
        <v>86</v>
      </c>
      <c r="D1145" s="224" t="s">
        <v>55</v>
      </c>
      <c r="E1145" s="224" t="s">
        <v>256</v>
      </c>
      <c r="F1145" s="224" t="s">
        <v>250</v>
      </c>
      <c r="G1145" s="223" t="str">
        <f>VLOOKUP($B1145,'FRS geographical categories'!$A$2:$C$45,2,FALSE)</f>
        <v>Predominantly Urban</v>
      </c>
      <c r="H1145" s="223" t="str">
        <f>VLOOKUP($B1145,'FRS geographical categories'!$A$2:$C$45,3,FALSE)</f>
        <v>Non-metropolitan</v>
      </c>
      <c r="I1145" s="224">
        <v>935</v>
      </c>
    </row>
    <row r="1146" spans="1:9" ht="15.5" x14ac:dyDescent="0.35">
      <c r="A1146" s="224" t="s">
        <v>54</v>
      </c>
      <c r="B1146" s="224" t="s">
        <v>33</v>
      </c>
      <c r="C1146" s="224" t="s">
        <v>86</v>
      </c>
      <c r="D1146" s="224" t="s">
        <v>55</v>
      </c>
      <c r="E1146" s="224" t="s">
        <v>256</v>
      </c>
      <c r="F1146" s="224" t="s">
        <v>111</v>
      </c>
      <c r="G1146" s="223" t="str">
        <f>VLOOKUP($B1146,'FRS geographical categories'!$A$2:$C$45,2,FALSE)</f>
        <v>Predominantly Urban</v>
      </c>
      <c r="H1146" s="223" t="str">
        <f>VLOOKUP($B1146,'FRS geographical categories'!$A$2:$C$45,3,FALSE)</f>
        <v>Non-metropolitan</v>
      </c>
      <c r="I1146" s="224">
        <v>9026</v>
      </c>
    </row>
    <row r="1147" spans="1:9" ht="15.5" x14ac:dyDescent="0.35">
      <c r="A1147" s="224" t="s">
        <v>54</v>
      </c>
      <c r="B1147" s="224" t="s">
        <v>33</v>
      </c>
      <c r="C1147" s="224" t="s">
        <v>86</v>
      </c>
      <c r="D1147" s="224" t="s">
        <v>55</v>
      </c>
      <c r="E1147" s="224" t="s">
        <v>256</v>
      </c>
      <c r="F1147" s="224" t="s">
        <v>10</v>
      </c>
      <c r="G1147" s="223" t="str">
        <f>VLOOKUP($B1147,'FRS geographical categories'!$A$2:$C$45,2,FALSE)</f>
        <v>Predominantly Urban</v>
      </c>
      <c r="H1147" s="223" t="str">
        <f>VLOOKUP($B1147,'FRS geographical categories'!$A$2:$C$45,3,FALSE)</f>
        <v>Non-metropolitan</v>
      </c>
      <c r="I1147" s="224">
        <v>9984</v>
      </c>
    </row>
    <row r="1148" spans="1:9" ht="15.5" x14ac:dyDescent="0.35">
      <c r="A1148" s="224" t="s">
        <v>54</v>
      </c>
      <c r="B1148" s="224" t="s">
        <v>33</v>
      </c>
      <c r="C1148" s="224" t="s">
        <v>89</v>
      </c>
      <c r="D1148" s="224" t="s">
        <v>9</v>
      </c>
      <c r="E1148" s="224" t="s">
        <v>256</v>
      </c>
      <c r="F1148" s="224" t="s">
        <v>248</v>
      </c>
      <c r="G1148" s="223" t="str">
        <f>VLOOKUP($B1148,'FRS geographical categories'!$A$2:$C$45,2,FALSE)</f>
        <v>Predominantly Urban</v>
      </c>
      <c r="H1148" s="223" t="str">
        <f>VLOOKUP($B1148,'FRS geographical categories'!$A$2:$C$45,3,FALSE)</f>
        <v>Non-metropolitan</v>
      </c>
      <c r="I1148" s="224">
        <v>0</v>
      </c>
    </row>
    <row r="1149" spans="1:9" ht="15.5" x14ac:dyDescent="0.35">
      <c r="A1149" s="224" t="s">
        <v>54</v>
      </c>
      <c r="B1149" s="224" t="s">
        <v>33</v>
      </c>
      <c r="C1149" s="224" t="s">
        <v>89</v>
      </c>
      <c r="D1149" s="224" t="s">
        <v>9</v>
      </c>
      <c r="E1149" s="224" t="s">
        <v>256</v>
      </c>
      <c r="F1149" s="224" t="s">
        <v>249</v>
      </c>
      <c r="G1149" s="223" t="str">
        <f>VLOOKUP($B1149,'FRS geographical categories'!$A$2:$C$45,2,FALSE)</f>
        <v>Predominantly Urban</v>
      </c>
      <c r="H1149" s="223" t="str">
        <f>VLOOKUP($B1149,'FRS geographical categories'!$A$2:$C$45,3,FALSE)</f>
        <v>Non-metropolitan</v>
      </c>
      <c r="I1149" s="224">
        <v>0</v>
      </c>
    </row>
    <row r="1150" spans="1:9" ht="15.5" x14ac:dyDescent="0.35">
      <c r="A1150" s="224" t="s">
        <v>54</v>
      </c>
      <c r="B1150" s="224" t="s">
        <v>33</v>
      </c>
      <c r="C1150" s="224" t="s">
        <v>89</v>
      </c>
      <c r="D1150" s="224" t="s">
        <v>9</v>
      </c>
      <c r="E1150" s="224" t="s">
        <v>256</v>
      </c>
      <c r="F1150" s="224" t="s">
        <v>250</v>
      </c>
      <c r="G1150" s="223" t="str">
        <f>VLOOKUP($B1150,'FRS geographical categories'!$A$2:$C$45,2,FALSE)</f>
        <v>Predominantly Urban</v>
      </c>
      <c r="H1150" s="223" t="str">
        <f>VLOOKUP($B1150,'FRS geographical categories'!$A$2:$C$45,3,FALSE)</f>
        <v>Non-metropolitan</v>
      </c>
      <c r="I1150" s="224">
        <v>0</v>
      </c>
    </row>
    <row r="1151" spans="1:9" ht="15.5" x14ac:dyDescent="0.35">
      <c r="A1151" s="224" t="s">
        <v>54</v>
      </c>
      <c r="B1151" s="224" t="s">
        <v>33</v>
      </c>
      <c r="C1151" s="224" t="s">
        <v>89</v>
      </c>
      <c r="D1151" s="224" t="s">
        <v>9</v>
      </c>
      <c r="E1151" s="224" t="s">
        <v>256</v>
      </c>
      <c r="F1151" s="224" t="s">
        <v>10</v>
      </c>
      <c r="G1151" s="223" t="str">
        <f>VLOOKUP($B1151,'FRS geographical categories'!$A$2:$C$45,2,FALSE)</f>
        <v>Predominantly Urban</v>
      </c>
      <c r="H1151" s="223" t="str">
        <f>VLOOKUP($B1151,'FRS geographical categories'!$A$2:$C$45,3,FALSE)</f>
        <v>Non-metropolitan</v>
      </c>
      <c r="I1151" s="224">
        <v>0</v>
      </c>
    </row>
    <row r="1152" spans="1:9" ht="15.5" x14ac:dyDescent="0.35">
      <c r="A1152" s="224" t="s">
        <v>54</v>
      </c>
      <c r="B1152" s="224" t="s">
        <v>33</v>
      </c>
      <c r="C1152" s="224" t="s">
        <v>89</v>
      </c>
      <c r="D1152" s="224" t="s">
        <v>55</v>
      </c>
      <c r="E1152" s="224" t="s">
        <v>256</v>
      </c>
      <c r="F1152" s="224" t="s">
        <v>248</v>
      </c>
      <c r="G1152" s="223" t="str">
        <f>VLOOKUP($B1152,'FRS geographical categories'!$A$2:$C$45,2,FALSE)</f>
        <v>Predominantly Urban</v>
      </c>
      <c r="H1152" s="223" t="str">
        <f>VLOOKUP($B1152,'FRS geographical categories'!$A$2:$C$45,3,FALSE)</f>
        <v>Non-metropolitan</v>
      </c>
      <c r="I1152" s="224">
        <v>0</v>
      </c>
    </row>
    <row r="1153" spans="1:9" ht="15.5" x14ac:dyDescent="0.35">
      <c r="A1153" s="224" t="s">
        <v>54</v>
      </c>
      <c r="B1153" s="224" t="s">
        <v>33</v>
      </c>
      <c r="C1153" s="224" t="s">
        <v>89</v>
      </c>
      <c r="D1153" s="224" t="s">
        <v>55</v>
      </c>
      <c r="E1153" s="224" t="s">
        <v>256</v>
      </c>
      <c r="F1153" s="224" t="s">
        <v>249</v>
      </c>
      <c r="G1153" s="223" t="str">
        <f>VLOOKUP($B1153,'FRS geographical categories'!$A$2:$C$45,2,FALSE)</f>
        <v>Predominantly Urban</v>
      </c>
      <c r="H1153" s="223" t="str">
        <f>VLOOKUP($B1153,'FRS geographical categories'!$A$2:$C$45,3,FALSE)</f>
        <v>Non-metropolitan</v>
      </c>
      <c r="I1153" s="224">
        <v>0</v>
      </c>
    </row>
    <row r="1154" spans="1:9" ht="15.5" x14ac:dyDescent="0.35">
      <c r="A1154" s="224" t="s">
        <v>54</v>
      </c>
      <c r="B1154" s="224" t="s">
        <v>33</v>
      </c>
      <c r="C1154" s="224" t="s">
        <v>89</v>
      </c>
      <c r="D1154" s="224" t="s">
        <v>55</v>
      </c>
      <c r="E1154" s="224" t="s">
        <v>256</v>
      </c>
      <c r="F1154" s="224" t="s">
        <v>250</v>
      </c>
      <c r="G1154" s="223" t="str">
        <f>VLOOKUP($B1154,'FRS geographical categories'!$A$2:$C$45,2,FALSE)</f>
        <v>Predominantly Urban</v>
      </c>
      <c r="H1154" s="223" t="str">
        <f>VLOOKUP($B1154,'FRS geographical categories'!$A$2:$C$45,3,FALSE)</f>
        <v>Non-metropolitan</v>
      </c>
      <c r="I1154" s="224">
        <v>0</v>
      </c>
    </row>
    <row r="1155" spans="1:9" ht="15.5" x14ac:dyDescent="0.35">
      <c r="A1155" s="224" t="s">
        <v>54</v>
      </c>
      <c r="B1155" s="224" t="s">
        <v>33</v>
      </c>
      <c r="C1155" s="224" t="s">
        <v>89</v>
      </c>
      <c r="D1155" s="224" t="s">
        <v>55</v>
      </c>
      <c r="E1155" s="224" t="s">
        <v>256</v>
      </c>
      <c r="F1155" s="224" t="s">
        <v>10</v>
      </c>
      <c r="G1155" s="223" t="str">
        <f>VLOOKUP($B1155,'FRS geographical categories'!$A$2:$C$45,2,FALSE)</f>
        <v>Predominantly Urban</v>
      </c>
      <c r="H1155" s="223" t="str">
        <f>VLOOKUP($B1155,'FRS geographical categories'!$A$2:$C$45,3,FALSE)</f>
        <v>Non-metropolitan</v>
      </c>
      <c r="I1155" s="224">
        <v>0</v>
      </c>
    </row>
    <row r="1156" spans="1:9" ht="15.5" x14ac:dyDescent="0.35">
      <c r="A1156" s="224" t="s">
        <v>54</v>
      </c>
      <c r="B1156" s="224" t="s">
        <v>34</v>
      </c>
      <c r="C1156" s="224" t="s">
        <v>86</v>
      </c>
      <c r="D1156" s="224" t="s">
        <v>9</v>
      </c>
      <c r="E1156" s="224" t="s">
        <v>256</v>
      </c>
      <c r="F1156" s="224" t="s">
        <v>248</v>
      </c>
      <c r="G1156" s="223" t="str">
        <f>VLOOKUP($B1156,'FRS geographical categories'!$A$2:$C$45,2,FALSE)</f>
        <v>Significantly Rural</v>
      </c>
      <c r="H1156" s="223" t="str">
        <f>VLOOKUP($B1156,'FRS geographical categories'!$A$2:$C$45,3,FALSE)</f>
        <v>Non-metropolitan</v>
      </c>
      <c r="I1156" s="224">
        <v>221</v>
      </c>
    </row>
    <row r="1157" spans="1:9" ht="15.5" x14ac:dyDescent="0.35">
      <c r="A1157" s="224" t="s">
        <v>54</v>
      </c>
      <c r="B1157" s="224" t="s">
        <v>34</v>
      </c>
      <c r="C1157" s="224" t="s">
        <v>86</v>
      </c>
      <c r="D1157" s="224" t="s">
        <v>9</v>
      </c>
      <c r="E1157" s="224" t="s">
        <v>256</v>
      </c>
      <c r="F1157" s="224" t="s">
        <v>249</v>
      </c>
      <c r="G1157" s="223" t="str">
        <f>VLOOKUP($B1157,'FRS geographical categories'!$A$2:$C$45,2,FALSE)</f>
        <v>Significantly Rural</v>
      </c>
      <c r="H1157" s="223" t="str">
        <f>VLOOKUP($B1157,'FRS geographical categories'!$A$2:$C$45,3,FALSE)</f>
        <v>Non-metropolitan</v>
      </c>
      <c r="I1157" s="224">
        <v>470</v>
      </c>
    </row>
    <row r="1158" spans="1:9" ht="15.5" x14ac:dyDescent="0.35">
      <c r="A1158" s="224" t="s">
        <v>54</v>
      </c>
      <c r="B1158" s="224" t="s">
        <v>34</v>
      </c>
      <c r="C1158" s="224" t="s">
        <v>86</v>
      </c>
      <c r="D1158" s="224" t="s">
        <v>9</v>
      </c>
      <c r="E1158" s="224" t="s">
        <v>256</v>
      </c>
      <c r="F1158" s="224" t="s">
        <v>250</v>
      </c>
      <c r="G1158" s="223" t="str">
        <f>VLOOKUP($B1158,'FRS geographical categories'!$A$2:$C$45,2,FALSE)</f>
        <v>Significantly Rural</v>
      </c>
      <c r="H1158" s="223" t="str">
        <f>VLOOKUP($B1158,'FRS geographical categories'!$A$2:$C$45,3,FALSE)</f>
        <v>Non-metropolitan</v>
      </c>
      <c r="I1158" s="224">
        <v>302</v>
      </c>
    </row>
    <row r="1159" spans="1:9" ht="15.5" x14ac:dyDescent="0.35">
      <c r="A1159" s="224" t="s">
        <v>54</v>
      </c>
      <c r="B1159" s="224" t="s">
        <v>34</v>
      </c>
      <c r="C1159" s="224" t="s">
        <v>86</v>
      </c>
      <c r="D1159" s="224" t="s">
        <v>9</v>
      </c>
      <c r="E1159" s="224" t="s">
        <v>256</v>
      </c>
      <c r="F1159" s="224" t="s">
        <v>111</v>
      </c>
      <c r="G1159" s="223" t="str">
        <f>VLOOKUP($B1159,'FRS geographical categories'!$A$2:$C$45,2,FALSE)</f>
        <v>Significantly Rural</v>
      </c>
      <c r="H1159" s="223" t="str">
        <f>VLOOKUP($B1159,'FRS geographical categories'!$A$2:$C$45,3,FALSE)</f>
        <v>Non-metropolitan</v>
      </c>
      <c r="I1159" s="224">
        <v>1245</v>
      </c>
    </row>
    <row r="1160" spans="1:9" ht="15.5" x14ac:dyDescent="0.35">
      <c r="A1160" s="224" t="s">
        <v>54</v>
      </c>
      <c r="B1160" s="224" t="s">
        <v>34</v>
      </c>
      <c r="C1160" s="224" t="s">
        <v>86</v>
      </c>
      <c r="D1160" s="224" t="s">
        <v>9</v>
      </c>
      <c r="E1160" s="224" t="s">
        <v>256</v>
      </c>
      <c r="F1160" s="224" t="s">
        <v>10</v>
      </c>
      <c r="G1160" s="223" t="str">
        <f>VLOOKUP($B1160,'FRS geographical categories'!$A$2:$C$45,2,FALSE)</f>
        <v>Significantly Rural</v>
      </c>
      <c r="H1160" s="223" t="str">
        <f>VLOOKUP($B1160,'FRS geographical categories'!$A$2:$C$45,3,FALSE)</f>
        <v>Non-metropolitan</v>
      </c>
      <c r="I1160" s="224">
        <v>1558</v>
      </c>
    </row>
    <row r="1161" spans="1:9" ht="15.5" x14ac:dyDescent="0.35">
      <c r="A1161" s="224" t="s">
        <v>54</v>
      </c>
      <c r="B1161" s="224" t="s">
        <v>34</v>
      </c>
      <c r="C1161" s="224" t="s">
        <v>86</v>
      </c>
      <c r="D1161" s="224" t="s">
        <v>55</v>
      </c>
      <c r="E1161" s="224" t="s">
        <v>256</v>
      </c>
      <c r="F1161" s="224" t="s">
        <v>248</v>
      </c>
      <c r="G1161" s="223" t="str">
        <f>VLOOKUP($B1161,'FRS geographical categories'!$A$2:$C$45,2,FALSE)</f>
        <v>Significantly Rural</v>
      </c>
      <c r="H1161" s="223" t="str">
        <f>VLOOKUP($B1161,'FRS geographical categories'!$A$2:$C$45,3,FALSE)</f>
        <v>Non-metropolitan</v>
      </c>
      <c r="I1161" s="224">
        <v>1019</v>
      </c>
    </row>
    <row r="1162" spans="1:9" ht="15.5" x14ac:dyDescent="0.35">
      <c r="A1162" s="224" t="s">
        <v>54</v>
      </c>
      <c r="B1162" s="224" t="s">
        <v>34</v>
      </c>
      <c r="C1162" s="224" t="s">
        <v>86</v>
      </c>
      <c r="D1162" s="224" t="s">
        <v>55</v>
      </c>
      <c r="E1162" s="224" t="s">
        <v>256</v>
      </c>
      <c r="F1162" s="224" t="s">
        <v>249</v>
      </c>
      <c r="G1162" s="223" t="str">
        <f>VLOOKUP($B1162,'FRS geographical categories'!$A$2:$C$45,2,FALSE)</f>
        <v>Significantly Rural</v>
      </c>
      <c r="H1162" s="223" t="str">
        <f>VLOOKUP($B1162,'FRS geographical categories'!$A$2:$C$45,3,FALSE)</f>
        <v>Non-metropolitan</v>
      </c>
      <c r="I1162" s="224">
        <v>2540</v>
      </c>
    </row>
    <row r="1163" spans="1:9" ht="15.5" x14ac:dyDescent="0.35">
      <c r="A1163" s="224" t="s">
        <v>54</v>
      </c>
      <c r="B1163" s="224" t="s">
        <v>34</v>
      </c>
      <c r="C1163" s="224" t="s">
        <v>86</v>
      </c>
      <c r="D1163" s="224" t="s">
        <v>55</v>
      </c>
      <c r="E1163" s="224" t="s">
        <v>256</v>
      </c>
      <c r="F1163" s="224" t="s">
        <v>250</v>
      </c>
      <c r="G1163" s="223" t="str">
        <f>VLOOKUP($B1163,'FRS geographical categories'!$A$2:$C$45,2,FALSE)</f>
        <v>Significantly Rural</v>
      </c>
      <c r="H1163" s="223" t="str">
        <f>VLOOKUP($B1163,'FRS geographical categories'!$A$2:$C$45,3,FALSE)</f>
        <v>Non-metropolitan</v>
      </c>
      <c r="I1163" s="224">
        <v>1317</v>
      </c>
    </row>
    <row r="1164" spans="1:9" ht="15.5" x14ac:dyDescent="0.35">
      <c r="A1164" s="224" t="s">
        <v>54</v>
      </c>
      <c r="B1164" s="224" t="s">
        <v>34</v>
      </c>
      <c r="C1164" s="224" t="s">
        <v>86</v>
      </c>
      <c r="D1164" s="224" t="s">
        <v>55</v>
      </c>
      <c r="E1164" s="224" t="s">
        <v>256</v>
      </c>
      <c r="F1164" s="224" t="s">
        <v>111</v>
      </c>
      <c r="G1164" s="223" t="str">
        <f>VLOOKUP($B1164,'FRS geographical categories'!$A$2:$C$45,2,FALSE)</f>
        <v>Significantly Rural</v>
      </c>
      <c r="H1164" s="223" t="str">
        <f>VLOOKUP($B1164,'FRS geographical categories'!$A$2:$C$45,3,FALSE)</f>
        <v>Non-metropolitan</v>
      </c>
      <c r="I1164" s="224">
        <v>4969</v>
      </c>
    </row>
    <row r="1165" spans="1:9" ht="15.5" x14ac:dyDescent="0.35">
      <c r="A1165" s="224" t="s">
        <v>54</v>
      </c>
      <c r="B1165" s="224" t="s">
        <v>34</v>
      </c>
      <c r="C1165" s="224" t="s">
        <v>86</v>
      </c>
      <c r="D1165" s="224" t="s">
        <v>55</v>
      </c>
      <c r="E1165" s="224" t="s">
        <v>256</v>
      </c>
      <c r="F1165" s="224" t="s">
        <v>10</v>
      </c>
      <c r="G1165" s="223" t="str">
        <f>VLOOKUP($B1165,'FRS geographical categories'!$A$2:$C$45,2,FALSE)</f>
        <v>Significantly Rural</v>
      </c>
      <c r="H1165" s="223" t="str">
        <f>VLOOKUP($B1165,'FRS geographical categories'!$A$2:$C$45,3,FALSE)</f>
        <v>Non-metropolitan</v>
      </c>
      <c r="I1165" s="224">
        <v>7175</v>
      </c>
    </row>
    <row r="1166" spans="1:9" ht="15.5" x14ac:dyDescent="0.35">
      <c r="A1166" s="224" t="s">
        <v>54</v>
      </c>
      <c r="B1166" s="224" t="s">
        <v>34</v>
      </c>
      <c r="C1166" s="224" t="s">
        <v>89</v>
      </c>
      <c r="D1166" s="224" t="s">
        <v>9</v>
      </c>
      <c r="E1166" s="224" t="s">
        <v>256</v>
      </c>
      <c r="F1166" s="224" t="s">
        <v>248</v>
      </c>
      <c r="G1166" s="223" t="str">
        <f>VLOOKUP($B1166,'FRS geographical categories'!$A$2:$C$45,2,FALSE)</f>
        <v>Significantly Rural</v>
      </c>
      <c r="H1166" s="223" t="str">
        <f>VLOOKUP($B1166,'FRS geographical categories'!$A$2:$C$45,3,FALSE)</f>
        <v>Non-metropolitan</v>
      </c>
      <c r="I1166" s="224">
        <v>0</v>
      </c>
    </row>
    <row r="1167" spans="1:9" ht="15.5" x14ac:dyDescent="0.35">
      <c r="A1167" s="224" t="s">
        <v>54</v>
      </c>
      <c r="B1167" s="224" t="s">
        <v>34</v>
      </c>
      <c r="C1167" s="224" t="s">
        <v>89</v>
      </c>
      <c r="D1167" s="224" t="s">
        <v>9</v>
      </c>
      <c r="E1167" s="224" t="s">
        <v>256</v>
      </c>
      <c r="F1167" s="224" t="s">
        <v>249</v>
      </c>
      <c r="G1167" s="223" t="str">
        <f>VLOOKUP($B1167,'FRS geographical categories'!$A$2:$C$45,2,FALSE)</f>
        <v>Significantly Rural</v>
      </c>
      <c r="H1167" s="223" t="str">
        <f>VLOOKUP($B1167,'FRS geographical categories'!$A$2:$C$45,3,FALSE)</f>
        <v>Non-metropolitan</v>
      </c>
      <c r="I1167" s="224">
        <v>0</v>
      </c>
    </row>
    <row r="1168" spans="1:9" ht="15.5" x14ac:dyDescent="0.35">
      <c r="A1168" s="224" t="s">
        <v>54</v>
      </c>
      <c r="B1168" s="224" t="s">
        <v>34</v>
      </c>
      <c r="C1168" s="224" t="s">
        <v>89</v>
      </c>
      <c r="D1168" s="224" t="s">
        <v>9</v>
      </c>
      <c r="E1168" s="224" t="s">
        <v>256</v>
      </c>
      <c r="F1168" s="224" t="s">
        <v>250</v>
      </c>
      <c r="G1168" s="223" t="str">
        <f>VLOOKUP($B1168,'FRS geographical categories'!$A$2:$C$45,2,FALSE)</f>
        <v>Significantly Rural</v>
      </c>
      <c r="H1168" s="223" t="str">
        <f>VLOOKUP($B1168,'FRS geographical categories'!$A$2:$C$45,3,FALSE)</f>
        <v>Non-metropolitan</v>
      </c>
      <c r="I1168" s="224">
        <v>0</v>
      </c>
    </row>
    <row r="1169" spans="1:9" ht="15.5" x14ac:dyDescent="0.35">
      <c r="A1169" s="224" t="s">
        <v>54</v>
      </c>
      <c r="B1169" s="224" t="s">
        <v>34</v>
      </c>
      <c r="C1169" s="224" t="s">
        <v>89</v>
      </c>
      <c r="D1169" s="224" t="s">
        <v>9</v>
      </c>
      <c r="E1169" s="224" t="s">
        <v>256</v>
      </c>
      <c r="F1169" s="224" t="s">
        <v>10</v>
      </c>
      <c r="G1169" s="223" t="str">
        <f>VLOOKUP($B1169,'FRS geographical categories'!$A$2:$C$45,2,FALSE)</f>
        <v>Significantly Rural</v>
      </c>
      <c r="H1169" s="223" t="str">
        <f>VLOOKUP($B1169,'FRS geographical categories'!$A$2:$C$45,3,FALSE)</f>
        <v>Non-metropolitan</v>
      </c>
      <c r="I1169" s="224">
        <v>1</v>
      </c>
    </row>
    <row r="1170" spans="1:9" ht="15.5" x14ac:dyDescent="0.35">
      <c r="A1170" s="224" t="s">
        <v>54</v>
      </c>
      <c r="B1170" s="224" t="s">
        <v>34</v>
      </c>
      <c r="C1170" s="224" t="s">
        <v>89</v>
      </c>
      <c r="D1170" s="224" t="s">
        <v>55</v>
      </c>
      <c r="E1170" s="224" t="s">
        <v>256</v>
      </c>
      <c r="F1170" s="224" t="s">
        <v>248</v>
      </c>
      <c r="G1170" s="223" t="str">
        <f>VLOOKUP($B1170,'FRS geographical categories'!$A$2:$C$45,2,FALSE)</f>
        <v>Significantly Rural</v>
      </c>
      <c r="H1170" s="223" t="str">
        <f>VLOOKUP($B1170,'FRS geographical categories'!$A$2:$C$45,3,FALSE)</f>
        <v>Non-metropolitan</v>
      </c>
      <c r="I1170" s="224">
        <v>0</v>
      </c>
    </row>
    <row r="1171" spans="1:9" ht="15.5" x14ac:dyDescent="0.35">
      <c r="A1171" s="224" t="s">
        <v>54</v>
      </c>
      <c r="B1171" s="224" t="s">
        <v>34</v>
      </c>
      <c r="C1171" s="224" t="s">
        <v>89</v>
      </c>
      <c r="D1171" s="224" t="s">
        <v>55</v>
      </c>
      <c r="E1171" s="224" t="s">
        <v>256</v>
      </c>
      <c r="F1171" s="224" t="s">
        <v>249</v>
      </c>
      <c r="G1171" s="223" t="str">
        <f>VLOOKUP($B1171,'FRS geographical categories'!$A$2:$C$45,2,FALSE)</f>
        <v>Significantly Rural</v>
      </c>
      <c r="H1171" s="223" t="str">
        <f>VLOOKUP($B1171,'FRS geographical categories'!$A$2:$C$45,3,FALSE)</f>
        <v>Non-metropolitan</v>
      </c>
      <c r="I1171" s="224">
        <v>0</v>
      </c>
    </row>
    <row r="1172" spans="1:9" ht="15.5" x14ac:dyDescent="0.35">
      <c r="A1172" s="224" t="s">
        <v>54</v>
      </c>
      <c r="B1172" s="224" t="s">
        <v>34</v>
      </c>
      <c r="C1172" s="224" t="s">
        <v>89</v>
      </c>
      <c r="D1172" s="224" t="s">
        <v>55</v>
      </c>
      <c r="E1172" s="224" t="s">
        <v>256</v>
      </c>
      <c r="F1172" s="224" t="s">
        <v>250</v>
      </c>
      <c r="G1172" s="223" t="str">
        <f>VLOOKUP($B1172,'FRS geographical categories'!$A$2:$C$45,2,FALSE)</f>
        <v>Significantly Rural</v>
      </c>
      <c r="H1172" s="223" t="str">
        <f>VLOOKUP($B1172,'FRS geographical categories'!$A$2:$C$45,3,FALSE)</f>
        <v>Non-metropolitan</v>
      </c>
      <c r="I1172" s="224">
        <v>31</v>
      </c>
    </row>
    <row r="1173" spans="1:9" ht="15.5" x14ac:dyDescent="0.35">
      <c r="A1173" s="224" t="s">
        <v>54</v>
      </c>
      <c r="B1173" s="224" t="s">
        <v>34</v>
      </c>
      <c r="C1173" s="224" t="s">
        <v>89</v>
      </c>
      <c r="D1173" s="224" t="s">
        <v>55</v>
      </c>
      <c r="E1173" s="224" t="s">
        <v>256</v>
      </c>
      <c r="F1173" s="224" t="s">
        <v>10</v>
      </c>
      <c r="G1173" s="223" t="str">
        <f>VLOOKUP($B1173,'FRS geographical categories'!$A$2:$C$45,2,FALSE)</f>
        <v>Significantly Rural</v>
      </c>
      <c r="H1173" s="223" t="str">
        <f>VLOOKUP($B1173,'FRS geographical categories'!$A$2:$C$45,3,FALSE)</f>
        <v>Non-metropolitan</v>
      </c>
      <c r="I1173" s="224">
        <v>133</v>
      </c>
    </row>
    <row r="1174" spans="1:9" ht="15.5" x14ac:dyDescent="0.35">
      <c r="A1174" s="224" t="s">
        <v>54</v>
      </c>
      <c r="B1174" s="224" t="s">
        <v>35</v>
      </c>
      <c r="C1174" s="224" t="s">
        <v>86</v>
      </c>
      <c r="D1174" s="224" t="s">
        <v>9</v>
      </c>
      <c r="E1174" s="224" t="s">
        <v>256</v>
      </c>
      <c r="F1174" s="224" t="s">
        <v>248</v>
      </c>
      <c r="G1174" s="223" t="str">
        <f>VLOOKUP($B1174,'FRS geographical categories'!$A$2:$C$45,2,FALSE)</f>
        <v>Predominantly Rural</v>
      </c>
      <c r="H1174" s="223" t="str">
        <f>VLOOKUP($B1174,'FRS geographical categories'!$A$2:$C$45,3,FALSE)</f>
        <v>Non-metropolitan</v>
      </c>
      <c r="I1174" s="224">
        <v>174</v>
      </c>
    </row>
    <row r="1175" spans="1:9" ht="15.5" x14ac:dyDescent="0.35">
      <c r="A1175" s="224" t="s">
        <v>54</v>
      </c>
      <c r="B1175" s="224" t="s">
        <v>35</v>
      </c>
      <c r="C1175" s="224" t="s">
        <v>86</v>
      </c>
      <c r="D1175" s="224" t="s">
        <v>9</v>
      </c>
      <c r="E1175" s="224" t="s">
        <v>256</v>
      </c>
      <c r="F1175" s="224" t="s">
        <v>249</v>
      </c>
      <c r="G1175" s="223" t="str">
        <f>VLOOKUP($B1175,'FRS geographical categories'!$A$2:$C$45,2,FALSE)</f>
        <v>Predominantly Rural</v>
      </c>
      <c r="H1175" s="223" t="str">
        <f>VLOOKUP($B1175,'FRS geographical categories'!$A$2:$C$45,3,FALSE)</f>
        <v>Non-metropolitan</v>
      </c>
      <c r="I1175" s="224">
        <v>426</v>
      </c>
    </row>
    <row r="1176" spans="1:9" ht="15.5" x14ac:dyDescent="0.35">
      <c r="A1176" s="224" t="s">
        <v>54</v>
      </c>
      <c r="B1176" s="224" t="s">
        <v>35</v>
      </c>
      <c r="C1176" s="224" t="s">
        <v>86</v>
      </c>
      <c r="D1176" s="224" t="s">
        <v>9</v>
      </c>
      <c r="E1176" s="224" t="s">
        <v>256</v>
      </c>
      <c r="F1176" s="224" t="s">
        <v>250</v>
      </c>
      <c r="G1176" s="223" t="str">
        <f>VLOOKUP($B1176,'FRS geographical categories'!$A$2:$C$45,2,FALSE)</f>
        <v>Predominantly Rural</v>
      </c>
      <c r="H1176" s="223" t="str">
        <f>VLOOKUP($B1176,'FRS geographical categories'!$A$2:$C$45,3,FALSE)</f>
        <v>Non-metropolitan</v>
      </c>
      <c r="I1176" s="224">
        <v>98</v>
      </c>
    </row>
    <row r="1177" spans="1:9" ht="15.5" x14ac:dyDescent="0.35">
      <c r="A1177" s="224" t="s">
        <v>54</v>
      </c>
      <c r="B1177" s="224" t="s">
        <v>35</v>
      </c>
      <c r="C1177" s="224" t="s">
        <v>86</v>
      </c>
      <c r="D1177" s="224" t="s">
        <v>9</v>
      </c>
      <c r="E1177" s="224" t="s">
        <v>256</v>
      </c>
      <c r="F1177" s="224" t="s">
        <v>111</v>
      </c>
      <c r="G1177" s="223" t="str">
        <f>VLOOKUP($B1177,'FRS geographical categories'!$A$2:$C$45,2,FALSE)</f>
        <v>Predominantly Rural</v>
      </c>
      <c r="H1177" s="223" t="str">
        <f>VLOOKUP($B1177,'FRS geographical categories'!$A$2:$C$45,3,FALSE)</f>
        <v>Non-metropolitan</v>
      </c>
      <c r="I1177" s="224">
        <v>309</v>
      </c>
    </row>
    <row r="1178" spans="1:9" ht="15.5" x14ac:dyDescent="0.35">
      <c r="A1178" s="224" t="s">
        <v>54</v>
      </c>
      <c r="B1178" s="224" t="s">
        <v>35</v>
      </c>
      <c r="C1178" s="224" t="s">
        <v>86</v>
      </c>
      <c r="D1178" s="224" t="s">
        <v>9</v>
      </c>
      <c r="E1178" s="224" t="s">
        <v>256</v>
      </c>
      <c r="F1178" s="224" t="s">
        <v>10</v>
      </c>
      <c r="G1178" s="223" t="str">
        <f>VLOOKUP($B1178,'FRS geographical categories'!$A$2:$C$45,2,FALSE)</f>
        <v>Predominantly Rural</v>
      </c>
      <c r="H1178" s="223" t="str">
        <f>VLOOKUP($B1178,'FRS geographical categories'!$A$2:$C$45,3,FALSE)</f>
        <v>Non-metropolitan</v>
      </c>
      <c r="I1178" s="224">
        <v>434</v>
      </c>
    </row>
    <row r="1179" spans="1:9" ht="15.5" x14ac:dyDescent="0.35">
      <c r="A1179" s="224" t="s">
        <v>54</v>
      </c>
      <c r="B1179" s="224" t="s">
        <v>35</v>
      </c>
      <c r="C1179" s="224" t="s">
        <v>86</v>
      </c>
      <c r="D1179" s="224" t="s">
        <v>55</v>
      </c>
      <c r="E1179" s="224" t="s">
        <v>256</v>
      </c>
      <c r="F1179" s="224" t="s">
        <v>248</v>
      </c>
      <c r="G1179" s="223" t="str">
        <f>VLOOKUP($B1179,'FRS geographical categories'!$A$2:$C$45,2,FALSE)</f>
        <v>Predominantly Rural</v>
      </c>
      <c r="H1179" s="223" t="str">
        <f>VLOOKUP($B1179,'FRS geographical categories'!$A$2:$C$45,3,FALSE)</f>
        <v>Non-metropolitan</v>
      </c>
      <c r="I1179" s="224">
        <v>0</v>
      </c>
    </row>
    <row r="1180" spans="1:9" ht="15.5" x14ac:dyDescent="0.35">
      <c r="A1180" s="224" t="s">
        <v>54</v>
      </c>
      <c r="B1180" s="224" t="s">
        <v>35</v>
      </c>
      <c r="C1180" s="224" t="s">
        <v>86</v>
      </c>
      <c r="D1180" s="224" t="s">
        <v>55</v>
      </c>
      <c r="E1180" s="224" t="s">
        <v>256</v>
      </c>
      <c r="F1180" s="224" t="s">
        <v>249</v>
      </c>
      <c r="G1180" s="223" t="str">
        <f>VLOOKUP($B1180,'FRS geographical categories'!$A$2:$C$45,2,FALSE)</f>
        <v>Predominantly Rural</v>
      </c>
      <c r="H1180" s="223" t="str">
        <f>VLOOKUP($B1180,'FRS geographical categories'!$A$2:$C$45,3,FALSE)</f>
        <v>Non-metropolitan</v>
      </c>
      <c r="I1180" s="224">
        <v>0</v>
      </c>
    </row>
    <row r="1181" spans="1:9" ht="15.5" x14ac:dyDescent="0.35">
      <c r="A1181" s="224" t="s">
        <v>54</v>
      </c>
      <c r="B1181" s="224" t="s">
        <v>35</v>
      </c>
      <c r="C1181" s="224" t="s">
        <v>86</v>
      </c>
      <c r="D1181" s="224" t="s">
        <v>55</v>
      </c>
      <c r="E1181" s="224" t="s">
        <v>256</v>
      </c>
      <c r="F1181" s="224" t="s">
        <v>250</v>
      </c>
      <c r="G1181" s="223" t="str">
        <f>VLOOKUP($B1181,'FRS geographical categories'!$A$2:$C$45,2,FALSE)</f>
        <v>Predominantly Rural</v>
      </c>
      <c r="H1181" s="223" t="str">
        <f>VLOOKUP($B1181,'FRS geographical categories'!$A$2:$C$45,3,FALSE)</f>
        <v>Non-metropolitan</v>
      </c>
      <c r="I1181" s="224">
        <v>0</v>
      </c>
    </row>
    <row r="1182" spans="1:9" ht="15.5" x14ac:dyDescent="0.35">
      <c r="A1182" s="224" t="s">
        <v>54</v>
      </c>
      <c r="B1182" s="224" t="s">
        <v>35</v>
      </c>
      <c r="C1182" s="224" t="s">
        <v>86</v>
      </c>
      <c r="D1182" s="224" t="s">
        <v>55</v>
      </c>
      <c r="E1182" s="224" t="s">
        <v>256</v>
      </c>
      <c r="F1182" s="224" t="s">
        <v>111</v>
      </c>
      <c r="G1182" s="223" t="str">
        <f>VLOOKUP($B1182,'FRS geographical categories'!$A$2:$C$45,2,FALSE)</f>
        <v>Predominantly Rural</v>
      </c>
      <c r="H1182" s="223" t="str">
        <f>VLOOKUP($B1182,'FRS geographical categories'!$A$2:$C$45,3,FALSE)</f>
        <v>Non-metropolitan</v>
      </c>
      <c r="I1182" s="224">
        <v>0</v>
      </c>
    </row>
    <row r="1183" spans="1:9" ht="15.5" x14ac:dyDescent="0.35">
      <c r="A1183" s="224" t="s">
        <v>54</v>
      </c>
      <c r="B1183" s="224" t="s">
        <v>35</v>
      </c>
      <c r="C1183" s="224" t="s">
        <v>86</v>
      </c>
      <c r="D1183" s="224" t="s">
        <v>55</v>
      </c>
      <c r="E1183" s="224" t="s">
        <v>256</v>
      </c>
      <c r="F1183" s="224" t="s">
        <v>10</v>
      </c>
      <c r="G1183" s="223" t="str">
        <f>VLOOKUP($B1183,'FRS geographical categories'!$A$2:$C$45,2,FALSE)</f>
        <v>Predominantly Rural</v>
      </c>
      <c r="H1183" s="223" t="str">
        <f>VLOOKUP($B1183,'FRS geographical categories'!$A$2:$C$45,3,FALSE)</f>
        <v>Non-metropolitan</v>
      </c>
      <c r="I1183" s="224">
        <v>1643</v>
      </c>
    </row>
    <row r="1184" spans="1:9" ht="15.5" x14ac:dyDescent="0.35">
      <c r="A1184" s="224" t="s">
        <v>54</v>
      </c>
      <c r="B1184" s="224" t="s">
        <v>35</v>
      </c>
      <c r="C1184" s="224" t="s">
        <v>89</v>
      </c>
      <c r="D1184" s="224" t="s">
        <v>9</v>
      </c>
      <c r="E1184" s="224" t="s">
        <v>256</v>
      </c>
      <c r="F1184" s="224" t="s">
        <v>248</v>
      </c>
      <c r="G1184" s="223" t="str">
        <f>VLOOKUP($B1184,'FRS geographical categories'!$A$2:$C$45,2,FALSE)</f>
        <v>Predominantly Rural</v>
      </c>
      <c r="H1184" s="223" t="str">
        <f>VLOOKUP($B1184,'FRS geographical categories'!$A$2:$C$45,3,FALSE)</f>
        <v>Non-metropolitan</v>
      </c>
      <c r="I1184" s="224">
        <v>0</v>
      </c>
    </row>
    <row r="1185" spans="1:9" ht="15.5" x14ac:dyDescent="0.35">
      <c r="A1185" s="224" t="s">
        <v>54</v>
      </c>
      <c r="B1185" s="224" t="s">
        <v>35</v>
      </c>
      <c r="C1185" s="224" t="s">
        <v>89</v>
      </c>
      <c r="D1185" s="224" t="s">
        <v>9</v>
      </c>
      <c r="E1185" s="224" t="s">
        <v>256</v>
      </c>
      <c r="F1185" s="224" t="s">
        <v>249</v>
      </c>
      <c r="G1185" s="223" t="str">
        <f>VLOOKUP($B1185,'FRS geographical categories'!$A$2:$C$45,2,FALSE)</f>
        <v>Predominantly Rural</v>
      </c>
      <c r="H1185" s="223" t="str">
        <f>VLOOKUP($B1185,'FRS geographical categories'!$A$2:$C$45,3,FALSE)</f>
        <v>Non-metropolitan</v>
      </c>
      <c r="I1185" s="224">
        <v>0</v>
      </c>
    </row>
    <row r="1186" spans="1:9" ht="15.5" x14ac:dyDescent="0.35">
      <c r="A1186" s="224" t="s">
        <v>54</v>
      </c>
      <c r="B1186" s="224" t="s">
        <v>35</v>
      </c>
      <c r="C1186" s="224" t="s">
        <v>89</v>
      </c>
      <c r="D1186" s="224" t="s">
        <v>9</v>
      </c>
      <c r="E1186" s="224" t="s">
        <v>256</v>
      </c>
      <c r="F1186" s="224" t="s">
        <v>250</v>
      </c>
      <c r="G1186" s="223" t="str">
        <f>VLOOKUP($B1186,'FRS geographical categories'!$A$2:$C$45,2,FALSE)</f>
        <v>Predominantly Rural</v>
      </c>
      <c r="H1186" s="223" t="str">
        <f>VLOOKUP($B1186,'FRS geographical categories'!$A$2:$C$45,3,FALSE)</f>
        <v>Non-metropolitan</v>
      </c>
      <c r="I1186" s="224">
        <v>0</v>
      </c>
    </row>
    <row r="1187" spans="1:9" ht="15.5" x14ac:dyDescent="0.35">
      <c r="A1187" s="224" t="s">
        <v>54</v>
      </c>
      <c r="B1187" s="224" t="s">
        <v>35</v>
      </c>
      <c r="C1187" s="224" t="s">
        <v>89</v>
      </c>
      <c r="D1187" s="224" t="s">
        <v>9</v>
      </c>
      <c r="E1187" s="224" t="s">
        <v>256</v>
      </c>
      <c r="F1187" s="224" t="s">
        <v>10</v>
      </c>
      <c r="G1187" s="223" t="str">
        <f>VLOOKUP($B1187,'FRS geographical categories'!$A$2:$C$45,2,FALSE)</f>
        <v>Predominantly Rural</v>
      </c>
      <c r="H1187" s="223" t="str">
        <f>VLOOKUP($B1187,'FRS geographical categories'!$A$2:$C$45,3,FALSE)</f>
        <v>Non-metropolitan</v>
      </c>
      <c r="I1187" s="224">
        <v>0</v>
      </c>
    </row>
    <row r="1188" spans="1:9" ht="15.5" x14ac:dyDescent="0.35">
      <c r="A1188" s="224" t="s">
        <v>54</v>
      </c>
      <c r="B1188" s="224" t="s">
        <v>35</v>
      </c>
      <c r="C1188" s="224" t="s">
        <v>89</v>
      </c>
      <c r="D1188" s="224" t="s">
        <v>55</v>
      </c>
      <c r="E1188" s="224" t="s">
        <v>256</v>
      </c>
      <c r="F1188" s="224" t="s">
        <v>248</v>
      </c>
      <c r="G1188" s="223" t="str">
        <f>VLOOKUP($B1188,'FRS geographical categories'!$A$2:$C$45,2,FALSE)</f>
        <v>Predominantly Rural</v>
      </c>
      <c r="H1188" s="223" t="str">
        <f>VLOOKUP($B1188,'FRS geographical categories'!$A$2:$C$45,3,FALSE)</f>
        <v>Non-metropolitan</v>
      </c>
      <c r="I1188" s="224">
        <v>0</v>
      </c>
    </row>
    <row r="1189" spans="1:9" ht="15.5" x14ac:dyDescent="0.35">
      <c r="A1189" s="224" t="s">
        <v>54</v>
      </c>
      <c r="B1189" s="224" t="s">
        <v>35</v>
      </c>
      <c r="C1189" s="224" t="s">
        <v>89</v>
      </c>
      <c r="D1189" s="224" t="s">
        <v>55</v>
      </c>
      <c r="E1189" s="224" t="s">
        <v>256</v>
      </c>
      <c r="F1189" s="224" t="s">
        <v>249</v>
      </c>
      <c r="G1189" s="223" t="str">
        <f>VLOOKUP($B1189,'FRS geographical categories'!$A$2:$C$45,2,FALSE)</f>
        <v>Predominantly Rural</v>
      </c>
      <c r="H1189" s="223" t="str">
        <f>VLOOKUP($B1189,'FRS geographical categories'!$A$2:$C$45,3,FALSE)</f>
        <v>Non-metropolitan</v>
      </c>
      <c r="I1189" s="224">
        <v>0</v>
      </c>
    </row>
    <row r="1190" spans="1:9" ht="15.5" x14ac:dyDescent="0.35">
      <c r="A1190" s="224" t="s">
        <v>54</v>
      </c>
      <c r="B1190" s="224" t="s">
        <v>35</v>
      </c>
      <c r="C1190" s="224" t="s">
        <v>89</v>
      </c>
      <c r="D1190" s="224" t="s">
        <v>55</v>
      </c>
      <c r="E1190" s="224" t="s">
        <v>256</v>
      </c>
      <c r="F1190" s="224" t="s">
        <v>250</v>
      </c>
      <c r="G1190" s="223" t="str">
        <f>VLOOKUP($B1190,'FRS geographical categories'!$A$2:$C$45,2,FALSE)</f>
        <v>Predominantly Rural</v>
      </c>
      <c r="H1190" s="223" t="str">
        <f>VLOOKUP($B1190,'FRS geographical categories'!$A$2:$C$45,3,FALSE)</f>
        <v>Non-metropolitan</v>
      </c>
      <c r="I1190" s="224">
        <v>0</v>
      </c>
    </row>
    <row r="1191" spans="1:9" ht="15.5" x14ac:dyDescent="0.35">
      <c r="A1191" s="224" t="s">
        <v>54</v>
      </c>
      <c r="B1191" s="224" t="s">
        <v>35</v>
      </c>
      <c r="C1191" s="224" t="s">
        <v>89</v>
      </c>
      <c r="D1191" s="224" t="s">
        <v>55</v>
      </c>
      <c r="E1191" s="224" t="s">
        <v>256</v>
      </c>
      <c r="F1191" s="224" t="s">
        <v>10</v>
      </c>
      <c r="G1191" s="223" t="str">
        <f>VLOOKUP($B1191,'FRS geographical categories'!$A$2:$C$45,2,FALSE)</f>
        <v>Predominantly Rural</v>
      </c>
      <c r="H1191" s="223" t="str">
        <f>VLOOKUP($B1191,'FRS geographical categories'!$A$2:$C$45,3,FALSE)</f>
        <v>Non-metropolitan</v>
      </c>
      <c r="I1191" s="224">
        <v>0</v>
      </c>
    </row>
    <row r="1192" spans="1:9" ht="15.5" x14ac:dyDescent="0.35">
      <c r="A1192" s="224" t="s">
        <v>54</v>
      </c>
      <c r="B1192" s="224" t="s">
        <v>36</v>
      </c>
      <c r="C1192" s="224" t="s">
        <v>86</v>
      </c>
      <c r="D1192" s="224" t="s">
        <v>9</v>
      </c>
      <c r="E1192" s="224" t="s">
        <v>256</v>
      </c>
      <c r="F1192" s="224" t="s">
        <v>248</v>
      </c>
      <c r="G1192" s="223" t="str">
        <f>VLOOKUP($B1192,'FRS geographical categories'!$A$2:$C$45,2,FALSE)</f>
        <v>Predominantly Urban</v>
      </c>
      <c r="H1192" s="223" t="str">
        <f>VLOOKUP($B1192,'FRS geographical categories'!$A$2:$C$45,3,FALSE)</f>
        <v>Metropolitan</v>
      </c>
      <c r="I1192" s="224">
        <v>1293</v>
      </c>
    </row>
    <row r="1193" spans="1:9" ht="15.5" x14ac:dyDescent="0.35">
      <c r="A1193" s="224" t="s">
        <v>54</v>
      </c>
      <c r="B1193" s="224" t="s">
        <v>36</v>
      </c>
      <c r="C1193" s="224" t="s">
        <v>86</v>
      </c>
      <c r="D1193" s="224" t="s">
        <v>9</v>
      </c>
      <c r="E1193" s="224" t="s">
        <v>256</v>
      </c>
      <c r="F1193" s="224" t="s">
        <v>249</v>
      </c>
      <c r="G1193" s="223" t="str">
        <f>VLOOKUP($B1193,'FRS geographical categories'!$A$2:$C$45,2,FALSE)</f>
        <v>Predominantly Urban</v>
      </c>
      <c r="H1193" s="223" t="str">
        <f>VLOOKUP($B1193,'FRS geographical categories'!$A$2:$C$45,3,FALSE)</f>
        <v>Metropolitan</v>
      </c>
      <c r="I1193" s="224">
        <v>4223</v>
      </c>
    </row>
    <row r="1194" spans="1:9" ht="15.5" x14ac:dyDescent="0.35">
      <c r="A1194" s="224" t="s">
        <v>54</v>
      </c>
      <c r="B1194" s="224" t="s">
        <v>36</v>
      </c>
      <c r="C1194" s="224" t="s">
        <v>86</v>
      </c>
      <c r="D1194" s="224" t="s">
        <v>9</v>
      </c>
      <c r="E1194" s="224" t="s">
        <v>256</v>
      </c>
      <c r="F1194" s="224" t="s">
        <v>250</v>
      </c>
      <c r="G1194" s="223" t="str">
        <f>VLOOKUP($B1194,'FRS geographical categories'!$A$2:$C$45,2,FALSE)</f>
        <v>Predominantly Urban</v>
      </c>
      <c r="H1194" s="223" t="str">
        <f>VLOOKUP($B1194,'FRS geographical categories'!$A$2:$C$45,3,FALSE)</f>
        <v>Metropolitan</v>
      </c>
      <c r="I1194" s="224">
        <v>3040</v>
      </c>
    </row>
    <row r="1195" spans="1:9" ht="15.5" x14ac:dyDescent="0.35">
      <c r="A1195" s="224" t="s">
        <v>54</v>
      </c>
      <c r="B1195" s="224" t="s">
        <v>36</v>
      </c>
      <c r="C1195" s="224" t="s">
        <v>86</v>
      </c>
      <c r="D1195" s="224" t="s">
        <v>9</v>
      </c>
      <c r="E1195" s="224" t="s">
        <v>256</v>
      </c>
      <c r="F1195" s="224" t="s">
        <v>111</v>
      </c>
      <c r="G1195" s="223" t="str">
        <f>VLOOKUP($B1195,'FRS geographical categories'!$A$2:$C$45,2,FALSE)</f>
        <v>Predominantly Urban</v>
      </c>
      <c r="H1195" s="223" t="str">
        <f>VLOOKUP($B1195,'FRS geographical categories'!$A$2:$C$45,3,FALSE)</f>
        <v>Metropolitan</v>
      </c>
      <c r="I1195" s="224">
        <v>10574</v>
      </c>
    </row>
    <row r="1196" spans="1:9" ht="15.5" x14ac:dyDescent="0.35">
      <c r="A1196" s="224" t="s">
        <v>54</v>
      </c>
      <c r="B1196" s="224" t="s">
        <v>36</v>
      </c>
      <c r="C1196" s="224" t="s">
        <v>86</v>
      </c>
      <c r="D1196" s="224" t="s">
        <v>9</v>
      </c>
      <c r="E1196" s="224" t="s">
        <v>256</v>
      </c>
      <c r="F1196" s="224" t="s">
        <v>10</v>
      </c>
      <c r="G1196" s="223" t="str">
        <f>VLOOKUP($B1196,'FRS geographical categories'!$A$2:$C$45,2,FALSE)</f>
        <v>Predominantly Urban</v>
      </c>
      <c r="H1196" s="223" t="str">
        <f>VLOOKUP($B1196,'FRS geographical categories'!$A$2:$C$45,3,FALSE)</f>
        <v>Metropolitan</v>
      </c>
      <c r="I1196" s="224">
        <v>11449</v>
      </c>
    </row>
    <row r="1197" spans="1:9" ht="15.5" x14ac:dyDescent="0.35">
      <c r="A1197" s="224" t="s">
        <v>54</v>
      </c>
      <c r="B1197" s="224" t="s">
        <v>36</v>
      </c>
      <c r="C1197" s="224" t="s">
        <v>86</v>
      </c>
      <c r="D1197" s="224" t="s">
        <v>55</v>
      </c>
      <c r="E1197" s="224" t="s">
        <v>256</v>
      </c>
      <c r="F1197" s="224" t="s">
        <v>248</v>
      </c>
      <c r="G1197" s="223" t="str">
        <f>VLOOKUP($B1197,'FRS geographical categories'!$A$2:$C$45,2,FALSE)</f>
        <v>Predominantly Urban</v>
      </c>
      <c r="H1197" s="223" t="str">
        <f>VLOOKUP($B1197,'FRS geographical categories'!$A$2:$C$45,3,FALSE)</f>
        <v>Metropolitan</v>
      </c>
      <c r="I1197" s="224">
        <v>0</v>
      </c>
    </row>
    <row r="1198" spans="1:9" ht="15.5" x14ac:dyDescent="0.35">
      <c r="A1198" s="224" t="s">
        <v>54</v>
      </c>
      <c r="B1198" s="224" t="s">
        <v>36</v>
      </c>
      <c r="C1198" s="224" t="s">
        <v>86</v>
      </c>
      <c r="D1198" s="224" t="s">
        <v>55</v>
      </c>
      <c r="E1198" s="224" t="s">
        <v>256</v>
      </c>
      <c r="F1198" s="224" t="s">
        <v>249</v>
      </c>
      <c r="G1198" s="223" t="str">
        <f>VLOOKUP($B1198,'FRS geographical categories'!$A$2:$C$45,2,FALSE)</f>
        <v>Predominantly Urban</v>
      </c>
      <c r="H1198" s="223" t="str">
        <f>VLOOKUP($B1198,'FRS geographical categories'!$A$2:$C$45,3,FALSE)</f>
        <v>Metropolitan</v>
      </c>
      <c r="I1198" s="224">
        <v>0</v>
      </c>
    </row>
    <row r="1199" spans="1:9" ht="15.5" x14ac:dyDescent="0.35">
      <c r="A1199" s="224" t="s">
        <v>54</v>
      </c>
      <c r="B1199" s="224" t="s">
        <v>36</v>
      </c>
      <c r="C1199" s="224" t="s">
        <v>86</v>
      </c>
      <c r="D1199" s="224" t="s">
        <v>55</v>
      </c>
      <c r="E1199" s="224" t="s">
        <v>256</v>
      </c>
      <c r="F1199" s="224" t="s">
        <v>250</v>
      </c>
      <c r="G1199" s="223" t="str">
        <f>VLOOKUP($B1199,'FRS geographical categories'!$A$2:$C$45,2,FALSE)</f>
        <v>Predominantly Urban</v>
      </c>
      <c r="H1199" s="223" t="str">
        <f>VLOOKUP($B1199,'FRS geographical categories'!$A$2:$C$45,3,FALSE)</f>
        <v>Metropolitan</v>
      </c>
      <c r="I1199" s="224">
        <v>0</v>
      </c>
    </row>
    <row r="1200" spans="1:9" ht="15.5" x14ac:dyDescent="0.35">
      <c r="A1200" s="224" t="s">
        <v>54</v>
      </c>
      <c r="B1200" s="224" t="s">
        <v>36</v>
      </c>
      <c r="C1200" s="224" t="s">
        <v>86</v>
      </c>
      <c r="D1200" s="224" t="s">
        <v>55</v>
      </c>
      <c r="E1200" s="224" t="s">
        <v>256</v>
      </c>
      <c r="F1200" s="224" t="s">
        <v>111</v>
      </c>
      <c r="G1200" s="223" t="str">
        <f>VLOOKUP($B1200,'FRS geographical categories'!$A$2:$C$45,2,FALSE)</f>
        <v>Predominantly Urban</v>
      </c>
      <c r="H1200" s="223" t="str">
        <f>VLOOKUP($B1200,'FRS geographical categories'!$A$2:$C$45,3,FALSE)</f>
        <v>Metropolitan</v>
      </c>
      <c r="I1200" s="224">
        <v>0</v>
      </c>
    </row>
    <row r="1201" spans="1:9" ht="15.5" x14ac:dyDescent="0.35">
      <c r="A1201" s="224" t="s">
        <v>54</v>
      </c>
      <c r="B1201" s="224" t="s">
        <v>36</v>
      </c>
      <c r="C1201" s="224" t="s">
        <v>86</v>
      </c>
      <c r="D1201" s="224" t="s">
        <v>55</v>
      </c>
      <c r="E1201" s="224" t="s">
        <v>256</v>
      </c>
      <c r="F1201" s="224" t="s">
        <v>10</v>
      </c>
      <c r="G1201" s="223" t="str">
        <f>VLOOKUP($B1201,'FRS geographical categories'!$A$2:$C$45,2,FALSE)</f>
        <v>Predominantly Urban</v>
      </c>
      <c r="H1201" s="223" t="str">
        <f>VLOOKUP($B1201,'FRS geographical categories'!$A$2:$C$45,3,FALSE)</f>
        <v>Metropolitan</v>
      </c>
      <c r="I1201" s="224">
        <v>0</v>
      </c>
    </row>
    <row r="1202" spans="1:9" ht="15.5" x14ac:dyDescent="0.35">
      <c r="A1202" s="224" t="s">
        <v>54</v>
      </c>
      <c r="B1202" s="224" t="s">
        <v>36</v>
      </c>
      <c r="C1202" s="224" t="s">
        <v>89</v>
      </c>
      <c r="D1202" s="224" t="s">
        <v>9</v>
      </c>
      <c r="E1202" s="224" t="s">
        <v>256</v>
      </c>
      <c r="F1202" s="224" t="s">
        <v>248</v>
      </c>
      <c r="G1202" s="223" t="str">
        <f>VLOOKUP($B1202,'FRS geographical categories'!$A$2:$C$45,2,FALSE)</f>
        <v>Predominantly Urban</v>
      </c>
      <c r="H1202" s="223" t="str">
        <f>VLOOKUP($B1202,'FRS geographical categories'!$A$2:$C$45,3,FALSE)</f>
        <v>Metropolitan</v>
      </c>
      <c r="I1202" s="224">
        <v>0</v>
      </c>
    </row>
    <row r="1203" spans="1:9" ht="15.5" x14ac:dyDescent="0.35">
      <c r="A1203" s="224" t="s">
        <v>54</v>
      </c>
      <c r="B1203" s="224" t="s">
        <v>36</v>
      </c>
      <c r="C1203" s="224" t="s">
        <v>89</v>
      </c>
      <c r="D1203" s="224" t="s">
        <v>9</v>
      </c>
      <c r="E1203" s="224" t="s">
        <v>256</v>
      </c>
      <c r="F1203" s="224" t="s">
        <v>249</v>
      </c>
      <c r="G1203" s="223" t="str">
        <f>VLOOKUP($B1203,'FRS geographical categories'!$A$2:$C$45,2,FALSE)</f>
        <v>Predominantly Urban</v>
      </c>
      <c r="H1203" s="223" t="str">
        <f>VLOOKUP($B1203,'FRS geographical categories'!$A$2:$C$45,3,FALSE)</f>
        <v>Metropolitan</v>
      </c>
      <c r="I1203" s="224">
        <v>0</v>
      </c>
    </row>
    <row r="1204" spans="1:9" ht="15.5" x14ac:dyDescent="0.35">
      <c r="A1204" s="224" t="s">
        <v>54</v>
      </c>
      <c r="B1204" s="224" t="s">
        <v>36</v>
      </c>
      <c r="C1204" s="224" t="s">
        <v>89</v>
      </c>
      <c r="D1204" s="224" t="s">
        <v>9</v>
      </c>
      <c r="E1204" s="224" t="s">
        <v>256</v>
      </c>
      <c r="F1204" s="224" t="s">
        <v>250</v>
      </c>
      <c r="G1204" s="223" t="str">
        <f>VLOOKUP($B1204,'FRS geographical categories'!$A$2:$C$45,2,FALSE)</f>
        <v>Predominantly Urban</v>
      </c>
      <c r="H1204" s="223" t="str">
        <f>VLOOKUP($B1204,'FRS geographical categories'!$A$2:$C$45,3,FALSE)</f>
        <v>Metropolitan</v>
      </c>
      <c r="I1204" s="224">
        <v>0</v>
      </c>
    </row>
    <row r="1205" spans="1:9" ht="15.5" x14ac:dyDescent="0.35">
      <c r="A1205" s="224" t="s">
        <v>54</v>
      </c>
      <c r="B1205" s="224" t="s">
        <v>36</v>
      </c>
      <c r="C1205" s="224" t="s">
        <v>89</v>
      </c>
      <c r="D1205" s="224" t="s">
        <v>9</v>
      </c>
      <c r="E1205" s="224" t="s">
        <v>256</v>
      </c>
      <c r="F1205" s="224" t="s">
        <v>10</v>
      </c>
      <c r="G1205" s="223" t="str">
        <f>VLOOKUP($B1205,'FRS geographical categories'!$A$2:$C$45,2,FALSE)</f>
        <v>Predominantly Urban</v>
      </c>
      <c r="H1205" s="223" t="str">
        <f>VLOOKUP($B1205,'FRS geographical categories'!$A$2:$C$45,3,FALSE)</f>
        <v>Metropolitan</v>
      </c>
      <c r="I1205" s="224">
        <v>0</v>
      </c>
    </row>
    <row r="1206" spans="1:9" ht="15.5" x14ac:dyDescent="0.35">
      <c r="A1206" s="224" t="s">
        <v>54</v>
      </c>
      <c r="B1206" s="224" t="s">
        <v>36</v>
      </c>
      <c r="C1206" s="224" t="s">
        <v>89</v>
      </c>
      <c r="D1206" s="224" t="s">
        <v>55</v>
      </c>
      <c r="E1206" s="224" t="s">
        <v>256</v>
      </c>
      <c r="F1206" s="224" t="s">
        <v>248</v>
      </c>
      <c r="G1206" s="223" t="str">
        <f>VLOOKUP($B1206,'FRS geographical categories'!$A$2:$C$45,2,FALSE)</f>
        <v>Predominantly Urban</v>
      </c>
      <c r="H1206" s="223" t="str">
        <f>VLOOKUP($B1206,'FRS geographical categories'!$A$2:$C$45,3,FALSE)</f>
        <v>Metropolitan</v>
      </c>
      <c r="I1206" s="224">
        <v>0</v>
      </c>
    </row>
    <row r="1207" spans="1:9" ht="15.5" x14ac:dyDescent="0.35">
      <c r="A1207" s="224" t="s">
        <v>54</v>
      </c>
      <c r="B1207" s="224" t="s">
        <v>36</v>
      </c>
      <c r="C1207" s="224" t="s">
        <v>89</v>
      </c>
      <c r="D1207" s="224" t="s">
        <v>55</v>
      </c>
      <c r="E1207" s="224" t="s">
        <v>256</v>
      </c>
      <c r="F1207" s="224" t="s">
        <v>249</v>
      </c>
      <c r="G1207" s="223" t="str">
        <f>VLOOKUP($B1207,'FRS geographical categories'!$A$2:$C$45,2,FALSE)</f>
        <v>Predominantly Urban</v>
      </c>
      <c r="H1207" s="223" t="str">
        <f>VLOOKUP($B1207,'FRS geographical categories'!$A$2:$C$45,3,FALSE)</f>
        <v>Metropolitan</v>
      </c>
      <c r="I1207" s="224">
        <v>0</v>
      </c>
    </row>
    <row r="1208" spans="1:9" ht="15.5" x14ac:dyDescent="0.35">
      <c r="A1208" s="224" t="s">
        <v>54</v>
      </c>
      <c r="B1208" s="224" t="s">
        <v>36</v>
      </c>
      <c r="C1208" s="224" t="s">
        <v>89</v>
      </c>
      <c r="D1208" s="224" t="s">
        <v>55</v>
      </c>
      <c r="E1208" s="224" t="s">
        <v>256</v>
      </c>
      <c r="F1208" s="224" t="s">
        <v>250</v>
      </c>
      <c r="G1208" s="223" t="str">
        <f>VLOOKUP($B1208,'FRS geographical categories'!$A$2:$C$45,2,FALSE)</f>
        <v>Predominantly Urban</v>
      </c>
      <c r="H1208" s="223" t="str">
        <f>VLOOKUP($B1208,'FRS geographical categories'!$A$2:$C$45,3,FALSE)</f>
        <v>Metropolitan</v>
      </c>
      <c r="I1208" s="224">
        <v>0</v>
      </c>
    </row>
    <row r="1209" spans="1:9" ht="15.5" x14ac:dyDescent="0.35">
      <c r="A1209" s="224" t="s">
        <v>54</v>
      </c>
      <c r="B1209" s="224" t="s">
        <v>36</v>
      </c>
      <c r="C1209" s="224" t="s">
        <v>89</v>
      </c>
      <c r="D1209" s="224" t="s">
        <v>55</v>
      </c>
      <c r="E1209" s="224" t="s">
        <v>256</v>
      </c>
      <c r="F1209" s="224" t="s">
        <v>10</v>
      </c>
      <c r="G1209" s="223" t="str">
        <f>VLOOKUP($B1209,'FRS geographical categories'!$A$2:$C$45,2,FALSE)</f>
        <v>Predominantly Urban</v>
      </c>
      <c r="H1209" s="223" t="str">
        <f>VLOOKUP($B1209,'FRS geographical categories'!$A$2:$C$45,3,FALSE)</f>
        <v>Metropolitan</v>
      </c>
      <c r="I1209" s="224">
        <v>0</v>
      </c>
    </row>
    <row r="1210" spans="1:9" ht="15.5" x14ac:dyDescent="0.35">
      <c r="A1210" s="224" t="s">
        <v>54</v>
      </c>
      <c r="B1210" s="224" t="s">
        <v>37</v>
      </c>
      <c r="C1210" s="224" t="s">
        <v>86</v>
      </c>
      <c r="D1210" s="224" t="s">
        <v>9</v>
      </c>
      <c r="E1210" s="224" t="s">
        <v>256</v>
      </c>
      <c r="F1210" s="224" t="s">
        <v>248</v>
      </c>
      <c r="G1210" s="223" t="str">
        <f>VLOOKUP($B1210,'FRS geographical categories'!$A$2:$C$45,2,FALSE)</f>
        <v>Predominantly Rural</v>
      </c>
      <c r="H1210" s="223" t="str">
        <f>VLOOKUP($B1210,'FRS geographical categories'!$A$2:$C$45,3,FALSE)</f>
        <v>Non-metropolitan</v>
      </c>
      <c r="I1210" s="224">
        <v>37</v>
      </c>
    </row>
    <row r="1211" spans="1:9" ht="15.5" x14ac:dyDescent="0.35">
      <c r="A1211" s="224" t="s">
        <v>54</v>
      </c>
      <c r="B1211" s="224" t="s">
        <v>37</v>
      </c>
      <c r="C1211" s="224" t="s">
        <v>86</v>
      </c>
      <c r="D1211" s="224" t="s">
        <v>9</v>
      </c>
      <c r="E1211" s="224" t="s">
        <v>256</v>
      </c>
      <c r="F1211" s="224" t="s">
        <v>249</v>
      </c>
      <c r="G1211" s="223" t="str">
        <f>VLOOKUP($B1211,'FRS geographical categories'!$A$2:$C$45,2,FALSE)</f>
        <v>Predominantly Rural</v>
      </c>
      <c r="H1211" s="223" t="str">
        <f>VLOOKUP($B1211,'FRS geographical categories'!$A$2:$C$45,3,FALSE)</f>
        <v>Non-metropolitan</v>
      </c>
      <c r="I1211" s="224">
        <v>88</v>
      </c>
    </row>
    <row r="1212" spans="1:9" ht="15.5" x14ac:dyDescent="0.35">
      <c r="A1212" s="224" t="s">
        <v>54</v>
      </c>
      <c r="B1212" s="224" t="s">
        <v>37</v>
      </c>
      <c r="C1212" s="224" t="s">
        <v>86</v>
      </c>
      <c r="D1212" s="224" t="s">
        <v>9</v>
      </c>
      <c r="E1212" s="224" t="s">
        <v>256</v>
      </c>
      <c r="F1212" s="224" t="s">
        <v>250</v>
      </c>
      <c r="G1212" s="223" t="str">
        <f>VLOOKUP($B1212,'FRS geographical categories'!$A$2:$C$45,2,FALSE)</f>
        <v>Predominantly Rural</v>
      </c>
      <c r="H1212" s="223" t="str">
        <f>VLOOKUP($B1212,'FRS geographical categories'!$A$2:$C$45,3,FALSE)</f>
        <v>Non-metropolitan</v>
      </c>
      <c r="I1212" s="224">
        <v>44</v>
      </c>
    </row>
    <row r="1213" spans="1:9" ht="15.5" x14ac:dyDescent="0.35">
      <c r="A1213" s="224" t="s">
        <v>54</v>
      </c>
      <c r="B1213" s="224" t="s">
        <v>37</v>
      </c>
      <c r="C1213" s="224" t="s">
        <v>86</v>
      </c>
      <c r="D1213" s="224" t="s">
        <v>9</v>
      </c>
      <c r="E1213" s="224" t="s">
        <v>256</v>
      </c>
      <c r="F1213" s="224" t="s">
        <v>111</v>
      </c>
      <c r="G1213" s="223" t="str">
        <f>VLOOKUP($B1213,'FRS geographical categories'!$A$2:$C$45,2,FALSE)</f>
        <v>Predominantly Rural</v>
      </c>
      <c r="H1213" s="223" t="str">
        <f>VLOOKUP($B1213,'FRS geographical categories'!$A$2:$C$45,3,FALSE)</f>
        <v>Non-metropolitan</v>
      </c>
      <c r="I1213" s="224">
        <v>196</v>
      </c>
    </row>
    <row r="1214" spans="1:9" ht="15.5" x14ac:dyDescent="0.35">
      <c r="A1214" s="224" t="s">
        <v>54</v>
      </c>
      <c r="B1214" s="224" t="s">
        <v>37</v>
      </c>
      <c r="C1214" s="224" t="s">
        <v>86</v>
      </c>
      <c r="D1214" s="224" t="s">
        <v>9</v>
      </c>
      <c r="E1214" s="224" t="s">
        <v>256</v>
      </c>
      <c r="F1214" s="224" t="s">
        <v>10</v>
      </c>
      <c r="G1214" s="223" t="str">
        <f>VLOOKUP($B1214,'FRS geographical categories'!$A$2:$C$45,2,FALSE)</f>
        <v>Predominantly Rural</v>
      </c>
      <c r="H1214" s="223" t="str">
        <f>VLOOKUP($B1214,'FRS geographical categories'!$A$2:$C$45,3,FALSE)</f>
        <v>Non-metropolitan</v>
      </c>
      <c r="I1214" s="224">
        <v>221</v>
      </c>
    </row>
    <row r="1215" spans="1:9" ht="15.5" x14ac:dyDescent="0.35">
      <c r="A1215" s="224" t="s">
        <v>54</v>
      </c>
      <c r="B1215" s="224" t="s">
        <v>37</v>
      </c>
      <c r="C1215" s="224" t="s">
        <v>86</v>
      </c>
      <c r="D1215" s="224" t="s">
        <v>55</v>
      </c>
      <c r="E1215" s="224" t="s">
        <v>256</v>
      </c>
      <c r="F1215" s="224" t="s">
        <v>248</v>
      </c>
      <c r="G1215" s="223" t="str">
        <f>VLOOKUP($B1215,'FRS geographical categories'!$A$2:$C$45,2,FALSE)</f>
        <v>Predominantly Rural</v>
      </c>
      <c r="H1215" s="223" t="str">
        <f>VLOOKUP($B1215,'FRS geographical categories'!$A$2:$C$45,3,FALSE)</f>
        <v>Non-metropolitan</v>
      </c>
      <c r="I1215" s="224">
        <v>5</v>
      </c>
    </row>
    <row r="1216" spans="1:9" ht="15.5" x14ac:dyDescent="0.35">
      <c r="A1216" s="224" t="s">
        <v>54</v>
      </c>
      <c r="B1216" s="224" t="s">
        <v>37</v>
      </c>
      <c r="C1216" s="224" t="s">
        <v>86</v>
      </c>
      <c r="D1216" s="224" t="s">
        <v>55</v>
      </c>
      <c r="E1216" s="224" t="s">
        <v>256</v>
      </c>
      <c r="F1216" s="224" t="s">
        <v>249</v>
      </c>
      <c r="G1216" s="223" t="str">
        <f>VLOOKUP($B1216,'FRS geographical categories'!$A$2:$C$45,2,FALSE)</f>
        <v>Predominantly Rural</v>
      </c>
      <c r="H1216" s="223" t="str">
        <f>VLOOKUP($B1216,'FRS geographical categories'!$A$2:$C$45,3,FALSE)</f>
        <v>Non-metropolitan</v>
      </c>
      <c r="I1216" s="224">
        <v>61</v>
      </c>
    </row>
    <row r="1217" spans="1:9" ht="15.5" x14ac:dyDescent="0.35">
      <c r="A1217" s="224" t="s">
        <v>54</v>
      </c>
      <c r="B1217" s="224" t="s">
        <v>37</v>
      </c>
      <c r="C1217" s="224" t="s">
        <v>86</v>
      </c>
      <c r="D1217" s="224" t="s">
        <v>55</v>
      </c>
      <c r="E1217" s="224" t="s">
        <v>256</v>
      </c>
      <c r="F1217" s="224" t="s">
        <v>250</v>
      </c>
      <c r="G1217" s="223" t="str">
        <f>VLOOKUP($B1217,'FRS geographical categories'!$A$2:$C$45,2,FALSE)</f>
        <v>Predominantly Rural</v>
      </c>
      <c r="H1217" s="223" t="str">
        <f>VLOOKUP($B1217,'FRS geographical categories'!$A$2:$C$45,3,FALSE)</f>
        <v>Non-metropolitan</v>
      </c>
      <c r="I1217" s="224">
        <v>11</v>
      </c>
    </row>
    <row r="1218" spans="1:9" ht="15.5" x14ac:dyDescent="0.35">
      <c r="A1218" s="224" t="s">
        <v>54</v>
      </c>
      <c r="B1218" s="224" t="s">
        <v>37</v>
      </c>
      <c r="C1218" s="224" t="s">
        <v>86</v>
      </c>
      <c r="D1218" s="224" t="s">
        <v>55</v>
      </c>
      <c r="E1218" s="224" t="s">
        <v>256</v>
      </c>
      <c r="F1218" s="224" t="s">
        <v>111</v>
      </c>
      <c r="G1218" s="223" t="str">
        <f>VLOOKUP($B1218,'FRS geographical categories'!$A$2:$C$45,2,FALSE)</f>
        <v>Predominantly Rural</v>
      </c>
      <c r="H1218" s="223" t="str">
        <f>VLOOKUP($B1218,'FRS geographical categories'!$A$2:$C$45,3,FALSE)</f>
        <v>Non-metropolitan</v>
      </c>
      <c r="I1218" s="224">
        <v>512</v>
      </c>
    </row>
    <row r="1219" spans="1:9" ht="15.5" x14ac:dyDescent="0.35">
      <c r="A1219" s="224" t="s">
        <v>54</v>
      </c>
      <c r="B1219" s="224" t="s">
        <v>37</v>
      </c>
      <c r="C1219" s="224" t="s">
        <v>86</v>
      </c>
      <c r="D1219" s="224" t="s">
        <v>55</v>
      </c>
      <c r="E1219" s="224" t="s">
        <v>256</v>
      </c>
      <c r="F1219" s="224" t="s">
        <v>10</v>
      </c>
      <c r="G1219" s="223" t="str">
        <f>VLOOKUP($B1219,'FRS geographical categories'!$A$2:$C$45,2,FALSE)</f>
        <v>Predominantly Rural</v>
      </c>
      <c r="H1219" s="223" t="str">
        <f>VLOOKUP($B1219,'FRS geographical categories'!$A$2:$C$45,3,FALSE)</f>
        <v>Non-metropolitan</v>
      </c>
      <c r="I1219" s="224">
        <v>522</v>
      </c>
    </row>
    <row r="1220" spans="1:9" ht="15.5" x14ac:dyDescent="0.35">
      <c r="A1220" s="224" t="s">
        <v>54</v>
      </c>
      <c r="B1220" s="224" t="s">
        <v>37</v>
      </c>
      <c r="C1220" s="224" t="s">
        <v>89</v>
      </c>
      <c r="D1220" s="224" t="s">
        <v>9</v>
      </c>
      <c r="E1220" s="224" t="s">
        <v>256</v>
      </c>
      <c r="F1220" s="224" t="s">
        <v>248</v>
      </c>
      <c r="G1220" s="223" t="str">
        <f>VLOOKUP($B1220,'FRS geographical categories'!$A$2:$C$45,2,FALSE)</f>
        <v>Predominantly Rural</v>
      </c>
      <c r="H1220" s="223" t="str">
        <f>VLOOKUP($B1220,'FRS geographical categories'!$A$2:$C$45,3,FALSE)</f>
        <v>Non-metropolitan</v>
      </c>
      <c r="I1220" s="224">
        <v>0</v>
      </c>
    </row>
    <row r="1221" spans="1:9" ht="15.5" x14ac:dyDescent="0.35">
      <c r="A1221" s="224" t="s">
        <v>54</v>
      </c>
      <c r="B1221" s="224" t="s">
        <v>37</v>
      </c>
      <c r="C1221" s="224" t="s">
        <v>89</v>
      </c>
      <c r="D1221" s="224" t="s">
        <v>9</v>
      </c>
      <c r="E1221" s="224" t="s">
        <v>256</v>
      </c>
      <c r="F1221" s="224" t="s">
        <v>249</v>
      </c>
      <c r="G1221" s="223" t="str">
        <f>VLOOKUP($B1221,'FRS geographical categories'!$A$2:$C$45,2,FALSE)</f>
        <v>Predominantly Rural</v>
      </c>
      <c r="H1221" s="223" t="str">
        <f>VLOOKUP($B1221,'FRS geographical categories'!$A$2:$C$45,3,FALSE)</f>
        <v>Non-metropolitan</v>
      </c>
      <c r="I1221" s="224">
        <v>0</v>
      </c>
    </row>
    <row r="1222" spans="1:9" ht="15.5" x14ac:dyDescent="0.35">
      <c r="A1222" s="224" t="s">
        <v>54</v>
      </c>
      <c r="B1222" s="224" t="s">
        <v>37</v>
      </c>
      <c r="C1222" s="224" t="s">
        <v>89</v>
      </c>
      <c r="D1222" s="224" t="s">
        <v>9</v>
      </c>
      <c r="E1222" s="224" t="s">
        <v>256</v>
      </c>
      <c r="F1222" s="224" t="s">
        <v>250</v>
      </c>
      <c r="G1222" s="223" t="str">
        <f>VLOOKUP($B1222,'FRS geographical categories'!$A$2:$C$45,2,FALSE)</f>
        <v>Predominantly Rural</v>
      </c>
      <c r="H1222" s="223" t="str">
        <f>VLOOKUP($B1222,'FRS geographical categories'!$A$2:$C$45,3,FALSE)</f>
        <v>Non-metropolitan</v>
      </c>
      <c r="I1222" s="224">
        <v>0</v>
      </c>
    </row>
    <row r="1223" spans="1:9" ht="15.5" x14ac:dyDescent="0.35">
      <c r="A1223" s="224" t="s">
        <v>54</v>
      </c>
      <c r="B1223" s="224" t="s">
        <v>37</v>
      </c>
      <c r="C1223" s="224" t="s">
        <v>89</v>
      </c>
      <c r="D1223" s="224" t="s">
        <v>9</v>
      </c>
      <c r="E1223" s="224" t="s">
        <v>256</v>
      </c>
      <c r="F1223" s="224" t="s">
        <v>10</v>
      </c>
      <c r="G1223" s="223" t="str">
        <f>VLOOKUP($B1223,'FRS geographical categories'!$A$2:$C$45,2,FALSE)</f>
        <v>Predominantly Rural</v>
      </c>
      <c r="H1223" s="223" t="str">
        <f>VLOOKUP($B1223,'FRS geographical categories'!$A$2:$C$45,3,FALSE)</f>
        <v>Non-metropolitan</v>
      </c>
      <c r="I1223" s="224">
        <v>0</v>
      </c>
    </row>
    <row r="1224" spans="1:9" ht="15.5" x14ac:dyDescent="0.35">
      <c r="A1224" s="224" t="s">
        <v>54</v>
      </c>
      <c r="B1224" s="224" t="s">
        <v>37</v>
      </c>
      <c r="C1224" s="224" t="s">
        <v>89</v>
      </c>
      <c r="D1224" s="224" t="s">
        <v>55</v>
      </c>
      <c r="E1224" s="224" t="s">
        <v>256</v>
      </c>
      <c r="F1224" s="224" t="s">
        <v>248</v>
      </c>
      <c r="G1224" s="223" t="str">
        <f>VLOOKUP($B1224,'FRS geographical categories'!$A$2:$C$45,2,FALSE)</f>
        <v>Predominantly Rural</v>
      </c>
      <c r="H1224" s="223" t="str">
        <f>VLOOKUP($B1224,'FRS geographical categories'!$A$2:$C$45,3,FALSE)</f>
        <v>Non-metropolitan</v>
      </c>
      <c r="I1224" s="224">
        <v>0</v>
      </c>
    </row>
    <row r="1225" spans="1:9" ht="15.5" x14ac:dyDescent="0.35">
      <c r="A1225" s="224" t="s">
        <v>54</v>
      </c>
      <c r="B1225" s="224" t="s">
        <v>37</v>
      </c>
      <c r="C1225" s="224" t="s">
        <v>89</v>
      </c>
      <c r="D1225" s="224" t="s">
        <v>55</v>
      </c>
      <c r="E1225" s="224" t="s">
        <v>256</v>
      </c>
      <c r="F1225" s="224" t="s">
        <v>249</v>
      </c>
      <c r="G1225" s="223" t="str">
        <f>VLOOKUP($B1225,'FRS geographical categories'!$A$2:$C$45,2,FALSE)</f>
        <v>Predominantly Rural</v>
      </c>
      <c r="H1225" s="223" t="str">
        <f>VLOOKUP($B1225,'FRS geographical categories'!$A$2:$C$45,3,FALSE)</f>
        <v>Non-metropolitan</v>
      </c>
      <c r="I1225" s="224">
        <v>0</v>
      </c>
    </row>
    <row r="1226" spans="1:9" ht="15.5" x14ac:dyDescent="0.35">
      <c r="A1226" s="224" t="s">
        <v>54</v>
      </c>
      <c r="B1226" s="224" t="s">
        <v>37</v>
      </c>
      <c r="C1226" s="224" t="s">
        <v>89</v>
      </c>
      <c r="D1226" s="224" t="s">
        <v>55</v>
      </c>
      <c r="E1226" s="224" t="s">
        <v>256</v>
      </c>
      <c r="F1226" s="224" t="s">
        <v>250</v>
      </c>
      <c r="G1226" s="223" t="str">
        <f>VLOOKUP($B1226,'FRS geographical categories'!$A$2:$C$45,2,FALSE)</f>
        <v>Predominantly Rural</v>
      </c>
      <c r="H1226" s="223" t="str">
        <f>VLOOKUP($B1226,'FRS geographical categories'!$A$2:$C$45,3,FALSE)</f>
        <v>Non-metropolitan</v>
      </c>
      <c r="I1226" s="224">
        <v>0</v>
      </c>
    </row>
    <row r="1227" spans="1:9" ht="15.5" x14ac:dyDescent="0.35">
      <c r="A1227" s="224" t="s">
        <v>54</v>
      </c>
      <c r="B1227" s="224" t="s">
        <v>37</v>
      </c>
      <c r="C1227" s="224" t="s">
        <v>89</v>
      </c>
      <c r="D1227" s="224" t="s">
        <v>55</v>
      </c>
      <c r="E1227" s="224" t="s">
        <v>256</v>
      </c>
      <c r="F1227" s="224" t="s">
        <v>10</v>
      </c>
      <c r="G1227" s="223" t="str">
        <f>VLOOKUP($B1227,'FRS geographical categories'!$A$2:$C$45,2,FALSE)</f>
        <v>Predominantly Rural</v>
      </c>
      <c r="H1227" s="223" t="str">
        <f>VLOOKUP($B1227,'FRS geographical categories'!$A$2:$C$45,3,FALSE)</f>
        <v>Non-metropolitan</v>
      </c>
      <c r="I1227" s="224">
        <v>0</v>
      </c>
    </row>
    <row r="1228" spans="1:9" ht="15.5" x14ac:dyDescent="0.35">
      <c r="A1228" s="224" t="s">
        <v>54</v>
      </c>
      <c r="B1228" s="224" t="s">
        <v>38</v>
      </c>
      <c r="C1228" s="224" t="s">
        <v>86</v>
      </c>
      <c r="D1228" s="224" t="s">
        <v>9</v>
      </c>
      <c r="E1228" s="224" t="s">
        <v>256</v>
      </c>
      <c r="F1228" s="224" t="s">
        <v>248</v>
      </c>
      <c r="G1228" s="223" t="str">
        <f>VLOOKUP($B1228,'FRS geographical categories'!$A$2:$C$45,2,FALSE)</f>
        <v>Predominantly Rural</v>
      </c>
      <c r="H1228" s="223" t="str">
        <f>VLOOKUP($B1228,'FRS geographical categories'!$A$2:$C$45,3,FALSE)</f>
        <v>Non-metropolitan</v>
      </c>
      <c r="I1228" s="224">
        <v>0</v>
      </c>
    </row>
    <row r="1229" spans="1:9" ht="15.5" x14ac:dyDescent="0.35">
      <c r="A1229" s="224" t="s">
        <v>54</v>
      </c>
      <c r="B1229" s="224" t="s">
        <v>38</v>
      </c>
      <c r="C1229" s="224" t="s">
        <v>86</v>
      </c>
      <c r="D1229" s="224" t="s">
        <v>9</v>
      </c>
      <c r="E1229" s="224" t="s">
        <v>256</v>
      </c>
      <c r="F1229" s="224" t="s">
        <v>249</v>
      </c>
      <c r="G1229" s="223" t="str">
        <f>VLOOKUP($B1229,'FRS geographical categories'!$A$2:$C$45,2,FALSE)</f>
        <v>Predominantly Rural</v>
      </c>
      <c r="H1229" s="223" t="str">
        <f>VLOOKUP($B1229,'FRS geographical categories'!$A$2:$C$45,3,FALSE)</f>
        <v>Non-metropolitan</v>
      </c>
      <c r="I1229" s="224">
        <v>0</v>
      </c>
    </row>
    <row r="1230" spans="1:9" ht="15.5" x14ac:dyDescent="0.35">
      <c r="A1230" s="224" t="s">
        <v>54</v>
      </c>
      <c r="B1230" s="224" t="s">
        <v>38</v>
      </c>
      <c r="C1230" s="224" t="s">
        <v>86</v>
      </c>
      <c r="D1230" s="224" t="s">
        <v>9</v>
      </c>
      <c r="E1230" s="224" t="s">
        <v>256</v>
      </c>
      <c r="F1230" s="224" t="s">
        <v>250</v>
      </c>
      <c r="G1230" s="223" t="str">
        <f>VLOOKUP($B1230,'FRS geographical categories'!$A$2:$C$45,2,FALSE)</f>
        <v>Predominantly Rural</v>
      </c>
      <c r="H1230" s="223" t="str">
        <f>VLOOKUP($B1230,'FRS geographical categories'!$A$2:$C$45,3,FALSE)</f>
        <v>Non-metropolitan</v>
      </c>
      <c r="I1230" s="224">
        <v>0</v>
      </c>
    </row>
    <row r="1231" spans="1:9" ht="15.5" x14ac:dyDescent="0.35">
      <c r="A1231" s="224" t="s">
        <v>54</v>
      </c>
      <c r="B1231" s="224" t="s">
        <v>38</v>
      </c>
      <c r="C1231" s="224" t="s">
        <v>86</v>
      </c>
      <c r="D1231" s="224" t="s">
        <v>9</v>
      </c>
      <c r="E1231" s="224" t="s">
        <v>256</v>
      </c>
      <c r="F1231" s="224" t="s">
        <v>111</v>
      </c>
      <c r="G1231" s="223" t="str">
        <f>VLOOKUP($B1231,'FRS geographical categories'!$A$2:$C$45,2,FALSE)</f>
        <v>Predominantly Rural</v>
      </c>
      <c r="H1231" s="223" t="str">
        <f>VLOOKUP($B1231,'FRS geographical categories'!$A$2:$C$45,3,FALSE)</f>
        <v>Non-metropolitan</v>
      </c>
      <c r="I1231" s="224">
        <v>0</v>
      </c>
    </row>
    <row r="1232" spans="1:9" ht="15.5" x14ac:dyDescent="0.35">
      <c r="A1232" s="224" t="s">
        <v>54</v>
      </c>
      <c r="B1232" s="224" t="s">
        <v>38</v>
      </c>
      <c r="C1232" s="224" t="s">
        <v>86</v>
      </c>
      <c r="D1232" s="224" t="s">
        <v>9</v>
      </c>
      <c r="E1232" s="224" t="s">
        <v>256</v>
      </c>
      <c r="F1232" s="224" t="s">
        <v>10</v>
      </c>
      <c r="G1232" s="223" t="str">
        <f>VLOOKUP($B1232,'FRS geographical categories'!$A$2:$C$45,2,FALSE)</f>
        <v>Predominantly Rural</v>
      </c>
      <c r="H1232" s="223" t="str">
        <f>VLOOKUP($B1232,'FRS geographical categories'!$A$2:$C$45,3,FALSE)</f>
        <v>Non-metropolitan</v>
      </c>
      <c r="I1232" s="224">
        <v>1762</v>
      </c>
    </row>
    <row r="1233" spans="1:9" ht="15.5" x14ac:dyDescent="0.35">
      <c r="A1233" s="224" t="s">
        <v>54</v>
      </c>
      <c r="B1233" s="224" t="s">
        <v>38</v>
      </c>
      <c r="C1233" s="224" t="s">
        <v>86</v>
      </c>
      <c r="D1233" s="224" t="s">
        <v>55</v>
      </c>
      <c r="E1233" s="224" t="s">
        <v>256</v>
      </c>
      <c r="F1233" s="224" t="s">
        <v>248</v>
      </c>
      <c r="G1233" s="223" t="str">
        <f>VLOOKUP($B1233,'FRS geographical categories'!$A$2:$C$45,2,FALSE)</f>
        <v>Predominantly Rural</v>
      </c>
      <c r="H1233" s="223" t="str">
        <f>VLOOKUP($B1233,'FRS geographical categories'!$A$2:$C$45,3,FALSE)</f>
        <v>Non-metropolitan</v>
      </c>
      <c r="I1233" s="224">
        <v>0</v>
      </c>
    </row>
    <row r="1234" spans="1:9" ht="15.5" x14ac:dyDescent="0.35">
      <c r="A1234" s="224" t="s">
        <v>54</v>
      </c>
      <c r="B1234" s="224" t="s">
        <v>38</v>
      </c>
      <c r="C1234" s="224" t="s">
        <v>86</v>
      </c>
      <c r="D1234" s="224" t="s">
        <v>55</v>
      </c>
      <c r="E1234" s="224" t="s">
        <v>256</v>
      </c>
      <c r="F1234" s="224" t="s">
        <v>249</v>
      </c>
      <c r="G1234" s="223" t="str">
        <f>VLOOKUP($B1234,'FRS geographical categories'!$A$2:$C$45,2,FALSE)</f>
        <v>Predominantly Rural</v>
      </c>
      <c r="H1234" s="223" t="str">
        <f>VLOOKUP($B1234,'FRS geographical categories'!$A$2:$C$45,3,FALSE)</f>
        <v>Non-metropolitan</v>
      </c>
      <c r="I1234" s="224">
        <v>0</v>
      </c>
    </row>
    <row r="1235" spans="1:9" ht="15.5" x14ac:dyDescent="0.35">
      <c r="A1235" s="224" t="s">
        <v>54</v>
      </c>
      <c r="B1235" s="224" t="s">
        <v>38</v>
      </c>
      <c r="C1235" s="224" t="s">
        <v>86</v>
      </c>
      <c r="D1235" s="224" t="s">
        <v>55</v>
      </c>
      <c r="E1235" s="224" t="s">
        <v>256</v>
      </c>
      <c r="F1235" s="224" t="s">
        <v>250</v>
      </c>
      <c r="G1235" s="223" t="str">
        <f>VLOOKUP($B1235,'FRS geographical categories'!$A$2:$C$45,2,FALSE)</f>
        <v>Predominantly Rural</v>
      </c>
      <c r="H1235" s="223" t="str">
        <f>VLOOKUP($B1235,'FRS geographical categories'!$A$2:$C$45,3,FALSE)</f>
        <v>Non-metropolitan</v>
      </c>
      <c r="I1235" s="224">
        <v>0</v>
      </c>
    </row>
    <row r="1236" spans="1:9" ht="15.5" x14ac:dyDescent="0.35">
      <c r="A1236" s="224" t="s">
        <v>54</v>
      </c>
      <c r="B1236" s="224" t="s">
        <v>38</v>
      </c>
      <c r="C1236" s="224" t="s">
        <v>86</v>
      </c>
      <c r="D1236" s="224" t="s">
        <v>55</v>
      </c>
      <c r="E1236" s="224" t="s">
        <v>256</v>
      </c>
      <c r="F1236" s="224" t="s">
        <v>111</v>
      </c>
      <c r="G1236" s="223" t="str">
        <f>VLOOKUP($B1236,'FRS geographical categories'!$A$2:$C$45,2,FALSE)</f>
        <v>Predominantly Rural</v>
      </c>
      <c r="H1236" s="223" t="str">
        <f>VLOOKUP($B1236,'FRS geographical categories'!$A$2:$C$45,3,FALSE)</f>
        <v>Non-metropolitan</v>
      </c>
      <c r="I1236" s="224">
        <v>0</v>
      </c>
    </row>
    <row r="1237" spans="1:9" ht="15.5" x14ac:dyDescent="0.35">
      <c r="A1237" s="224" t="s">
        <v>54</v>
      </c>
      <c r="B1237" s="224" t="s">
        <v>38</v>
      </c>
      <c r="C1237" s="224" t="s">
        <v>86</v>
      </c>
      <c r="D1237" s="224" t="s">
        <v>55</v>
      </c>
      <c r="E1237" s="224" t="s">
        <v>256</v>
      </c>
      <c r="F1237" s="224" t="s">
        <v>10</v>
      </c>
      <c r="G1237" s="223" t="str">
        <f>VLOOKUP($B1237,'FRS geographical categories'!$A$2:$C$45,2,FALSE)</f>
        <v>Predominantly Rural</v>
      </c>
      <c r="H1237" s="223" t="str">
        <f>VLOOKUP($B1237,'FRS geographical categories'!$A$2:$C$45,3,FALSE)</f>
        <v>Non-metropolitan</v>
      </c>
      <c r="I1237" s="224">
        <v>737</v>
      </c>
    </row>
    <row r="1238" spans="1:9" ht="15.5" x14ac:dyDescent="0.35">
      <c r="A1238" s="224" t="s">
        <v>54</v>
      </c>
      <c r="B1238" s="224" t="s">
        <v>38</v>
      </c>
      <c r="C1238" s="224" t="s">
        <v>89</v>
      </c>
      <c r="D1238" s="224" t="s">
        <v>9</v>
      </c>
      <c r="E1238" s="224" t="s">
        <v>256</v>
      </c>
      <c r="F1238" s="224" t="s">
        <v>248</v>
      </c>
      <c r="G1238" s="223" t="str">
        <f>VLOOKUP($B1238,'FRS geographical categories'!$A$2:$C$45,2,FALSE)</f>
        <v>Predominantly Rural</v>
      </c>
      <c r="H1238" s="223" t="str">
        <f>VLOOKUP($B1238,'FRS geographical categories'!$A$2:$C$45,3,FALSE)</f>
        <v>Non-metropolitan</v>
      </c>
      <c r="I1238" s="224">
        <v>0</v>
      </c>
    </row>
    <row r="1239" spans="1:9" ht="15.5" x14ac:dyDescent="0.35">
      <c r="A1239" s="224" t="s">
        <v>54</v>
      </c>
      <c r="B1239" s="224" t="s">
        <v>38</v>
      </c>
      <c r="C1239" s="224" t="s">
        <v>89</v>
      </c>
      <c r="D1239" s="224" t="s">
        <v>9</v>
      </c>
      <c r="E1239" s="224" t="s">
        <v>256</v>
      </c>
      <c r="F1239" s="224" t="s">
        <v>249</v>
      </c>
      <c r="G1239" s="223" t="str">
        <f>VLOOKUP($B1239,'FRS geographical categories'!$A$2:$C$45,2,FALSE)</f>
        <v>Predominantly Rural</v>
      </c>
      <c r="H1239" s="223" t="str">
        <f>VLOOKUP($B1239,'FRS geographical categories'!$A$2:$C$45,3,FALSE)</f>
        <v>Non-metropolitan</v>
      </c>
      <c r="I1239" s="224">
        <v>0</v>
      </c>
    </row>
    <row r="1240" spans="1:9" ht="15.5" x14ac:dyDescent="0.35">
      <c r="A1240" s="224" t="s">
        <v>54</v>
      </c>
      <c r="B1240" s="224" t="s">
        <v>38</v>
      </c>
      <c r="C1240" s="224" t="s">
        <v>89</v>
      </c>
      <c r="D1240" s="224" t="s">
        <v>9</v>
      </c>
      <c r="E1240" s="224" t="s">
        <v>256</v>
      </c>
      <c r="F1240" s="224" t="s">
        <v>250</v>
      </c>
      <c r="G1240" s="223" t="str">
        <f>VLOOKUP($B1240,'FRS geographical categories'!$A$2:$C$45,2,FALSE)</f>
        <v>Predominantly Rural</v>
      </c>
      <c r="H1240" s="223" t="str">
        <f>VLOOKUP($B1240,'FRS geographical categories'!$A$2:$C$45,3,FALSE)</f>
        <v>Non-metropolitan</v>
      </c>
      <c r="I1240" s="224">
        <v>0</v>
      </c>
    </row>
    <row r="1241" spans="1:9" ht="15.5" x14ac:dyDescent="0.35">
      <c r="A1241" s="224" t="s">
        <v>54</v>
      </c>
      <c r="B1241" s="224" t="s">
        <v>38</v>
      </c>
      <c r="C1241" s="224" t="s">
        <v>89</v>
      </c>
      <c r="D1241" s="224" t="s">
        <v>9</v>
      </c>
      <c r="E1241" s="224" t="s">
        <v>256</v>
      </c>
      <c r="F1241" s="224" t="s">
        <v>10</v>
      </c>
      <c r="G1241" s="223" t="str">
        <f>VLOOKUP($B1241,'FRS geographical categories'!$A$2:$C$45,2,FALSE)</f>
        <v>Predominantly Rural</v>
      </c>
      <c r="H1241" s="223" t="str">
        <f>VLOOKUP($B1241,'FRS geographical categories'!$A$2:$C$45,3,FALSE)</f>
        <v>Non-metropolitan</v>
      </c>
      <c r="I1241" s="224">
        <v>34</v>
      </c>
    </row>
    <row r="1242" spans="1:9" ht="15.5" x14ac:dyDescent="0.35">
      <c r="A1242" s="224" t="s">
        <v>54</v>
      </c>
      <c r="B1242" s="224" t="s">
        <v>38</v>
      </c>
      <c r="C1242" s="224" t="s">
        <v>89</v>
      </c>
      <c r="D1242" s="224" t="s">
        <v>55</v>
      </c>
      <c r="E1242" s="224" t="s">
        <v>256</v>
      </c>
      <c r="F1242" s="224" t="s">
        <v>248</v>
      </c>
      <c r="G1242" s="223" t="str">
        <f>VLOOKUP($B1242,'FRS geographical categories'!$A$2:$C$45,2,FALSE)</f>
        <v>Predominantly Rural</v>
      </c>
      <c r="H1242" s="223" t="str">
        <f>VLOOKUP($B1242,'FRS geographical categories'!$A$2:$C$45,3,FALSE)</f>
        <v>Non-metropolitan</v>
      </c>
      <c r="I1242" s="224">
        <v>0</v>
      </c>
    </row>
    <row r="1243" spans="1:9" ht="15.5" x14ac:dyDescent="0.35">
      <c r="A1243" s="224" t="s">
        <v>54</v>
      </c>
      <c r="B1243" s="224" t="s">
        <v>38</v>
      </c>
      <c r="C1243" s="224" t="s">
        <v>89</v>
      </c>
      <c r="D1243" s="224" t="s">
        <v>55</v>
      </c>
      <c r="E1243" s="224" t="s">
        <v>256</v>
      </c>
      <c r="F1243" s="224" t="s">
        <v>249</v>
      </c>
      <c r="G1243" s="223" t="str">
        <f>VLOOKUP($B1243,'FRS geographical categories'!$A$2:$C$45,2,FALSE)</f>
        <v>Predominantly Rural</v>
      </c>
      <c r="H1243" s="223" t="str">
        <f>VLOOKUP($B1243,'FRS geographical categories'!$A$2:$C$45,3,FALSE)</f>
        <v>Non-metropolitan</v>
      </c>
      <c r="I1243" s="224">
        <v>0</v>
      </c>
    </row>
    <row r="1244" spans="1:9" ht="15.5" x14ac:dyDescent="0.35">
      <c r="A1244" s="224" t="s">
        <v>54</v>
      </c>
      <c r="B1244" s="224" t="s">
        <v>38</v>
      </c>
      <c r="C1244" s="224" t="s">
        <v>89</v>
      </c>
      <c r="D1244" s="224" t="s">
        <v>55</v>
      </c>
      <c r="E1244" s="224" t="s">
        <v>256</v>
      </c>
      <c r="F1244" s="224" t="s">
        <v>250</v>
      </c>
      <c r="G1244" s="223" t="str">
        <f>VLOOKUP($B1244,'FRS geographical categories'!$A$2:$C$45,2,FALSE)</f>
        <v>Predominantly Rural</v>
      </c>
      <c r="H1244" s="223" t="str">
        <f>VLOOKUP($B1244,'FRS geographical categories'!$A$2:$C$45,3,FALSE)</f>
        <v>Non-metropolitan</v>
      </c>
      <c r="I1244" s="224">
        <v>0</v>
      </c>
    </row>
    <row r="1245" spans="1:9" ht="15.5" x14ac:dyDescent="0.35">
      <c r="A1245" s="224" t="s">
        <v>54</v>
      </c>
      <c r="B1245" s="224" t="s">
        <v>38</v>
      </c>
      <c r="C1245" s="224" t="s">
        <v>89</v>
      </c>
      <c r="D1245" s="224" t="s">
        <v>55</v>
      </c>
      <c r="E1245" s="224" t="s">
        <v>256</v>
      </c>
      <c r="F1245" s="224" t="s">
        <v>10</v>
      </c>
      <c r="G1245" s="223" t="str">
        <f>VLOOKUP($B1245,'FRS geographical categories'!$A$2:$C$45,2,FALSE)</f>
        <v>Predominantly Rural</v>
      </c>
      <c r="H1245" s="223" t="str">
        <f>VLOOKUP($B1245,'FRS geographical categories'!$A$2:$C$45,3,FALSE)</f>
        <v>Non-metropolitan</v>
      </c>
      <c r="I1245" s="224">
        <v>0</v>
      </c>
    </row>
    <row r="1246" spans="1:9" ht="15.5" x14ac:dyDescent="0.35">
      <c r="A1246" s="224" t="s">
        <v>54</v>
      </c>
      <c r="B1246" s="224" t="s">
        <v>39</v>
      </c>
      <c r="C1246" s="224" t="s">
        <v>86</v>
      </c>
      <c r="D1246" s="224" t="s">
        <v>9</v>
      </c>
      <c r="E1246" s="224" t="s">
        <v>256</v>
      </c>
      <c r="F1246" s="224" t="s">
        <v>248</v>
      </c>
      <c r="G1246" s="223" t="str">
        <f>VLOOKUP($B1246,'FRS geographical categories'!$A$2:$C$45,2,FALSE)</f>
        <v>Significantly Rural</v>
      </c>
      <c r="H1246" s="223" t="str">
        <f>VLOOKUP($B1246,'FRS geographical categories'!$A$2:$C$45,3,FALSE)</f>
        <v>Non-metropolitan</v>
      </c>
      <c r="I1246" s="224">
        <v>104</v>
      </c>
    </row>
    <row r="1247" spans="1:9" ht="15.5" x14ac:dyDescent="0.35">
      <c r="A1247" s="224" t="s">
        <v>54</v>
      </c>
      <c r="B1247" s="224" t="s">
        <v>39</v>
      </c>
      <c r="C1247" s="224" t="s">
        <v>86</v>
      </c>
      <c r="D1247" s="224" t="s">
        <v>9</v>
      </c>
      <c r="E1247" s="224" t="s">
        <v>256</v>
      </c>
      <c r="F1247" s="224" t="s">
        <v>249</v>
      </c>
      <c r="G1247" s="223" t="str">
        <f>VLOOKUP($B1247,'FRS geographical categories'!$A$2:$C$45,2,FALSE)</f>
        <v>Significantly Rural</v>
      </c>
      <c r="H1247" s="223" t="str">
        <f>VLOOKUP($B1247,'FRS geographical categories'!$A$2:$C$45,3,FALSE)</f>
        <v>Non-metropolitan</v>
      </c>
      <c r="I1247" s="224">
        <v>361</v>
      </c>
    </row>
    <row r="1248" spans="1:9" ht="15.5" x14ac:dyDescent="0.35">
      <c r="A1248" s="224" t="s">
        <v>54</v>
      </c>
      <c r="B1248" s="224" t="s">
        <v>39</v>
      </c>
      <c r="C1248" s="224" t="s">
        <v>86</v>
      </c>
      <c r="D1248" s="224" t="s">
        <v>9</v>
      </c>
      <c r="E1248" s="224" t="s">
        <v>256</v>
      </c>
      <c r="F1248" s="224" t="s">
        <v>250</v>
      </c>
      <c r="G1248" s="223" t="str">
        <f>VLOOKUP($B1248,'FRS geographical categories'!$A$2:$C$45,2,FALSE)</f>
        <v>Significantly Rural</v>
      </c>
      <c r="H1248" s="223" t="str">
        <f>VLOOKUP($B1248,'FRS geographical categories'!$A$2:$C$45,3,FALSE)</f>
        <v>Non-metropolitan</v>
      </c>
      <c r="I1248" s="224">
        <v>252</v>
      </c>
    </row>
    <row r="1249" spans="1:9" ht="15.5" x14ac:dyDescent="0.35">
      <c r="A1249" s="224" t="s">
        <v>54</v>
      </c>
      <c r="B1249" s="224" t="s">
        <v>39</v>
      </c>
      <c r="C1249" s="224" t="s">
        <v>86</v>
      </c>
      <c r="D1249" s="224" t="s">
        <v>9</v>
      </c>
      <c r="E1249" s="224" t="s">
        <v>256</v>
      </c>
      <c r="F1249" s="224" t="s">
        <v>111</v>
      </c>
      <c r="G1249" s="223" t="str">
        <f>VLOOKUP($B1249,'FRS geographical categories'!$A$2:$C$45,2,FALSE)</f>
        <v>Significantly Rural</v>
      </c>
      <c r="H1249" s="223" t="str">
        <f>VLOOKUP($B1249,'FRS geographical categories'!$A$2:$C$45,3,FALSE)</f>
        <v>Non-metropolitan</v>
      </c>
      <c r="I1249" s="224">
        <v>1529</v>
      </c>
    </row>
    <row r="1250" spans="1:9" ht="15.5" x14ac:dyDescent="0.35">
      <c r="A1250" s="224" t="s">
        <v>54</v>
      </c>
      <c r="B1250" s="224" t="s">
        <v>39</v>
      </c>
      <c r="C1250" s="224" t="s">
        <v>86</v>
      </c>
      <c r="D1250" s="224" t="s">
        <v>9</v>
      </c>
      <c r="E1250" s="224" t="s">
        <v>256</v>
      </c>
      <c r="F1250" s="224" t="s">
        <v>10</v>
      </c>
      <c r="G1250" s="223" t="str">
        <f>VLOOKUP($B1250,'FRS geographical categories'!$A$2:$C$45,2,FALSE)</f>
        <v>Significantly Rural</v>
      </c>
      <c r="H1250" s="223" t="str">
        <f>VLOOKUP($B1250,'FRS geographical categories'!$A$2:$C$45,3,FALSE)</f>
        <v>Non-metropolitan</v>
      </c>
      <c r="I1250" s="224">
        <v>1529</v>
      </c>
    </row>
    <row r="1251" spans="1:9" ht="15.5" x14ac:dyDescent="0.35">
      <c r="A1251" s="224" t="s">
        <v>54</v>
      </c>
      <c r="B1251" s="224" t="s">
        <v>39</v>
      </c>
      <c r="C1251" s="224" t="s">
        <v>86</v>
      </c>
      <c r="D1251" s="224" t="s">
        <v>55</v>
      </c>
      <c r="E1251" s="224" t="s">
        <v>256</v>
      </c>
      <c r="F1251" s="224" t="s">
        <v>248</v>
      </c>
      <c r="G1251" s="223" t="str">
        <f>VLOOKUP($B1251,'FRS geographical categories'!$A$2:$C$45,2,FALSE)</f>
        <v>Significantly Rural</v>
      </c>
      <c r="H1251" s="223" t="str">
        <f>VLOOKUP($B1251,'FRS geographical categories'!$A$2:$C$45,3,FALSE)</f>
        <v>Non-metropolitan</v>
      </c>
      <c r="I1251" s="224">
        <v>19</v>
      </c>
    </row>
    <row r="1252" spans="1:9" ht="15.5" x14ac:dyDescent="0.35">
      <c r="A1252" s="224" t="s">
        <v>54</v>
      </c>
      <c r="B1252" s="224" t="s">
        <v>39</v>
      </c>
      <c r="C1252" s="224" t="s">
        <v>86</v>
      </c>
      <c r="D1252" s="224" t="s">
        <v>55</v>
      </c>
      <c r="E1252" s="224" t="s">
        <v>256</v>
      </c>
      <c r="F1252" s="224" t="s">
        <v>249</v>
      </c>
      <c r="G1252" s="223" t="str">
        <f>VLOOKUP($B1252,'FRS geographical categories'!$A$2:$C$45,2,FALSE)</f>
        <v>Significantly Rural</v>
      </c>
      <c r="H1252" s="223" t="str">
        <f>VLOOKUP($B1252,'FRS geographical categories'!$A$2:$C$45,3,FALSE)</f>
        <v>Non-metropolitan</v>
      </c>
      <c r="I1252" s="224">
        <v>45</v>
      </c>
    </row>
    <row r="1253" spans="1:9" ht="15.5" x14ac:dyDescent="0.35">
      <c r="A1253" s="224" t="s">
        <v>54</v>
      </c>
      <c r="B1253" s="224" t="s">
        <v>39</v>
      </c>
      <c r="C1253" s="224" t="s">
        <v>86</v>
      </c>
      <c r="D1253" s="224" t="s">
        <v>55</v>
      </c>
      <c r="E1253" s="224" t="s">
        <v>256</v>
      </c>
      <c r="F1253" s="224" t="s">
        <v>250</v>
      </c>
      <c r="G1253" s="223" t="str">
        <f>VLOOKUP($B1253,'FRS geographical categories'!$A$2:$C$45,2,FALSE)</f>
        <v>Significantly Rural</v>
      </c>
      <c r="H1253" s="223" t="str">
        <f>VLOOKUP($B1253,'FRS geographical categories'!$A$2:$C$45,3,FALSE)</f>
        <v>Non-metropolitan</v>
      </c>
      <c r="I1253" s="224">
        <v>27</v>
      </c>
    </row>
    <row r="1254" spans="1:9" ht="15.5" x14ac:dyDescent="0.35">
      <c r="A1254" s="224" t="s">
        <v>54</v>
      </c>
      <c r="B1254" s="224" t="s">
        <v>39</v>
      </c>
      <c r="C1254" s="224" t="s">
        <v>86</v>
      </c>
      <c r="D1254" s="224" t="s">
        <v>55</v>
      </c>
      <c r="E1254" s="224" t="s">
        <v>256</v>
      </c>
      <c r="F1254" s="224" t="s">
        <v>111</v>
      </c>
      <c r="G1254" s="223" t="str">
        <f>VLOOKUP($B1254,'FRS geographical categories'!$A$2:$C$45,2,FALSE)</f>
        <v>Significantly Rural</v>
      </c>
      <c r="H1254" s="223" t="str">
        <f>VLOOKUP($B1254,'FRS geographical categories'!$A$2:$C$45,3,FALSE)</f>
        <v>Non-metropolitan</v>
      </c>
      <c r="I1254" s="224">
        <v>222</v>
      </c>
    </row>
    <row r="1255" spans="1:9" ht="15.5" x14ac:dyDescent="0.35">
      <c r="A1255" s="224" t="s">
        <v>54</v>
      </c>
      <c r="B1255" s="224" t="s">
        <v>39</v>
      </c>
      <c r="C1255" s="224" t="s">
        <v>86</v>
      </c>
      <c r="D1255" s="224" t="s">
        <v>55</v>
      </c>
      <c r="E1255" s="224" t="s">
        <v>256</v>
      </c>
      <c r="F1255" s="224" t="s">
        <v>10</v>
      </c>
      <c r="G1255" s="223" t="str">
        <f>VLOOKUP($B1255,'FRS geographical categories'!$A$2:$C$45,2,FALSE)</f>
        <v>Significantly Rural</v>
      </c>
      <c r="H1255" s="223" t="str">
        <f>VLOOKUP($B1255,'FRS geographical categories'!$A$2:$C$45,3,FALSE)</f>
        <v>Non-metropolitan</v>
      </c>
      <c r="I1255" s="224">
        <v>222</v>
      </c>
    </row>
    <row r="1256" spans="1:9" ht="15.5" x14ac:dyDescent="0.35">
      <c r="A1256" s="224" t="s">
        <v>54</v>
      </c>
      <c r="B1256" s="224" t="s">
        <v>39</v>
      </c>
      <c r="C1256" s="224" t="s">
        <v>89</v>
      </c>
      <c r="D1256" s="224" t="s">
        <v>9</v>
      </c>
      <c r="E1256" s="224" t="s">
        <v>256</v>
      </c>
      <c r="F1256" s="224" t="s">
        <v>248</v>
      </c>
      <c r="G1256" s="223" t="str">
        <f>VLOOKUP($B1256,'FRS geographical categories'!$A$2:$C$45,2,FALSE)</f>
        <v>Significantly Rural</v>
      </c>
      <c r="H1256" s="223" t="str">
        <f>VLOOKUP($B1256,'FRS geographical categories'!$A$2:$C$45,3,FALSE)</f>
        <v>Non-metropolitan</v>
      </c>
      <c r="I1256" s="224">
        <v>0</v>
      </c>
    </row>
    <row r="1257" spans="1:9" ht="15.5" x14ac:dyDescent="0.35">
      <c r="A1257" s="224" t="s">
        <v>54</v>
      </c>
      <c r="B1257" s="224" t="s">
        <v>39</v>
      </c>
      <c r="C1257" s="224" t="s">
        <v>89</v>
      </c>
      <c r="D1257" s="224" t="s">
        <v>9</v>
      </c>
      <c r="E1257" s="224" t="s">
        <v>256</v>
      </c>
      <c r="F1257" s="224" t="s">
        <v>249</v>
      </c>
      <c r="G1257" s="223" t="str">
        <f>VLOOKUP($B1257,'FRS geographical categories'!$A$2:$C$45,2,FALSE)</f>
        <v>Significantly Rural</v>
      </c>
      <c r="H1257" s="223" t="str">
        <f>VLOOKUP($B1257,'FRS geographical categories'!$A$2:$C$45,3,FALSE)</f>
        <v>Non-metropolitan</v>
      </c>
      <c r="I1257" s="224">
        <v>0</v>
      </c>
    </row>
    <row r="1258" spans="1:9" ht="15.5" x14ac:dyDescent="0.35">
      <c r="A1258" s="224" t="s">
        <v>54</v>
      </c>
      <c r="B1258" s="224" t="s">
        <v>39</v>
      </c>
      <c r="C1258" s="224" t="s">
        <v>89</v>
      </c>
      <c r="D1258" s="224" t="s">
        <v>9</v>
      </c>
      <c r="E1258" s="224" t="s">
        <v>256</v>
      </c>
      <c r="F1258" s="224" t="s">
        <v>250</v>
      </c>
      <c r="G1258" s="223" t="str">
        <f>VLOOKUP($B1258,'FRS geographical categories'!$A$2:$C$45,2,FALSE)</f>
        <v>Significantly Rural</v>
      </c>
      <c r="H1258" s="223" t="str">
        <f>VLOOKUP($B1258,'FRS geographical categories'!$A$2:$C$45,3,FALSE)</f>
        <v>Non-metropolitan</v>
      </c>
      <c r="I1258" s="224">
        <v>0</v>
      </c>
    </row>
    <row r="1259" spans="1:9" ht="15.5" x14ac:dyDescent="0.35">
      <c r="A1259" s="224" t="s">
        <v>54</v>
      </c>
      <c r="B1259" s="224" t="s">
        <v>39</v>
      </c>
      <c r="C1259" s="224" t="s">
        <v>89</v>
      </c>
      <c r="D1259" s="224" t="s">
        <v>9</v>
      </c>
      <c r="E1259" s="224" t="s">
        <v>256</v>
      </c>
      <c r="F1259" s="224" t="s">
        <v>10</v>
      </c>
      <c r="G1259" s="223" t="str">
        <f>VLOOKUP($B1259,'FRS geographical categories'!$A$2:$C$45,2,FALSE)</f>
        <v>Significantly Rural</v>
      </c>
      <c r="H1259" s="223" t="str">
        <f>VLOOKUP($B1259,'FRS geographical categories'!$A$2:$C$45,3,FALSE)</f>
        <v>Non-metropolitan</v>
      </c>
      <c r="I1259" s="224">
        <v>0</v>
      </c>
    </row>
    <row r="1260" spans="1:9" ht="15.5" x14ac:dyDescent="0.35">
      <c r="A1260" s="224" t="s">
        <v>54</v>
      </c>
      <c r="B1260" s="224" t="s">
        <v>39</v>
      </c>
      <c r="C1260" s="224" t="s">
        <v>89</v>
      </c>
      <c r="D1260" s="224" t="s">
        <v>55</v>
      </c>
      <c r="E1260" s="224" t="s">
        <v>256</v>
      </c>
      <c r="F1260" s="224" t="s">
        <v>248</v>
      </c>
      <c r="G1260" s="223" t="str">
        <f>VLOOKUP($B1260,'FRS geographical categories'!$A$2:$C$45,2,FALSE)</f>
        <v>Significantly Rural</v>
      </c>
      <c r="H1260" s="223" t="str">
        <f>VLOOKUP($B1260,'FRS geographical categories'!$A$2:$C$45,3,FALSE)</f>
        <v>Non-metropolitan</v>
      </c>
      <c r="I1260" s="224">
        <v>0</v>
      </c>
    </row>
    <row r="1261" spans="1:9" ht="15.5" x14ac:dyDescent="0.35">
      <c r="A1261" s="224" t="s">
        <v>54</v>
      </c>
      <c r="B1261" s="224" t="s">
        <v>39</v>
      </c>
      <c r="C1261" s="224" t="s">
        <v>89</v>
      </c>
      <c r="D1261" s="224" t="s">
        <v>55</v>
      </c>
      <c r="E1261" s="224" t="s">
        <v>256</v>
      </c>
      <c r="F1261" s="224" t="s">
        <v>249</v>
      </c>
      <c r="G1261" s="223" t="str">
        <f>VLOOKUP($B1261,'FRS geographical categories'!$A$2:$C$45,2,FALSE)</f>
        <v>Significantly Rural</v>
      </c>
      <c r="H1261" s="223" t="str">
        <f>VLOOKUP($B1261,'FRS geographical categories'!$A$2:$C$45,3,FALSE)</f>
        <v>Non-metropolitan</v>
      </c>
      <c r="I1261" s="224">
        <v>0</v>
      </c>
    </row>
    <row r="1262" spans="1:9" ht="15.5" x14ac:dyDescent="0.35">
      <c r="A1262" s="224" t="s">
        <v>54</v>
      </c>
      <c r="B1262" s="224" t="s">
        <v>39</v>
      </c>
      <c r="C1262" s="224" t="s">
        <v>89</v>
      </c>
      <c r="D1262" s="224" t="s">
        <v>55</v>
      </c>
      <c r="E1262" s="224" t="s">
        <v>256</v>
      </c>
      <c r="F1262" s="224" t="s">
        <v>250</v>
      </c>
      <c r="G1262" s="223" t="str">
        <f>VLOOKUP($B1262,'FRS geographical categories'!$A$2:$C$45,2,FALSE)</f>
        <v>Significantly Rural</v>
      </c>
      <c r="H1262" s="223" t="str">
        <f>VLOOKUP($B1262,'FRS geographical categories'!$A$2:$C$45,3,FALSE)</f>
        <v>Non-metropolitan</v>
      </c>
      <c r="I1262" s="224">
        <v>0</v>
      </c>
    </row>
    <row r="1263" spans="1:9" ht="15.5" x14ac:dyDescent="0.35">
      <c r="A1263" s="224" t="s">
        <v>54</v>
      </c>
      <c r="B1263" s="224" t="s">
        <v>39</v>
      </c>
      <c r="C1263" s="224" t="s">
        <v>89</v>
      </c>
      <c r="D1263" s="224" t="s">
        <v>55</v>
      </c>
      <c r="E1263" s="224" t="s">
        <v>256</v>
      </c>
      <c r="F1263" s="224" t="s">
        <v>10</v>
      </c>
      <c r="G1263" s="223" t="str">
        <f>VLOOKUP($B1263,'FRS geographical categories'!$A$2:$C$45,2,FALSE)</f>
        <v>Significantly Rural</v>
      </c>
      <c r="H1263" s="223" t="str">
        <f>VLOOKUP($B1263,'FRS geographical categories'!$A$2:$C$45,3,FALSE)</f>
        <v>Non-metropolitan</v>
      </c>
      <c r="I1263" s="224">
        <v>0</v>
      </c>
    </row>
    <row r="1264" spans="1:9" ht="15.5" x14ac:dyDescent="0.35">
      <c r="A1264" s="224" t="s">
        <v>54</v>
      </c>
      <c r="B1264" s="224" t="s">
        <v>40</v>
      </c>
      <c r="C1264" s="224" t="s">
        <v>86</v>
      </c>
      <c r="D1264" s="224" t="s">
        <v>9</v>
      </c>
      <c r="E1264" s="224" t="s">
        <v>256</v>
      </c>
      <c r="F1264" s="224" t="s">
        <v>248</v>
      </c>
      <c r="G1264" s="223" t="str">
        <f>VLOOKUP($B1264,'FRS geographical categories'!$A$2:$C$45,2,FALSE)</f>
        <v>Predominantly Rural</v>
      </c>
      <c r="H1264" s="223" t="str">
        <f>VLOOKUP($B1264,'FRS geographical categories'!$A$2:$C$45,3,FALSE)</f>
        <v>Non-metropolitan</v>
      </c>
      <c r="I1264" s="224">
        <v>396</v>
      </c>
    </row>
    <row r="1265" spans="1:9" ht="15.5" x14ac:dyDescent="0.35">
      <c r="A1265" s="224" t="s">
        <v>54</v>
      </c>
      <c r="B1265" s="224" t="s">
        <v>40</v>
      </c>
      <c r="C1265" s="224" t="s">
        <v>86</v>
      </c>
      <c r="D1265" s="224" t="s">
        <v>9</v>
      </c>
      <c r="E1265" s="224" t="s">
        <v>256</v>
      </c>
      <c r="F1265" s="224" t="s">
        <v>249</v>
      </c>
      <c r="G1265" s="223" t="str">
        <f>VLOOKUP($B1265,'FRS geographical categories'!$A$2:$C$45,2,FALSE)</f>
        <v>Predominantly Rural</v>
      </c>
      <c r="H1265" s="223" t="str">
        <f>VLOOKUP($B1265,'FRS geographical categories'!$A$2:$C$45,3,FALSE)</f>
        <v>Non-metropolitan</v>
      </c>
      <c r="I1265" s="224">
        <v>167</v>
      </c>
    </row>
    <row r="1266" spans="1:9" ht="15.5" x14ac:dyDescent="0.35">
      <c r="A1266" s="224" t="s">
        <v>54</v>
      </c>
      <c r="B1266" s="224" t="s">
        <v>40</v>
      </c>
      <c r="C1266" s="224" t="s">
        <v>86</v>
      </c>
      <c r="D1266" s="224" t="s">
        <v>9</v>
      </c>
      <c r="E1266" s="224" t="s">
        <v>256</v>
      </c>
      <c r="F1266" s="224" t="s">
        <v>250</v>
      </c>
      <c r="G1266" s="223" t="str">
        <f>VLOOKUP($B1266,'FRS geographical categories'!$A$2:$C$45,2,FALSE)</f>
        <v>Predominantly Rural</v>
      </c>
      <c r="H1266" s="223" t="str">
        <f>VLOOKUP($B1266,'FRS geographical categories'!$A$2:$C$45,3,FALSE)</f>
        <v>Non-metropolitan</v>
      </c>
      <c r="I1266" s="224">
        <v>53</v>
      </c>
    </row>
    <row r="1267" spans="1:9" ht="15.5" x14ac:dyDescent="0.35">
      <c r="A1267" s="224" t="s">
        <v>54</v>
      </c>
      <c r="B1267" s="224" t="s">
        <v>40</v>
      </c>
      <c r="C1267" s="224" t="s">
        <v>86</v>
      </c>
      <c r="D1267" s="224" t="s">
        <v>9</v>
      </c>
      <c r="E1267" s="224" t="s">
        <v>256</v>
      </c>
      <c r="F1267" s="224" t="s">
        <v>111</v>
      </c>
      <c r="G1267" s="223" t="str">
        <f>VLOOKUP($B1267,'FRS geographical categories'!$A$2:$C$45,2,FALSE)</f>
        <v>Predominantly Rural</v>
      </c>
      <c r="H1267" s="223" t="str">
        <f>VLOOKUP($B1267,'FRS geographical categories'!$A$2:$C$45,3,FALSE)</f>
        <v>Non-metropolitan</v>
      </c>
      <c r="I1267" s="224">
        <v>881</v>
      </c>
    </row>
    <row r="1268" spans="1:9" ht="15.5" x14ac:dyDescent="0.35">
      <c r="A1268" s="224" t="s">
        <v>54</v>
      </c>
      <c r="B1268" s="224" t="s">
        <v>40</v>
      </c>
      <c r="C1268" s="224" t="s">
        <v>86</v>
      </c>
      <c r="D1268" s="224" t="s">
        <v>9</v>
      </c>
      <c r="E1268" s="224" t="s">
        <v>256</v>
      </c>
      <c r="F1268" s="224" t="s">
        <v>10</v>
      </c>
      <c r="G1268" s="223" t="str">
        <f>VLOOKUP($B1268,'FRS geographical categories'!$A$2:$C$45,2,FALSE)</f>
        <v>Predominantly Rural</v>
      </c>
      <c r="H1268" s="223" t="str">
        <f>VLOOKUP($B1268,'FRS geographical categories'!$A$2:$C$45,3,FALSE)</f>
        <v>Non-metropolitan</v>
      </c>
      <c r="I1268" s="224">
        <v>881</v>
      </c>
    </row>
    <row r="1269" spans="1:9" ht="15.5" x14ac:dyDescent="0.35">
      <c r="A1269" s="224" t="s">
        <v>54</v>
      </c>
      <c r="B1269" s="224" t="s">
        <v>40</v>
      </c>
      <c r="C1269" s="224" t="s">
        <v>86</v>
      </c>
      <c r="D1269" s="224" t="s">
        <v>55</v>
      </c>
      <c r="E1269" s="224" t="s">
        <v>256</v>
      </c>
      <c r="F1269" s="224" t="s">
        <v>248</v>
      </c>
      <c r="G1269" s="223" t="str">
        <f>VLOOKUP($B1269,'FRS geographical categories'!$A$2:$C$45,2,FALSE)</f>
        <v>Predominantly Rural</v>
      </c>
      <c r="H1269" s="223" t="str">
        <f>VLOOKUP($B1269,'FRS geographical categories'!$A$2:$C$45,3,FALSE)</f>
        <v>Non-metropolitan</v>
      </c>
      <c r="I1269" s="224">
        <v>0</v>
      </c>
    </row>
    <row r="1270" spans="1:9" ht="15.5" x14ac:dyDescent="0.35">
      <c r="A1270" s="224" t="s">
        <v>54</v>
      </c>
      <c r="B1270" s="224" t="s">
        <v>40</v>
      </c>
      <c r="C1270" s="224" t="s">
        <v>86</v>
      </c>
      <c r="D1270" s="224" t="s">
        <v>55</v>
      </c>
      <c r="E1270" s="224" t="s">
        <v>256</v>
      </c>
      <c r="F1270" s="224" t="s">
        <v>249</v>
      </c>
      <c r="G1270" s="223" t="str">
        <f>VLOOKUP($B1270,'FRS geographical categories'!$A$2:$C$45,2,FALSE)</f>
        <v>Predominantly Rural</v>
      </c>
      <c r="H1270" s="223" t="str">
        <f>VLOOKUP($B1270,'FRS geographical categories'!$A$2:$C$45,3,FALSE)</f>
        <v>Non-metropolitan</v>
      </c>
      <c r="I1270" s="224">
        <v>0</v>
      </c>
    </row>
    <row r="1271" spans="1:9" ht="15.5" x14ac:dyDescent="0.35">
      <c r="A1271" s="224" t="s">
        <v>54</v>
      </c>
      <c r="B1271" s="224" t="s">
        <v>40</v>
      </c>
      <c r="C1271" s="224" t="s">
        <v>86</v>
      </c>
      <c r="D1271" s="224" t="s">
        <v>55</v>
      </c>
      <c r="E1271" s="224" t="s">
        <v>256</v>
      </c>
      <c r="F1271" s="224" t="s">
        <v>250</v>
      </c>
      <c r="G1271" s="223" t="str">
        <f>VLOOKUP($B1271,'FRS geographical categories'!$A$2:$C$45,2,FALSE)</f>
        <v>Predominantly Rural</v>
      </c>
      <c r="H1271" s="223" t="str">
        <f>VLOOKUP($B1271,'FRS geographical categories'!$A$2:$C$45,3,FALSE)</f>
        <v>Non-metropolitan</v>
      </c>
      <c r="I1271" s="224">
        <v>0</v>
      </c>
    </row>
    <row r="1272" spans="1:9" ht="15.5" x14ac:dyDescent="0.35">
      <c r="A1272" s="224" t="s">
        <v>54</v>
      </c>
      <c r="B1272" s="224" t="s">
        <v>40</v>
      </c>
      <c r="C1272" s="224" t="s">
        <v>86</v>
      </c>
      <c r="D1272" s="224" t="s">
        <v>55</v>
      </c>
      <c r="E1272" s="224" t="s">
        <v>256</v>
      </c>
      <c r="F1272" s="224" t="s">
        <v>111</v>
      </c>
      <c r="G1272" s="223" t="str">
        <f>VLOOKUP($B1272,'FRS geographical categories'!$A$2:$C$45,2,FALSE)</f>
        <v>Predominantly Rural</v>
      </c>
      <c r="H1272" s="223" t="str">
        <f>VLOOKUP($B1272,'FRS geographical categories'!$A$2:$C$45,3,FALSE)</f>
        <v>Non-metropolitan</v>
      </c>
      <c r="I1272" s="224">
        <v>0</v>
      </c>
    </row>
    <row r="1273" spans="1:9" ht="15.5" x14ac:dyDescent="0.35">
      <c r="A1273" s="224" t="s">
        <v>54</v>
      </c>
      <c r="B1273" s="224" t="s">
        <v>40</v>
      </c>
      <c r="C1273" s="224" t="s">
        <v>86</v>
      </c>
      <c r="D1273" s="224" t="s">
        <v>55</v>
      </c>
      <c r="E1273" s="224" t="s">
        <v>256</v>
      </c>
      <c r="F1273" s="224" t="s">
        <v>10</v>
      </c>
      <c r="G1273" s="223" t="str">
        <f>VLOOKUP($B1273,'FRS geographical categories'!$A$2:$C$45,2,FALSE)</f>
        <v>Predominantly Rural</v>
      </c>
      <c r="H1273" s="223" t="str">
        <f>VLOOKUP($B1273,'FRS geographical categories'!$A$2:$C$45,3,FALSE)</f>
        <v>Non-metropolitan</v>
      </c>
      <c r="I1273" s="224">
        <v>30</v>
      </c>
    </row>
    <row r="1274" spans="1:9" ht="15.5" x14ac:dyDescent="0.35">
      <c r="A1274" s="224" t="s">
        <v>54</v>
      </c>
      <c r="B1274" s="224" t="s">
        <v>40</v>
      </c>
      <c r="C1274" s="224" t="s">
        <v>89</v>
      </c>
      <c r="D1274" s="224" t="s">
        <v>9</v>
      </c>
      <c r="E1274" s="224" t="s">
        <v>256</v>
      </c>
      <c r="F1274" s="224" t="s">
        <v>248</v>
      </c>
      <c r="G1274" s="223" t="str">
        <f>VLOOKUP($B1274,'FRS geographical categories'!$A$2:$C$45,2,FALSE)</f>
        <v>Predominantly Rural</v>
      </c>
      <c r="H1274" s="223" t="str">
        <f>VLOOKUP($B1274,'FRS geographical categories'!$A$2:$C$45,3,FALSE)</f>
        <v>Non-metropolitan</v>
      </c>
      <c r="I1274" s="224">
        <v>0</v>
      </c>
    </row>
    <row r="1275" spans="1:9" ht="15.5" x14ac:dyDescent="0.35">
      <c r="A1275" s="224" t="s">
        <v>54</v>
      </c>
      <c r="B1275" s="224" t="s">
        <v>40</v>
      </c>
      <c r="C1275" s="224" t="s">
        <v>89</v>
      </c>
      <c r="D1275" s="224" t="s">
        <v>9</v>
      </c>
      <c r="E1275" s="224" t="s">
        <v>256</v>
      </c>
      <c r="F1275" s="224" t="s">
        <v>249</v>
      </c>
      <c r="G1275" s="223" t="str">
        <f>VLOOKUP($B1275,'FRS geographical categories'!$A$2:$C$45,2,FALSE)</f>
        <v>Predominantly Rural</v>
      </c>
      <c r="H1275" s="223" t="str">
        <f>VLOOKUP($B1275,'FRS geographical categories'!$A$2:$C$45,3,FALSE)</f>
        <v>Non-metropolitan</v>
      </c>
      <c r="I1275" s="224">
        <v>0</v>
      </c>
    </row>
    <row r="1276" spans="1:9" ht="15.5" x14ac:dyDescent="0.35">
      <c r="A1276" s="224" t="s">
        <v>54</v>
      </c>
      <c r="B1276" s="224" t="s">
        <v>40</v>
      </c>
      <c r="C1276" s="224" t="s">
        <v>89</v>
      </c>
      <c r="D1276" s="224" t="s">
        <v>9</v>
      </c>
      <c r="E1276" s="224" t="s">
        <v>256</v>
      </c>
      <c r="F1276" s="224" t="s">
        <v>250</v>
      </c>
      <c r="G1276" s="223" t="str">
        <f>VLOOKUP($B1276,'FRS geographical categories'!$A$2:$C$45,2,FALSE)</f>
        <v>Predominantly Rural</v>
      </c>
      <c r="H1276" s="223" t="str">
        <f>VLOOKUP($B1276,'FRS geographical categories'!$A$2:$C$45,3,FALSE)</f>
        <v>Non-metropolitan</v>
      </c>
      <c r="I1276" s="224">
        <v>0</v>
      </c>
    </row>
    <row r="1277" spans="1:9" ht="15.5" x14ac:dyDescent="0.35">
      <c r="A1277" s="224" t="s">
        <v>54</v>
      </c>
      <c r="B1277" s="224" t="s">
        <v>40</v>
      </c>
      <c r="C1277" s="224" t="s">
        <v>89</v>
      </c>
      <c r="D1277" s="224" t="s">
        <v>9</v>
      </c>
      <c r="E1277" s="224" t="s">
        <v>256</v>
      </c>
      <c r="F1277" s="224" t="s">
        <v>10</v>
      </c>
      <c r="G1277" s="223" t="str">
        <f>VLOOKUP($B1277,'FRS geographical categories'!$A$2:$C$45,2,FALSE)</f>
        <v>Predominantly Rural</v>
      </c>
      <c r="H1277" s="223" t="str">
        <f>VLOOKUP($B1277,'FRS geographical categories'!$A$2:$C$45,3,FALSE)</f>
        <v>Non-metropolitan</v>
      </c>
      <c r="I1277" s="224">
        <v>0</v>
      </c>
    </row>
    <row r="1278" spans="1:9" ht="15.5" x14ac:dyDescent="0.35">
      <c r="A1278" s="224" t="s">
        <v>54</v>
      </c>
      <c r="B1278" s="224" t="s">
        <v>40</v>
      </c>
      <c r="C1278" s="224" t="s">
        <v>89</v>
      </c>
      <c r="D1278" s="224" t="s">
        <v>55</v>
      </c>
      <c r="E1278" s="224" t="s">
        <v>256</v>
      </c>
      <c r="F1278" s="224" t="s">
        <v>248</v>
      </c>
      <c r="G1278" s="223" t="str">
        <f>VLOOKUP($B1278,'FRS geographical categories'!$A$2:$C$45,2,FALSE)</f>
        <v>Predominantly Rural</v>
      </c>
      <c r="H1278" s="223" t="str">
        <f>VLOOKUP($B1278,'FRS geographical categories'!$A$2:$C$45,3,FALSE)</f>
        <v>Non-metropolitan</v>
      </c>
      <c r="I1278" s="224">
        <v>0</v>
      </c>
    </row>
    <row r="1279" spans="1:9" ht="15.5" x14ac:dyDescent="0.35">
      <c r="A1279" s="224" t="s">
        <v>54</v>
      </c>
      <c r="B1279" s="224" t="s">
        <v>40</v>
      </c>
      <c r="C1279" s="224" t="s">
        <v>89</v>
      </c>
      <c r="D1279" s="224" t="s">
        <v>55</v>
      </c>
      <c r="E1279" s="224" t="s">
        <v>256</v>
      </c>
      <c r="F1279" s="224" t="s">
        <v>249</v>
      </c>
      <c r="G1279" s="223" t="str">
        <f>VLOOKUP($B1279,'FRS geographical categories'!$A$2:$C$45,2,FALSE)</f>
        <v>Predominantly Rural</v>
      </c>
      <c r="H1279" s="223" t="str">
        <f>VLOOKUP($B1279,'FRS geographical categories'!$A$2:$C$45,3,FALSE)</f>
        <v>Non-metropolitan</v>
      </c>
      <c r="I1279" s="224">
        <v>0</v>
      </c>
    </row>
    <row r="1280" spans="1:9" ht="15.5" x14ac:dyDescent="0.35">
      <c r="A1280" s="224" t="s">
        <v>54</v>
      </c>
      <c r="B1280" s="224" t="s">
        <v>40</v>
      </c>
      <c r="C1280" s="224" t="s">
        <v>89</v>
      </c>
      <c r="D1280" s="224" t="s">
        <v>55</v>
      </c>
      <c r="E1280" s="224" t="s">
        <v>256</v>
      </c>
      <c r="F1280" s="224" t="s">
        <v>250</v>
      </c>
      <c r="G1280" s="223" t="str">
        <f>VLOOKUP($B1280,'FRS geographical categories'!$A$2:$C$45,2,FALSE)</f>
        <v>Predominantly Rural</v>
      </c>
      <c r="H1280" s="223" t="str">
        <f>VLOOKUP($B1280,'FRS geographical categories'!$A$2:$C$45,3,FALSE)</f>
        <v>Non-metropolitan</v>
      </c>
      <c r="I1280" s="224">
        <v>0</v>
      </c>
    </row>
    <row r="1281" spans="1:9" ht="15.5" x14ac:dyDescent="0.35">
      <c r="A1281" s="224" t="s">
        <v>54</v>
      </c>
      <c r="B1281" s="224" t="s">
        <v>40</v>
      </c>
      <c r="C1281" s="224" t="s">
        <v>89</v>
      </c>
      <c r="D1281" s="224" t="s">
        <v>55</v>
      </c>
      <c r="E1281" s="224" t="s">
        <v>256</v>
      </c>
      <c r="F1281" s="224" t="s">
        <v>10</v>
      </c>
      <c r="G1281" s="223" t="str">
        <f>VLOOKUP($B1281,'FRS geographical categories'!$A$2:$C$45,2,FALSE)</f>
        <v>Predominantly Rural</v>
      </c>
      <c r="H1281" s="223" t="str">
        <f>VLOOKUP($B1281,'FRS geographical categories'!$A$2:$C$45,3,FALSE)</f>
        <v>Non-metropolitan</v>
      </c>
      <c r="I1281" s="224">
        <v>0</v>
      </c>
    </row>
    <row r="1282" spans="1:9" ht="15.5" x14ac:dyDescent="0.35">
      <c r="A1282" s="224" t="s">
        <v>54</v>
      </c>
      <c r="B1282" s="224" t="s">
        <v>41</v>
      </c>
      <c r="C1282" s="224" t="s">
        <v>86</v>
      </c>
      <c r="D1282" s="224" t="s">
        <v>9</v>
      </c>
      <c r="E1282" s="224" t="s">
        <v>256</v>
      </c>
      <c r="F1282" s="224" t="s">
        <v>248</v>
      </c>
      <c r="G1282" s="223" t="str">
        <f>VLOOKUP($B1282,'FRS geographical categories'!$A$2:$C$45,2,FALSE)</f>
        <v>Predominantly Urban</v>
      </c>
      <c r="H1282" s="223" t="str">
        <f>VLOOKUP($B1282,'FRS geographical categories'!$A$2:$C$45,3,FALSE)</f>
        <v>Non-metropolitan</v>
      </c>
      <c r="I1282" s="224">
        <v>606</v>
      </c>
    </row>
    <row r="1283" spans="1:9" ht="15.5" x14ac:dyDescent="0.35">
      <c r="A1283" s="224" t="s">
        <v>54</v>
      </c>
      <c r="B1283" s="224" t="s">
        <v>41</v>
      </c>
      <c r="C1283" s="224" t="s">
        <v>86</v>
      </c>
      <c r="D1283" s="224" t="s">
        <v>9</v>
      </c>
      <c r="E1283" s="224" t="s">
        <v>256</v>
      </c>
      <c r="F1283" s="224" t="s">
        <v>249</v>
      </c>
      <c r="G1283" s="223" t="str">
        <f>VLOOKUP($B1283,'FRS geographical categories'!$A$2:$C$45,2,FALSE)</f>
        <v>Predominantly Urban</v>
      </c>
      <c r="H1283" s="223" t="str">
        <f>VLOOKUP($B1283,'FRS geographical categories'!$A$2:$C$45,3,FALSE)</f>
        <v>Non-metropolitan</v>
      </c>
      <c r="I1283" s="224">
        <v>1400</v>
      </c>
    </row>
    <row r="1284" spans="1:9" ht="15.5" x14ac:dyDescent="0.35">
      <c r="A1284" s="224" t="s">
        <v>54</v>
      </c>
      <c r="B1284" s="224" t="s">
        <v>41</v>
      </c>
      <c r="C1284" s="224" t="s">
        <v>86</v>
      </c>
      <c r="D1284" s="224" t="s">
        <v>9</v>
      </c>
      <c r="E1284" s="224" t="s">
        <v>256</v>
      </c>
      <c r="F1284" s="224" t="s">
        <v>250</v>
      </c>
      <c r="G1284" s="223" t="str">
        <f>VLOOKUP($B1284,'FRS geographical categories'!$A$2:$C$45,2,FALSE)</f>
        <v>Predominantly Urban</v>
      </c>
      <c r="H1284" s="223" t="str">
        <f>VLOOKUP($B1284,'FRS geographical categories'!$A$2:$C$45,3,FALSE)</f>
        <v>Non-metropolitan</v>
      </c>
      <c r="I1284" s="224">
        <v>456</v>
      </c>
    </row>
    <row r="1285" spans="1:9" ht="15.5" x14ac:dyDescent="0.35">
      <c r="A1285" s="224" t="s">
        <v>54</v>
      </c>
      <c r="B1285" s="224" t="s">
        <v>41</v>
      </c>
      <c r="C1285" s="224" t="s">
        <v>86</v>
      </c>
      <c r="D1285" s="224" t="s">
        <v>9</v>
      </c>
      <c r="E1285" s="224" t="s">
        <v>256</v>
      </c>
      <c r="F1285" s="224" t="s">
        <v>111</v>
      </c>
      <c r="G1285" s="223" t="str">
        <f>VLOOKUP($B1285,'FRS geographical categories'!$A$2:$C$45,2,FALSE)</f>
        <v>Predominantly Urban</v>
      </c>
      <c r="H1285" s="223" t="str">
        <f>VLOOKUP($B1285,'FRS geographical categories'!$A$2:$C$45,3,FALSE)</f>
        <v>Non-metropolitan</v>
      </c>
      <c r="I1285" s="224">
        <v>3837</v>
      </c>
    </row>
    <row r="1286" spans="1:9" ht="15.5" x14ac:dyDescent="0.35">
      <c r="A1286" s="224" t="s">
        <v>54</v>
      </c>
      <c r="B1286" s="224" t="s">
        <v>41</v>
      </c>
      <c r="C1286" s="224" t="s">
        <v>86</v>
      </c>
      <c r="D1286" s="224" t="s">
        <v>9</v>
      </c>
      <c r="E1286" s="224" t="s">
        <v>256</v>
      </c>
      <c r="F1286" s="224" t="s">
        <v>10</v>
      </c>
      <c r="G1286" s="223" t="str">
        <f>VLOOKUP($B1286,'FRS geographical categories'!$A$2:$C$45,2,FALSE)</f>
        <v>Predominantly Urban</v>
      </c>
      <c r="H1286" s="223" t="str">
        <f>VLOOKUP($B1286,'FRS geographical categories'!$A$2:$C$45,3,FALSE)</f>
        <v>Non-metropolitan</v>
      </c>
      <c r="I1286" s="224">
        <v>3978</v>
      </c>
    </row>
    <row r="1287" spans="1:9" ht="15.5" x14ac:dyDescent="0.35">
      <c r="A1287" s="224" t="s">
        <v>54</v>
      </c>
      <c r="B1287" s="224" t="s">
        <v>41</v>
      </c>
      <c r="C1287" s="224" t="s">
        <v>86</v>
      </c>
      <c r="D1287" s="224" t="s">
        <v>55</v>
      </c>
      <c r="E1287" s="224" t="s">
        <v>256</v>
      </c>
      <c r="F1287" s="224" t="s">
        <v>248</v>
      </c>
      <c r="G1287" s="223" t="str">
        <f>VLOOKUP($B1287,'FRS geographical categories'!$A$2:$C$45,2,FALSE)</f>
        <v>Predominantly Urban</v>
      </c>
      <c r="H1287" s="223" t="str">
        <f>VLOOKUP($B1287,'FRS geographical categories'!$A$2:$C$45,3,FALSE)</f>
        <v>Non-metropolitan</v>
      </c>
      <c r="I1287" s="224">
        <v>457</v>
      </c>
    </row>
    <row r="1288" spans="1:9" ht="15.5" x14ac:dyDescent="0.35">
      <c r="A1288" s="224" t="s">
        <v>54</v>
      </c>
      <c r="B1288" s="224" t="s">
        <v>41</v>
      </c>
      <c r="C1288" s="224" t="s">
        <v>86</v>
      </c>
      <c r="D1288" s="224" t="s">
        <v>55</v>
      </c>
      <c r="E1288" s="224" t="s">
        <v>256</v>
      </c>
      <c r="F1288" s="224" t="s">
        <v>249</v>
      </c>
      <c r="G1288" s="223" t="str">
        <f>VLOOKUP($B1288,'FRS geographical categories'!$A$2:$C$45,2,FALSE)</f>
        <v>Predominantly Urban</v>
      </c>
      <c r="H1288" s="223" t="str">
        <f>VLOOKUP($B1288,'FRS geographical categories'!$A$2:$C$45,3,FALSE)</f>
        <v>Non-metropolitan</v>
      </c>
      <c r="I1288" s="224">
        <v>1263</v>
      </c>
    </row>
    <row r="1289" spans="1:9" ht="15.5" x14ac:dyDescent="0.35">
      <c r="A1289" s="224" t="s">
        <v>54</v>
      </c>
      <c r="B1289" s="224" t="s">
        <v>41</v>
      </c>
      <c r="C1289" s="224" t="s">
        <v>86</v>
      </c>
      <c r="D1289" s="224" t="s">
        <v>55</v>
      </c>
      <c r="E1289" s="224" t="s">
        <v>256</v>
      </c>
      <c r="F1289" s="224" t="s">
        <v>250</v>
      </c>
      <c r="G1289" s="223" t="str">
        <f>VLOOKUP($B1289,'FRS geographical categories'!$A$2:$C$45,2,FALSE)</f>
        <v>Predominantly Urban</v>
      </c>
      <c r="H1289" s="223" t="str">
        <f>VLOOKUP($B1289,'FRS geographical categories'!$A$2:$C$45,3,FALSE)</f>
        <v>Non-metropolitan</v>
      </c>
      <c r="I1289" s="224">
        <v>187</v>
      </c>
    </row>
    <row r="1290" spans="1:9" ht="15.5" x14ac:dyDescent="0.35">
      <c r="A1290" s="224" t="s">
        <v>54</v>
      </c>
      <c r="B1290" s="224" t="s">
        <v>41</v>
      </c>
      <c r="C1290" s="224" t="s">
        <v>86</v>
      </c>
      <c r="D1290" s="224" t="s">
        <v>55</v>
      </c>
      <c r="E1290" s="224" t="s">
        <v>256</v>
      </c>
      <c r="F1290" s="224" t="s">
        <v>111</v>
      </c>
      <c r="G1290" s="223" t="str">
        <f>VLOOKUP($B1290,'FRS geographical categories'!$A$2:$C$45,2,FALSE)</f>
        <v>Predominantly Urban</v>
      </c>
      <c r="H1290" s="223" t="str">
        <f>VLOOKUP($B1290,'FRS geographical categories'!$A$2:$C$45,3,FALSE)</f>
        <v>Non-metropolitan</v>
      </c>
      <c r="I1290" s="224">
        <v>2400</v>
      </c>
    </row>
    <row r="1291" spans="1:9" ht="15.5" x14ac:dyDescent="0.35">
      <c r="A1291" s="224" t="s">
        <v>54</v>
      </c>
      <c r="B1291" s="224" t="s">
        <v>41</v>
      </c>
      <c r="C1291" s="224" t="s">
        <v>86</v>
      </c>
      <c r="D1291" s="224" t="s">
        <v>55</v>
      </c>
      <c r="E1291" s="224" t="s">
        <v>256</v>
      </c>
      <c r="F1291" s="224" t="s">
        <v>10</v>
      </c>
      <c r="G1291" s="223" t="str">
        <f>VLOOKUP($B1291,'FRS geographical categories'!$A$2:$C$45,2,FALSE)</f>
        <v>Predominantly Urban</v>
      </c>
      <c r="H1291" s="223" t="str">
        <f>VLOOKUP($B1291,'FRS geographical categories'!$A$2:$C$45,3,FALSE)</f>
        <v>Non-metropolitan</v>
      </c>
      <c r="I1291" s="224">
        <v>2473</v>
      </c>
    </row>
    <row r="1292" spans="1:9" ht="15.5" x14ac:dyDescent="0.35">
      <c r="A1292" s="224" t="s">
        <v>54</v>
      </c>
      <c r="B1292" s="224" t="s">
        <v>41</v>
      </c>
      <c r="C1292" s="224" t="s">
        <v>89</v>
      </c>
      <c r="D1292" s="224" t="s">
        <v>9</v>
      </c>
      <c r="E1292" s="224" t="s">
        <v>256</v>
      </c>
      <c r="F1292" s="224" t="s">
        <v>248</v>
      </c>
      <c r="G1292" s="223" t="str">
        <f>VLOOKUP($B1292,'FRS geographical categories'!$A$2:$C$45,2,FALSE)</f>
        <v>Predominantly Urban</v>
      </c>
      <c r="H1292" s="223" t="str">
        <f>VLOOKUP($B1292,'FRS geographical categories'!$A$2:$C$45,3,FALSE)</f>
        <v>Non-metropolitan</v>
      </c>
      <c r="I1292" s="224">
        <v>0</v>
      </c>
    </row>
    <row r="1293" spans="1:9" ht="15.5" x14ac:dyDescent="0.35">
      <c r="A1293" s="224" t="s">
        <v>54</v>
      </c>
      <c r="B1293" s="224" t="s">
        <v>41</v>
      </c>
      <c r="C1293" s="224" t="s">
        <v>89</v>
      </c>
      <c r="D1293" s="224" t="s">
        <v>9</v>
      </c>
      <c r="E1293" s="224" t="s">
        <v>256</v>
      </c>
      <c r="F1293" s="224" t="s">
        <v>249</v>
      </c>
      <c r="G1293" s="223" t="str">
        <f>VLOOKUP($B1293,'FRS geographical categories'!$A$2:$C$45,2,FALSE)</f>
        <v>Predominantly Urban</v>
      </c>
      <c r="H1293" s="223" t="str">
        <f>VLOOKUP($B1293,'FRS geographical categories'!$A$2:$C$45,3,FALSE)</f>
        <v>Non-metropolitan</v>
      </c>
      <c r="I1293" s="224">
        <v>0</v>
      </c>
    </row>
    <row r="1294" spans="1:9" ht="15.5" x14ac:dyDescent="0.35">
      <c r="A1294" s="224" t="s">
        <v>54</v>
      </c>
      <c r="B1294" s="224" t="s">
        <v>41</v>
      </c>
      <c r="C1294" s="224" t="s">
        <v>89</v>
      </c>
      <c r="D1294" s="224" t="s">
        <v>9</v>
      </c>
      <c r="E1294" s="224" t="s">
        <v>256</v>
      </c>
      <c r="F1294" s="224" t="s">
        <v>250</v>
      </c>
      <c r="G1294" s="223" t="str">
        <f>VLOOKUP($B1294,'FRS geographical categories'!$A$2:$C$45,2,FALSE)</f>
        <v>Predominantly Urban</v>
      </c>
      <c r="H1294" s="223" t="str">
        <f>VLOOKUP($B1294,'FRS geographical categories'!$A$2:$C$45,3,FALSE)</f>
        <v>Non-metropolitan</v>
      </c>
      <c r="I1294" s="224">
        <v>0</v>
      </c>
    </row>
    <row r="1295" spans="1:9" ht="15.5" x14ac:dyDescent="0.35">
      <c r="A1295" s="224" t="s">
        <v>54</v>
      </c>
      <c r="B1295" s="224" t="s">
        <v>41</v>
      </c>
      <c r="C1295" s="224" t="s">
        <v>89</v>
      </c>
      <c r="D1295" s="224" t="s">
        <v>9</v>
      </c>
      <c r="E1295" s="224" t="s">
        <v>256</v>
      </c>
      <c r="F1295" s="224" t="s">
        <v>10</v>
      </c>
      <c r="G1295" s="223" t="str">
        <f>VLOOKUP($B1295,'FRS geographical categories'!$A$2:$C$45,2,FALSE)</f>
        <v>Predominantly Urban</v>
      </c>
      <c r="H1295" s="223" t="str">
        <f>VLOOKUP($B1295,'FRS geographical categories'!$A$2:$C$45,3,FALSE)</f>
        <v>Non-metropolitan</v>
      </c>
      <c r="I1295" s="224">
        <v>0</v>
      </c>
    </row>
    <row r="1296" spans="1:9" ht="15.5" x14ac:dyDescent="0.35">
      <c r="A1296" s="224" t="s">
        <v>54</v>
      </c>
      <c r="B1296" s="224" t="s">
        <v>41</v>
      </c>
      <c r="C1296" s="224" t="s">
        <v>89</v>
      </c>
      <c r="D1296" s="224" t="s">
        <v>55</v>
      </c>
      <c r="E1296" s="224" t="s">
        <v>256</v>
      </c>
      <c r="F1296" s="224" t="s">
        <v>248</v>
      </c>
      <c r="G1296" s="223" t="str">
        <f>VLOOKUP($B1296,'FRS geographical categories'!$A$2:$C$45,2,FALSE)</f>
        <v>Predominantly Urban</v>
      </c>
      <c r="H1296" s="223" t="str">
        <f>VLOOKUP($B1296,'FRS geographical categories'!$A$2:$C$45,3,FALSE)</f>
        <v>Non-metropolitan</v>
      </c>
      <c r="I1296" s="224">
        <v>0</v>
      </c>
    </row>
    <row r="1297" spans="1:9" ht="15.5" x14ac:dyDescent="0.35">
      <c r="A1297" s="224" t="s">
        <v>54</v>
      </c>
      <c r="B1297" s="224" t="s">
        <v>41</v>
      </c>
      <c r="C1297" s="224" t="s">
        <v>89</v>
      </c>
      <c r="D1297" s="224" t="s">
        <v>55</v>
      </c>
      <c r="E1297" s="224" t="s">
        <v>256</v>
      </c>
      <c r="F1297" s="224" t="s">
        <v>249</v>
      </c>
      <c r="G1297" s="223" t="str">
        <f>VLOOKUP($B1297,'FRS geographical categories'!$A$2:$C$45,2,FALSE)</f>
        <v>Predominantly Urban</v>
      </c>
      <c r="H1297" s="223" t="str">
        <f>VLOOKUP($B1297,'FRS geographical categories'!$A$2:$C$45,3,FALSE)</f>
        <v>Non-metropolitan</v>
      </c>
      <c r="I1297" s="224">
        <v>0</v>
      </c>
    </row>
    <row r="1298" spans="1:9" ht="15.5" x14ac:dyDescent="0.35">
      <c r="A1298" s="224" t="s">
        <v>54</v>
      </c>
      <c r="B1298" s="224" t="s">
        <v>41</v>
      </c>
      <c r="C1298" s="224" t="s">
        <v>89</v>
      </c>
      <c r="D1298" s="224" t="s">
        <v>55</v>
      </c>
      <c r="E1298" s="224" t="s">
        <v>256</v>
      </c>
      <c r="F1298" s="224" t="s">
        <v>250</v>
      </c>
      <c r="G1298" s="223" t="str">
        <f>VLOOKUP($B1298,'FRS geographical categories'!$A$2:$C$45,2,FALSE)</f>
        <v>Predominantly Urban</v>
      </c>
      <c r="H1298" s="223" t="str">
        <f>VLOOKUP($B1298,'FRS geographical categories'!$A$2:$C$45,3,FALSE)</f>
        <v>Non-metropolitan</v>
      </c>
      <c r="I1298" s="224">
        <v>0</v>
      </c>
    </row>
    <row r="1299" spans="1:9" ht="15.5" x14ac:dyDescent="0.35">
      <c r="A1299" s="224" t="s">
        <v>54</v>
      </c>
      <c r="B1299" s="224" t="s">
        <v>41</v>
      </c>
      <c r="C1299" s="224" t="s">
        <v>89</v>
      </c>
      <c r="D1299" s="224" t="s">
        <v>55</v>
      </c>
      <c r="E1299" s="224" t="s">
        <v>256</v>
      </c>
      <c r="F1299" s="224" t="s">
        <v>10</v>
      </c>
      <c r="G1299" s="223" t="str">
        <f>VLOOKUP($B1299,'FRS geographical categories'!$A$2:$C$45,2,FALSE)</f>
        <v>Predominantly Urban</v>
      </c>
      <c r="H1299" s="223" t="str">
        <f>VLOOKUP($B1299,'FRS geographical categories'!$A$2:$C$45,3,FALSE)</f>
        <v>Non-metropolitan</v>
      </c>
      <c r="I1299" s="224">
        <v>0</v>
      </c>
    </row>
    <row r="1300" spans="1:9" ht="15.5" x14ac:dyDescent="0.35">
      <c r="A1300" s="224" t="s">
        <v>54</v>
      </c>
      <c r="B1300" s="224" t="s">
        <v>42</v>
      </c>
      <c r="C1300" s="224" t="s">
        <v>86</v>
      </c>
      <c r="D1300" s="224" t="s">
        <v>9</v>
      </c>
      <c r="E1300" s="224" t="s">
        <v>256</v>
      </c>
      <c r="F1300" s="224" t="s">
        <v>248</v>
      </c>
      <c r="G1300" s="223" t="str">
        <f>VLOOKUP($B1300,'FRS geographical categories'!$A$2:$C$45,2,FALSE)</f>
        <v>Predominantly Rural</v>
      </c>
      <c r="H1300" s="223" t="str">
        <f>VLOOKUP($B1300,'FRS geographical categories'!$A$2:$C$45,3,FALSE)</f>
        <v>Non-metropolitan</v>
      </c>
      <c r="I1300" s="224">
        <v>76</v>
      </c>
    </row>
    <row r="1301" spans="1:9" ht="15.5" x14ac:dyDescent="0.35">
      <c r="A1301" s="224" t="s">
        <v>54</v>
      </c>
      <c r="B1301" s="224" t="s">
        <v>42</v>
      </c>
      <c r="C1301" s="224" t="s">
        <v>86</v>
      </c>
      <c r="D1301" s="224" t="s">
        <v>9</v>
      </c>
      <c r="E1301" s="224" t="s">
        <v>256</v>
      </c>
      <c r="F1301" s="224" t="s">
        <v>249</v>
      </c>
      <c r="G1301" s="223" t="str">
        <f>VLOOKUP($B1301,'FRS geographical categories'!$A$2:$C$45,2,FALSE)</f>
        <v>Predominantly Rural</v>
      </c>
      <c r="H1301" s="223" t="str">
        <f>VLOOKUP($B1301,'FRS geographical categories'!$A$2:$C$45,3,FALSE)</f>
        <v>Non-metropolitan</v>
      </c>
      <c r="I1301" s="224">
        <v>395</v>
      </c>
    </row>
    <row r="1302" spans="1:9" ht="15.5" x14ac:dyDescent="0.35">
      <c r="A1302" s="224" t="s">
        <v>54</v>
      </c>
      <c r="B1302" s="224" t="s">
        <v>42</v>
      </c>
      <c r="C1302" s="224" t="s">
        <v>86</v>
      </c>
      <c r="D1302" s="224" t="s">
        <v>9</v>
      </c>
      <c r="E1302" s="224" t="s">
        <v>256</v>
      </c>
      <c r="F1302" s="224" t="s">
        <v>250</v>
      </c>
      <c r="G1302" s="223" t="str">
        <f>VLOOKUP($B1302,'FRS geographical categories'!$A$2:$C$45,2,FALSE)</f>
        <v>Predominantly Rural</v>
      </c>
      <c r="H1302" s="223" t="str">
        <f>VLOOKUP($B1302,'FRS geographical categories'!$A$2:$C$45,3,FALSE)</f>
        <v>Non-metropolitan</v>
      </c>
      <c r="I1302" s="224">
        <v>1450</v>
      </c>
    </row>
    <row r="1303" spans="1:9" ht="15.5" x14ac:dyDescent="0.35">
      <c r="A1303" s="224" t="s">
        <v>54</v>
      </c>
      <c r="B1303" s="224" t="s">
        <v>42</v>
      </c>
      <c r="C1303" s="224" t="s">
        <v>86</v>
      </c>
      <c r="D1303" s="224" t="s">
        <v>9</v>
      </c>
      <c r="E1303" s="224" t="s">
        <v>256</v>
      </c>
      <c r="F1303" s="224" t="s">
        <v>111</v>
      </c>
      <c r="G1303" s="223" t="str">
        <f>VLOOKUP($B1303,'FRS geographical categories'!$A$2:$C$45,2,FALSE)</f>
        <v>Predominantly Rural</v>
      </c>
      <c r="H1303" s="223" t="str">
        <f>VLOOKUP($B1303,'FRS geographical categories'!$A$2:$C$45,3,FALSE)</f>
        <v>Non-metropolitan</v>
      </c>
      <c r="I1303" s="224">
        <v>0</v>
      </c>
    </row>
    <row r="1304" spans="1:9" ht="15.5" x14ac:dyDescent="0.35">
      <c r="A1304" s="224" t="s">
        <v>54</v>
      </c>
      <c r="B1304" s="224" t="s">
        <v>42</v>
      </c>
      <c r="C1304" s="224" t="s">
        <v>86</v>
      </c>
      <c r="D1304" s="224" t="s">
        <v>9</v>
      </c>
      <c r="E1304" s="224" t="s">
        <v>256</v>
      </c>
      <c r="F1304" s="224" t="s">
        <v>10</v>
      </c>
      <c r="G1304" s="223" t="str">
        <f>VLOOKUP($B1304,'FRS geographical categories'!$A$2:$C$45,2,FALSE)</f>
        <v>Predominantly Rural</v>
      </c>
      <c r="H1304" s="223" t="str">
        <f>VLOOKUP($B1304,'FRS geographical categories'!$A$2:$C$45,3,FALSE)</f>
        <v>Non-metropolitan</v>
      </c>
      <c r="I1304" s="224">
        <v>2286</v>
      </c>
    </row>
    <row r="1305" spans="1:9" ht="15.5" x14ac:dyDescent="0.35">
      <c r="A1305" s="224" t="s">
        <v>54</v>
      </c>
      <c r="B1305" s="224" t="s">
        <v>42</v>
      </c>
      <c r="C1305" s="224" t="s">
        <v>86</v>
      </c>
      <c r="D1305" s="224" t="s">
        <v>55</v>
      </c>
      <c r="E1305" s="224" t="s">
        <v>256</v>
      </c>
      <c r="F1305" s="224" t="s">
        <v>248</v>
      </c>
      <c r="G1305" s="223" t="str">
        <f>VLOOKUP($B1305,'FRS geographical categories'!$A$2:$C$45,2,FALSE)</f>
        <v>Predominantly Rural</v>
      </c>
      <c r="H1305" s="223" t="str">
        <f>VLOOKUP($B1305,'FRS geographical categories'!$A$2:$C$45,3,FALSE)</f>
        <v>Non-metropolitan</v>
      </c>
      <c r="I1305" s="224">
        <v>11</v>
      </c>
    </row>
    <row r="1306" spans="1:9" ht="15.5" x14ac:dyDescent="0.35">
      <c r="A1306" s="224" t="s">
        <v>54</v>
      </c>
      <c r="B1306" s="224" t="s">
        <v>42</v>
      </c>
      <c r="C1306" s="224" t="s">
        <v>86</v>
      </c>
      <c r="D1306" s="224" t="s">
        <v>55</v>
      </c>
      <c r="E1306" s="224" t="s">
        <v>256</v>
      </c>
      <c r="F1306" s="224" t="s">
        <v>249</v>
      </c>
      <c r="G1306" s="223" t="str">
        <f>VLOOKUP($B1306,'FRS geographical categories'!$A$2:$C$45,2,FALSE)</f>
        <v>Predominantly Rural</v>
      </c>
      <c r="H1306" s="223" t="str">
        <f>VLOOKUP($B1306,'FRS geographical categories'!$A$2:$C$45,3,FALSE)</f>
        <v>Non-metropolitan</v>
      </c>
      <c r="I1306" s="224">
        <v>26</v>
      </c>
    </row>
    <row r="1307" spans="1:9" ht="15.5" x14ac:dyDescent="0.35">
      <c r="A1307" s="224" t="s">
        <v>54</v>
      </c>
      <c r="B1307" s="224" t="s">
        <v>42</v>
      </c>
      <c r="C1307" s="224" t="s">
        <v>86</v>
      </c>
      <c r="D1307" s="224" t="s">
        <v>55</v>
      </c>
      <c r="E1307" s="224" t="s">
        <v>256</v>
      </c>
      <c r="F1307" s="224" t="s">
        <v>250</v>
      </c>
      <c r="G1307" s="223" t="str">
        <f>VLOOKUP($B1307,'FRS geographical categories'!$A$2:$C$45,2,FALSE)</f>
        <v>Predominantly Rural</v>
      </c>
      <c r="H1307" s="223" t="str">
        <f>VLOOKUP($B1307,'FRS geographical categories'!$A$2:$C$45,3,FALSE)</f>
        <v>Non-metropolitan</v>
      </c>
      <c r="I1307" s="224">
        <v>19</v>
      </c>
    </row>
    <row r="1308" spans="1:9" ht="15.5" x14ac:dyDescent="0.35">
      <c r="A1308" s="224" t="s">
        <v>54</v>
      </c>
      <c r="B1308" s="224" t="s">
        <v>42</v>
      </c>
      <c r="C1308" s="224" t="s">
        <v>86</v>
      </c>
      <c r="D1308" s="224" t="s">
        <v>55</v>
      </c>
      <c r="E1308" s="224" t="s">
        <v>256</v>
      </c>
      <c r="F1308" s="224" t="s">
        <v>111</v>
      </c>
      <c r="G1308" s="223" t="str">
        <f>VLOOKUP($B1308,'FRS geographical categories'!$A$2:$C$45,2,FALSE)</f>
        <v>Predominantly Rural</v>
      </c>
      <c r="H1308" s="223" t="str">
        <f>VLOOKUP($B1308,'FRS geographical categories'!$A$2:$C$45,3,FALSE)</f>
        <v>Non-metropolitan</v>
      </c>
      <c r="I1308" s="224">
        <v>0</v>
      </c>
    </row>
    <row r="1309" spans="1:9" ht="15.5" x14ac:dyDescent="0.35">
      <c r="A1309" s="224" t="s">
        <v>54</v>
      </c>
      <c r="B1309" s="224" t="s">
        <v>42</v>
      </c>
      <c r="C1309" s="224" t="s">
        <v>86</v>
      </c>
      <c r="D1309" s="224" t="s">
        <v>55</v>
      </c>
      <c r="E1309" s="224" t="s">
        <v>256</v>
      </c>
      <c r="F1309" s="224" t="s">
        <v>10</v>
      </c>
      <c r="G1309" s="223" t="str">
        <f>VLOOKUP($B1309,'FRS geographical categories'!$A$2:$C$45,2,FALSE)</f>
        <v>Predominantly Rural</v>
      </c>
      <c r="H1309" s="223" t="str">
        <f>VLOOKUP($B1309,'FRS geographical categories'!$A$2:$C$45,3,FALSE)</f>
        <v>Non-metropolitan</v>
      </c>
      <c r="I1309" s="224">
        <v>186</v>
      </c>
    </row>
    <row r="1310" spans="1:9" ht="15.5" x14ac:dyDescent="0.35">
      <c r="A1310" s="224" t="s">
        <v>54</v>
      </c>
      <c r="B1310" s="224" t="s">
        <v>42</v>
      </c>
      <c r="C1310" s="224" t="s">
        <v>89</v>
      </c>
      <c r="D1310" s="224" t="s">
        <v>9</v>
      </c>
      <c r="E1310" s="224" t="s">
        <v>256</v>
      </c>
      <c r="F1310" s="224" t="s">
        <v>248</v>
      </c>
      <c r="G1310" s="223" t="str">
        <f>VLOOKUP($B1310,'FRS geographical categories'!$A$2:$C$45,2,FALSE)</f>
        <v>Predominantly Rural</v>
      </c>
      <c r="H1310" s="223" t="str">
        <f>VLOOKUP($B1310,'FRS geographical categories'!$A$2:$C$45,3,FALSE)</f>
        <v>Non-metropolitan</v>
      </c>
      <c r="I1310" s="224">
        <v>0</v>
      </c>
    </row>
    <row r="1311" spans="1:9" ht="15.5" x14ac:dyDescent="0.35">
      <c r="A1311" s="224" t="s">
        <v>54</v>
      </c>
      <c r="B1311" s="224" t="s">
        <v>42</v>
      </c>
      <c r="C1311" s="224" t="s">
        <v>89</v>
      </c>
      <c r="D1311" s="224" t="s">
        <v>9</v>
      </c>
      <c r="E1311" s="224" t="s">
        <v>256</v>
      </c>
      <c r="F1311" s="224" t="s">
        <v>249</v>
      </c>
      <c r="G1311" s="223" t="str">
        <f>VLOOKUP($B1311,'FRS geographical categories'!$A$2:$C$45,2,FALSE)</f>
        <v>Predominantly Rural</v>
      </c>
      <c r="H1311" s="223" t="str">
        <f>VLOOKUP($B1311,'FRS geographical categories'!$A$2:$C$45,3,FALSE)</f>
        <v>Non-metropolitan</v>
      </c>
      <c r="I1311" s="224">
        <v>0</v>
      </c>
    </row>
    <row r="1312" spans="1:9" ht="15.5" x14ac:dyDescent="0.35">
      <c r="A1312" s="224" t="s">
        <v>54</v>
      </c>
      <c r="B1312" s="224" t="s">
        <v>42</v>
      </c>
      <c r="C1312" s="224" t="s">
        <v>89</v>
      </c>
      <c r="D1312" s="224" t="s">
        <v>9</v>
      </c>
      <c r="E1312" s="224" t="s">
        <v>256</v>
      </c>
      <c r="F1312" s="224" t="s">
        <v>250</v>
      </c>
      <c r="G1312" s="223" t="str">
        <f>VLOOKUP($B1312,'FRS geographical categories'!$A$2:$C$45,2,FALSE)</f>
        <v>Predominantly Rural</v>
      </c>
      <c r="H1312" s="223" t="str">
        <f>VLOOKUP($B1312,'FRS geographical categories'!$A$2:$C$45,3,FALSE)</f>
        <v>Non-metropolitan</v>
      </c>
      <c r="I1312" s="224">
        <v>0</v>
      </c>
    </row>
    <row r="1313" spans="1:9" ht="15.5" x14ac:dyDescent="0.35">
      <c r="A1313" s="224" t="s">
        <v>54</v>
      </c>
      <c r="B1313" s="224" t="s">
        <v>42</v>
      </c>
      <c r="C1313" s="224" t="s">
        <v>89</v>
      </c>
      <c r="D1313" s="224" t="s">
        <v>9</v>
      </c>
      <c r="E1313" s="224" t="s">
        <v>256</v>
      </c>
      <c r="F1313" s="224" t="s">
        <v>10</v>
      </c>
      <c r="G1313" s="223" t="str">
        <f>VLOOKUP($B1313,'FRS geographical categories'!$A$2:$C$45,2,FALSE)</f>
        <v>Predominantly Rural</v>
      </c>
      <c r="H1313" s="223" t="str">
        <f>VLOOKUP($B1313,'FRS geographical categories'!$A$2:$C$45,3,FALSE)</f>
        <v>Non-metropolitan</v>
      </c>
      <c r="I1313" s="224">
        <v>0</v>
      </c>
    </row>
    <row r="1314" spans="1:9" ht="15.5" x14ac:dyDescent="0.35">
      <c r="A1314" s="224" t="s">
        <v>54</v>
      </c>
      <c r="B1314" s="224" t="s">
        <v>42</v>
      </c>
      <c r="C1314" s="224" t="s">
        <v>89</v>
      </c>
      <c r="D1314" s="224" t="s">
        <v>55</v>
      </c>
      <c r="E1314" s="224" t="s">
        <v>256</v>
      </c>
      <c r="F1314" s="224" t="s">
        <v>248</v>
      </c>
      <c r="G1314" s="223" t="str">
        <f>VLOOKUP($B1314,'FRS geographical categories'!$A$2:$C$45,2,FALSE)</f>
        <v>Predominantly Rural</v>
      </c>
      <c r="H1314" s="223" t="str">
        <f>VLOOKUP($B1314,'FRS geographical categories'!$A$2:$C$45,3,FALSE)</f>
        <v>Non-metropolitan</v>
      </c>
      <c r="I1314" s="224">
        <v>0</v>
      </c>
    </row>
    <row r="1315" spans="1:9" ht="15.5" x14ac:dyDescent="0.35">
      <c r="A1315" s="224" t="s">
        <v>54</v>
      </c>
      <c r="B1315" s="224" t="s">
        <v>42</v>
      </c>
      <c r="C1315" s="224" t="s">
        <v>89</v>
      </c>
      <c r="D1315" s="224" t="s">
        <v>55</v>
      </c>
      <c r="E1315" s="224" t="s">
        <v>256</v>
      </c>
      <c r="F1315" s="224" t="s">
        <v>249</v>
      </c>
      <c r="G1315" s="223" t="str">
        <f>VLOOKUP($B1315,'FRS geographical categories'!$A$2:$C$45,2,FALSE)</f>
        <v>Predominantly Rural</v>
      </c>
      <c r="H1315" s="223" t="str">
        <f>VLOOKUP($B1315,'FRS geographical categories'!$A$2:$C$45,3,FALSE)</f>
        <v>Non-metropolitan</v>
      </c>
      <c r="I1315" s="224">
        <v>0</v>
      </c>
    </row>
    <row r="1316" spans="1:9" ht="15.5" x14ac:dyDescent="0.35">
      <c r="A1316" s="224" t="s">
        <v>54</v>
      </c>
      <c r="B1316" s="224" t="s">
        <v>42</v>
      </c>
      <c r="C1316" s="224" t="s">
        <v>89</v>
      </c>
      <c r="D1316" s="224" t="s">
        <v>55</v>
      </c>
      <c r="E1316" s="224" t="s">
        <v>256</v>
      </c>
      <c r="F1316" s="224" t="s">
        <v>250</v>
      </c>
      <c r="G1316" s="223" t="str">
        <f>VLOOKUP($B1316,'FRS geographical categories'!$A$2:$C$45,2,FALSE)</f>
        <v>Predominantly Rural</v>
      </c>
      <c r="H1316" s="223" t="str">
        <f>VLOOKUP($B1316,'FRS geographical categories'!$A$2:$C$45,3,FALSE)</f>
        <v>Non-metropolitan</v>
      </c>
      <c r="I1316" s="224">
        <v>0</v>
      </c>
    </row>
    <row r="1317" spans="1:9" ht="15.5" x14ac:dyDescent="0.35">
      <c r="A1317" s="224" t="s">
        <v>54</v>
      </c>
      <c r="B1317" s="224" t="s">
        <v>42</v>
      </c>
      <c r="C1317" s="224" t="s">
        <v>89</v>
      </c>
      <c r="D1317" s="224" t="s">
        <v>55</v>
      </c>
      <c r="E1317" s="224" t="s">
        <v>256</v>
      </c>
      <c r="F1317" s="224" t="s">
        <v>10</v>
      </c>
      <c r="G1317" s="223" t="str">
        <f>VLOOKUP($B1317,'FRS geographical categories'!$A$2:$C$45,2,FALSE)</f>
        <v>Predominantly Rural</v>
      </c>
      <c r="H1317" s="223" t="str">
        <f>VLOOKUP($B1317,'FRS geographical categories'!$A$2:$C$45,3,FALSE)</f>
        <v>Non-metropolitan</v>
      </c>
      <c r="I1317" s="224">
        <v>0</v>
      </c>
    </row>
    <row r="1318" spans="1:9" ht="15.5" x14ac:dyDescent="0.35">
      <c r="A1318" s="224" t="s">
        <v>54</v>
      </c>
      <c r="B1318" s="224" t="s">
        <v>43</v>
      </c>
      <c r="C1318" s="224" t="s">
        <v>86</v>
      </c>
      <c r="D1318" s="224" t="s">
        <v>9</v>
      </c>
      <c r="E1318" s="224" t="s">
        <v>256</v>
      </c>
      <c r="F1318" s="224" t="s">
        <v>248</v>
      </c>
      <c r="G1318" s="223" t="str">
        <f>VLOOKUP($B1318,'FRS geographical categories'!$A$2:$C$45,2,FALSE)</f>
        <v>Predominantly Rural</v>
      </c>
      <c r="H1318" s="223" t="str">
        <f>VLOOKUP($B1318,'FRS geographical categories'!$A$2:$C$45,3,FALSE)</f>
        <v>Non-metropolitan</v>
      </c>
      <c r="I1318" s="224">
        <v>94</v>
      </c>
    </row>
    <row r="1319" spans="1:9" ht="15.5" x14ac:dyDescent="0.35">
      <c r="A1319" s="224" t="s">
        <v>54</v>
      </c>
      <c r="B1319" s="224" t="s">
        <v>43</v>
      </c>
      <c r="C1319" s="224" t="s">
        <v>86</v>
      </c>
      <c r="D1319" s="224" t="s">
        <v>9</v>
      </c>
      <c r="E1319" s="224" t="s">
        <v>256</v>
      </c>
      <c r="F1319" s="224" t="s">
        <v>249</v>
      </c>
      <c r="G1319" s="223" t="str">
        <f>VLOOKUP($B1319,'FRS geographical categories'!$A$2:$C$45,2,FALSE)</f>
        <v>Predominantly Rural</v>
      </c>
      <c r="H1319" s="223" t="str">
        <f>VLOOKUP($B1319,'FRS geographical categories'!$A$2:$C$45,3,FALSE)</f>
        <v>Non-metropolitan</v>
      </c>
      <c r="I1319" s="224">
        <v>531</v>
      </c>
    </row>
    <row r="1320" spans="1:9" ht="15.5" x14ac:dyDescent="0.35">
      <c r="A1320" s="224" t="s">
        <v>54</v>
      </c>
      <c r="B1320" s="224" t="s">
        <v>43</v>
      </c>
      <c r="C1320" s="224" t="s">
        <v>86</v>
      </c>
      <c r="D1320" s="224" t="s">
        <v>9</v>
      </c>
      <c r="E1320" s="224" t="s">
        <v>256</v>
      </c>
      <c r="F1320" s="224" t="s">
        <v>250</v>
      </c>
      <c r="G1320" s="223" t="str">
        <f>VLOOKUP($B1320,'FRS geographical categories'!$A$2:$C$45,2,FALSE)</f>
        <v>Predominantly Rural</v>
      </c>
      <c r="H1320" s="223" t="str">
        <f>VLOOKUP($B1320,'FRS geographical categories'!$A$2:$C$45,3,FALSE)</f>
        <v>Non-metropolitan</v>
      </c>
      <c r="I1320" s="224">
        <v>259</v>
      </c>
    </row>
    <row r="1321" spans="1:9" ht="15.5" x14ac:dyDescent="0.35">
      <c r="A1321" s="224" t="s">
        <v>54</v>
      </c>
      <c r="B1321" s="224" t="s">
        <v>43</v>
      </c>
      <c r="C1321" s="224" t="s">
        <v>86</v>
      </c>
      <c r="D1321" s="224" t="s">
        <v>9</v>
      </c>
      <c r="E1321" s="224" t="s">
        <v>256</v>
      </c>
      <c r="F1321" s="224" t="s">
        <v>111</v>
      </c>
      <c r="G1321" s="223" t="str">
        <f>VLOOKUP($B1321,'FRS geographical categories'!$A$2:$C$45,2,FALSE)</f>
        <v>Predominantly Rural</v>
      </c>
      <c r="H1321" s="223" t="str">
        <f>VLOOKUP($B1321,'FRS geographical categories'!$A$2:$C$45,3,FALSE)</f>
        <v>Non-metropolitan</v>
      </c>
      <c r="I1321" s="224">
        <v>0</v>
      </c>
    </row>
    <row r="1322" spans="1:9" ht="15.5" x14ac:dyDescent="0.35">
      <c r="A1322" s="224" t="s">
        <v>54</v>
      </c>
      <c r="B1322" s="224" t="s">
        <v>43</v>
      </c>
      <c r="C1322" s="224" t="s">
        <v>86</v>
      </c>
      <c r="D1322" s="224" t="s">
        <v>9</v>
      </c>
      <c r="E1322" s="224" t="s">
        <v>256</v>
      </c>
      <c r="F1322" s="224" t="s">
        <v>10</v>
      </c>
      <c r="G1322" s="223" t="str">
        <f>VLOOKUP($B1322,'FRS geographical categories'!$A$2:$C$45,2,FALSE)</f>
        <v>Predominantly Rural</v>
      </c>
      <c r="H1322" s="223" t="str">
        <f>VLOOKUP($B1322,'FRS geographical categories'!$A$2:$C$45,3,FALSE)</f>
        <v>Non-metropolitan</v>
      </c>
      <c r="I1322" s="224">
        <v>884</v>
      </c>
    </row>
    <row r="1323" spans="1:9" ht="15.5" x14ac:dyDescent="0.35">
      <c r="A1323" s="224" t="s">
        <v>54</v>
      </c>
      <c r="B1323" s="224" t="s">
        <v>43</v>
      </c>
      <c r="C1323" s="224" t="s">
        <v>86</v>
      </c>
      <c r="D1323" s="224" t="s">
        <v>55</v>
      </c>
      <c r="E1323" s="224" t="s">
        <v>256</v>
      </c>
      <c r="F1323" s="224" t="s">
        <v>248</v>
      </c>
      <c r="G1323" s="223" t="str">
        <f>VLOOKUP($B1323,'FRS geographical categories'!$A$2:$C$45,2,FALSE)</f>
        <v>Predominantly Rural</v>
      </c>
      <c r="H1323" s="223" t="str">
        <f>VLOOKUP($B1323,'FRS geographical categories'!$A$2:$C$45,3,FALSE)</f>
        <v>Non-metropolitan</v>
      </c>
      <c r="I1323" s="224">
        <v>228</v>
      </c>
    </row>
    <row r="1324" spans="1:9" ht="15.5" x14ac:dyDescent="0.35">
      <c r="A1324" s="224" t="s">
        <v>54</v>
      </c>
      <c r="B1324" s="224" t="s">
        <v>43</v>
      </c>
      <c r="C1324" s="224" t="s">
        <v>86</v>
      </c>
      <c r="D1324" s="224" t="s">
        <v>55</v>
      </c>
      <c r="E1324" s="224" t="s">
        <v>256</v>
      </c>
      <c r="F1324" s="224" t="s">
        <v>249</v>
      </c>
      <c r="G1324" s="223" t="str">
        <f>VLOOKUP($B1324,'FRS geographical categories'!$A$2:$C$45,2,FALSE)</f>
        <v>Predominantly Rural</v>
      </c>
      <c r="H1324" s="223" t="str">
        <f>VLOOKUP($B1324,'FRS geographical categories'!$A$2:$C$45,3,FALSE)</f>
        <v>Non-metropolitan</v>
      </c>
      <c r="I1324" s="224">
        <v>381</v>
      </c>
    </row>
    <row r="1325" spans="1:9" ht="15.5" x14ac:dyDescent="0.35">
      <c r="A1325" s="224" t="s">
        <v>54</v>
      </c>
      <c r="B1325" s="224" t="s">
        <v>43</v>
      </c>
      <c r="C1325" s="224" t="s">
        <v>86</v>
      </c>
      <c r="D1325" s="224" t="s">
        <v>55</v>
      </c>
      <c r="E1325" s="224" t="s">
        <v>256</v>
      </c>
      <c r="F1325" s="224" t="s">
        <v>250</v>
      </c>
      <c r="G1325" s="223" t="str">
        <f>VLOOKUP($B1325,'FRS geographical categories'!$A$2:$C$45,2,FALSE)</f>
        <v>Predominantly Rural</v>
      </c>
      <c r="H1325" s="223" t="str">
        <f>VLOOKUP($B1325,'FRS geographical categories'!$A$2:$C$45,3,FALSE)</f>
        <v>Non-metropolitan</v>
      </c>
      <c r="I1325" s="224">
        <v>0</v>
      </c>
    </row>
    <row r="1326" spans="1:9" ht="15.5" x14ac:dyDescent="0.35">
      <c r="A1326" s="224" t="s">
        <v>54</v>
      </c>
      <c r="B1326" s="224" t="s">
        <v>43</v>
      </c>
      <c r="C1326" s="224" t="s">
        <v>86</v>
      </c>
      <c r="D1326" s="224" t="s">
        <v>55</v>
      </c>
      <c r="E1326" s="224" t="s">
        <v>256</v>
      </c>
      <c r="F1326" s="224" t="s">
        <v>111</v>
      </c>
      <c r="G1326" s="223" t="str">
        <f>VLOOKUP($B1326,'FRS geographical categories'!$A$2:$C$45,2,FALSE)</f>
        <v>Predominantly Rural</v>
      </c>
      <c r="H1326" s="223" t="str">
        <f>VLOOKUP($B1326,'FRS geographical categories'!$A$2:$C$45,3,FALSE)</f>
        <v>Non-metropolitan</v>
      </c>
      <c r="I1326" s="224">
        <v>0</v>
      </c>
    </row>
    <row r="1327" spans="1:9" ht="15.5" x14ac:dyDescent="0.35">
      <c r="A1327" s="224" t="s">
        <v>54</v>
      </c>
      <c r="B1327" s="224" t="s">
        <v>43</v>
      </c>
      <c r="C1327" s="224" t="s">
        <v>86</v>
      </c>
      <c r="D1327" s="224" t="s">
        <v>55</v>
      </c>
      <c r="E1327" s="224" t="s">
        <v>256</v>
      </c>
      <c r="F1327" s="224" t="s">
        <v>10</v>
      </c>
      <c r="G1327" s="223" t="str">
        <f>VLOOKUP($B1327,'FRS geographical categories'!$A$2:$C$45,2,FALSE)</f>
        <v>Predominantly Rural</v>
      </c>
      <c r="H1327" s="223" t="str">
        <f>VLOOKUP($B1327,'FRS geographical categories'!$A$2:$C$45,3,FALSE)</f>
        <v>Non-metropolitan</v>
      </c>
      <c r="I1327" s="224">
        <v>609</v>
      </c>
    </row>
    <row r="1328" spans="1:9" ht="15.5" x14ac:dyDescent="0.35">
      <c r="A1328" s="224" t="s">
        <v>54</v>
      </c>
      <c r="B1328" s="224" t="s">
        <v>43</v>
      </c>
      <c r="C1328" s="224" t="s">
        <v>89</v>
      </c>
      <c r="D1328" s="224" t="s">
        <v>9</v>
      </c>
      <c r="E1328" s="224" t="s">
        <v>256</v>
      </c>
      <c r="F1328" s="224" t="s">
        <v>248</v>
      </c>
      <c r="G1328" s="223" t="str">
        <f>VLOOKUP($B1328,'FRS geographical categories'!$A$2:$C$45,2,FALSE)</f>
        <v>Predominantly Rural</v>
      </c>
      <c r="H1328" s="223" t="str">
        <f>VLOOKUP($B1328,'FRS geographical categories'!$A$2:$C$45,3,FALSE)</f>
        <v>Non-metropolitan</v>
      </c>
      <c r="I1328" s="224">
        <v>0</v>
      </c>
    </row>
    <row r="1329" spans="1:9" ht="15.5" x14ac:dyDescent="0.35">
      <c r="A1329" s="224" t="s">
        <v>54</v>
      </c>
      <c r="B1329" s="224" t="s">
        <v>43</v>
      </c>
      <c r="C1329" s="224" t="s">
        <v>89</v>
      </c>
      <c r="D1329" s="224" t="s">
        <v>9</v>
      </c>
      <c r="E1329" s="224" t="s">
        <v>256</v>
      </c>
      <c r="F1329" s="224" t="s">
        <v>249</v>
      </c>
      <c r="G1329" s="223" t="str">
        <f>VLOOKUP($B1329,'FRS geographical categories'!$A$2:$C$45,2,FALSE)</f>
        <v>Predominantly Rural</v>
      </c>
      <c r="H1329" s="223" t="str">
        <f>VLOOKUP($B1329,'FRS geographical categories'!$A$2:$C$45,3,FALSE)</f>
        <v>Non-metropolitan</v>
      </c>
      <c r="I1329" s="224">
        <v>0</v>
      </c>
    </row>
    <row r="1330" spans="1:9" ht="15.5" x14ac:dyDescent="0.35">
      <c r="A1330" s="224" t="s">
        <v>54</v>
      </c>
      <c r="B1330" s="224" t="s">
        <v>43</v>
      </c>
      <c r="C1330" s="224" t="s">
        <v>89</v>
      </c>
      <c r="D1330" s="224" t="s">
        <v>9</v>
      </c>
      <c r="E1330" s="224" t="s">
        <v>256</v>
      </c>
      <c r="F1330" s="224" t="s">
        <v>250</v>
      </c>
      <c r="G1330" s="223" t="str">
        <f>VLOOKUP($B1330,'FRS geographical categories'!$A$2:$C$45,2,FALSE)</f>
        <v>Predominantly Rural</v>
      </c>
      <c r="H1330" s="223" t="str">
        <f>VLOOKUP($B1330,'FRS geographical categories'!$A$2:$C$45,3,FALSE)</f>
        <v>Non-metropolitan</v>
      </c>
      <c r="I1330" s="224">
        <v>0</v>
      </c>
    </row>
    <row r="1331" spans="1:9" ht="15.5" x14ac:dyDescent="0.35">
      <c r="A1331" s="224" t="s">
        <v>54</v>
      </c>
      <c r="B1331" s="224" t="s">
        <v>43</v>
      </c>
      <c r="C1331" s="224" t="s">
        <v>89</v>
      </c>
      <c r="D1331" s="224" t="s">
        <v>9</v>
      </c>
      <c r="E1331" s="224" t="s">
        <v>256</v>
      </c>
      <c r="F1331" s="224" t="s">
        <v>10</v>
      </c>
      <c r="G1331" s="223" t="str">
        <f>VLOOKUP($B1331,'FRS geographical categories'!$A$2:$C$45,2,FALSE)</f>
        <v>Predominantly Rural</v>
      </c>
      <c r="H1331" s="223" t="str">
        <f>VLOOKUP($B1331,'FRS geographical categories'!$A$2:$C$45,3,FALSE)</f>
        <v>Non-metropolitan</v>
      </c>
      <c r="I1331" s="224">
        <v>108</v>
      </c>
    </row>
    <row r="1332" spans="1:9" ht="15.5" x14ac:dyDescent="0.35">
      <c r="A1332" s="224" t="s">
        <v>54</v>
      </c>
      <c r="B1332" s="224" t="s">
        <v>43</v>
      </c>
      <c r="C1332" s="224" t="s">
        <v>89</v>
      </c>
      <c r="D1332" s="224" t="s">
        <v>55</v>
      </c>
      <c r="E1332" s="224" t="s">
        <v>256</v>
      </c>
      <c r="F1332" s="224" t="s">
        <v>248</v>
      </c>
      <c r="G1332" s="223" t="str">
        <f>VLOOKUP($B1332,'FRS geographical categories'!$A$2:$C$45,2,FALSE)</f>
        <v>Predominantly Rural</v>
      </c>
      <c r="H1332" s="223" t="str">
        <f>VLOOKUP($B1332,'FRS geographical categories'!$A$2:$C$45,3,FALSE)</f>
        <v>Non-metropolitan</v>
      </c>
      <c r="I1332" s="224">
        <v>0</v>
      </c>
    </row>
    <row r="1333" spans="1:9" ht="15.5" x14ac:dyDescent="0.35">
      <c r="A1333" s="224" t="s">
        <v>54</v>
      </c>
      <c r="B1333" s="224" t="s">
        <v>43</v>
      </c>
      <c r="C1333" s="224" t="s">
        <v>89</v>
      </c>
      <c r="D1333" s="224" t="s">
        <v>55</v>
      </c>
      <c r="E1333" s="224" t="s">
        <v>256</v>
      </c>
      <c r="F1333" s="224" t="s">
        <v>249</v>
      </c>
      <c r="G1333" s="223" t="str">
        <f>VLOOKUP($B1333,'FRS geographical categories'!$A$2:$C$45,2,FALSE)</f>
        <v>Predominantly Rural</v>
      </c>
      <c r="H1333" s="223" t="str">
        <f>VLOOKUP($B1333,'FRS geographical categories'!$A$2:$C$45,3,FALSE)</f>
        <v>Non-metropolitan</v>
      </c>
      <c r="I1333" s="224">
        <v>0</v>
      </c>
    </row>
    <row r="1334" spans="1:9" ht="15.5" x14ac:dyDescent="0.35">
      <c r="A1334" s="224" t="s">
        <v>54</v>
      </c>
      <c r="B1334" s="224" t="s">
        <v>43</v>
      </c>
      <c r="C1334" s="224" t="s">
        <v>89</v>
      </c>
      <c r="D1334" s="224" t="s">
        <v>55</v>
      </c>
      <c r="E1334" s="224" t="s">
        <v>256</v>
      </c>
      <c r="F1334" s="224" t="s">
        <v>250</v>
      </c>
      <c r="G1334" s="223" t="str">
        <f>VLOOKUP($B1334,'FRS geographical categories'!$A$2:$C$45,2,FALSE)</f>
        <v>Predominantly Rural</v>
      </c>
      <c r="H1334" s="223" t="str">
        <f>VLOOKUP($B1334,'FRS geographical categories'!$A$2:$C$45,3,FALSE)</f>
        <v>Non-metropolitan</v>
      </c>
      <c r="I1334" s="224">
        <v>0</v>
      </c>
    </row>
    <row r="1335" spans="1:9" ht="15.5" x14ac:dyDescent="0.35">
      <c r="A1335" s="224" t="s">
        <v>54</v>
      </c>
      <c r="B1335" s="224" t="s">
        <v>43</v>
      </c>
      <c r="C1335" s="224" t="s">
        <v>89</v>
      </c>
      <c r="D1335" s="224" t="s">
        <v>55</v>
      </c>
      <c r="E1335" s="224" t="s">
        <v>256</v>
      </c>
      <c r="F1335" s="224" t="s">
        <v>10</v>
      </c>
      <c r="G1335" s="223" t="str">
        <f>VLOOKUP($B1335,'FRS geographical categories'!$A$2:$C$45,2,FALSE)</f>
        <v>Predominantly Rural</v>
      </c>
      <c r="H1335" s="223" t="str">
        <f>VLOOKUP($B1335,'FRS geographical categories'!$A$2:$C$45,3,FALSE)</f>
        <v>Non-metropolitan</v>
      </c>
      <c r="I1335" s="224">
        <v>0</v>
      </c>
    </row>
    <row r="1336" spans="1:9" ht="15.5" x14ac:dyDescent="0.35">
      <c r="A1336" s="224" t="s">
        <v>54</v>
      </c>
      <c r="B1336" s="224" t="s">
        <v>44</v>
      </c>
      <c r="C1336" s="224" t="s">
        <v>86</v>
      </c>
      <c r="D1336" s="224" t="s">
        <v>9</v>
      </c>
      <c r="E1336" s="224" t="s">
        <v>256</v>
      </c>
      <c r="F1336" s="224" t="s">
        <v>248</v>
      </c>
      <c r="G1336" s="223" t="str">
        <f>VLOOKUP($B1336,'FRS geographical categories'!$A$2:$C$45,2,FALSE)</f>
        <v>Predominantly Urban</v>
      </c>
      <c r="H1336" s="223" t="str">
        <f>VLOOKUP($B1336,'FRS geographical categories'!$A$2:$C$45,3,FALSE)</f>
        <v>Metropolitan</v>
      </c>
      <c r="I1336" s="224">
        <v>643</v>
      </c>
    </row>
    <row r="1337" spans="1:9" ht="15.5" x14ac:dyDescent="0.35">
      <c r="A1337" s="224" t="s">
        <v>54</v>
      </c>
      <c r="B1337" s="224" t="s">
        <v>44</v>
      </c>
      <c r="C1337" s="224" t="s">
        <v>86</v>
      </c>
      <c r="D1337" s="224" t="s">
        <v>9</v>
      </c>
      <c r="E1337" s="224" t="s">
        <v>256</v>
      </c>
      <c r="F1337" s="224" t="s">
        <v>249</v>
      </c>
      <c r="G1337" s="223" t="str">
        <f>VLOOKUP($B1337,'FRS geographical categories'!$A$2:$C$45,2,FALSE)</f>
        <v>Predominantly Urban</v>
      </c>
      <c r="H1337" s="223" t="str">
        <f>VLOOKUP($B1337,'FRS geographical categories'!$A$2:$C$45,3,FALSE)</f>
        <v>Metropolitan</v>
      </c>
      <c r="I1337" s="224">
        <v>1333</v>
      </c>
    </row>
    <row r="1338" spans="1:9" ht="15.5" x14ac:dyDescent="0.35">
      <c r="A1338" s="224" t="s">
        <v>54</v>
      </c>
      <c r="B1338" s="224" t="s">
        <v>44</v>
      </c>
      <c r="C1338" s="224" t="s">
        <v>86</v>
      </c>
      <c r="D1338" s="224" t="s">
        <v>9</v>
      </c>
      <c r="E1338" s="224" t="s">
        <v>256</v>
      </c>
      <c r="F1338" s="224" t="s">
        <v>250</v>
      </c>
      <c r="G1338" s="223" t="str">
        <f>VLOOKUP($B1338,'FRS geographical categories'!$A$2:$C$45,2,FALSE)</f>
        <v>Predominantly Urban</v>
      </c>
      <c r="H1338" s="223" t="str">
        <f>VLOOKUP($B1338,'FRS geographical categories'!$A$2:$C$45,3,FALSE)</f>
        <v>Metropolitan</v>
      </c>
      <c r="I1338" s="224">
        <v>1410</v>
      </c>
    </row>
    <row r="1339" spans="1:9" ht="15.5" x14ac:dyDescent="0.35">
      <c r="A1339" s="224" t="s">
        <v>54</v>
      </c>
      <c r="B1339" s="224" t="s">
        <v>44</v>
      </c>
      <c r="C1339" s="224" t="s">
        <v>86</v>
      </c>
      <c r="D1339" s="224" t="s">
        <v>9</v>
      </c>
      <c r="E1339" s="224" t="s">
        <v>256</v>
      </c>
      <c r="F1339" s="224" t="s">
        <v>111</v>
      </c>
      <c r="G1339" s="223" t="str">
        <f>VLOOKUP($B1339,'FRS geographical categories'!$A$2:$C$45,2,FALSE)</f>
        <v>Predominantly Urban</v>
      </c>
      <c r="H1339" s="223" t="str">
        <f>VLOOKUP($B1339,'FRS geographical categories'!$A$2:$C$45,3,FALSE)</f>
        <v>Metropolitan</v>
      </c>
      <c r="I1339" s="224">
        <v>3386</v>
      </c>
    </row>
    <row r="1340" spans="1:9" ht="15.5" x14ac:dyDescent="0.35">
      <c r="A1340" s="224" t="s">
        <v>54</v>
      </c>
      <c r="B1340" s="224" t="s">
        <v>44</v>
      </c>
      <c r="C1340" s="224" t="s">
        <v>86</v>
      </c>
      <c r="D1340" s="224" t="s">
        <v>9</v>
      </c>
      <c r="E1340" s="224" t="s">
        <v>256</v>
      </c>
      <c r="F1340" s="224" t="s">
        <v>10</v>
      </c>
      <c r="G1340" s="223" t="str">
        <f>VLOOKUP($B1340,'FRS geographical categories'!$A$2:$C$45,2,FALSE)</f>
        <v>Predominantly Urban</v>
      </c>
      <c r="H1340" s="223" t="str">
        <f>VLOOKUP($B1340,'FRS geographical categories'!$A$2:$C$45,3,FALSE)</f>
        <v>Metropolitan</v>
      </c>
      <c r="I1340" s="224">
        <v>5922</v>
      </c>
    </row>
    <row r="1341" spans="1:9" ht="15.5" x14ac:dyDescent="0.35">
      <c r="A1341" s="224" t="s">
        <v>54</v>
      </c>
      <c r="B1341" s="224" t="s">
        <v>44</v>
      </c>
      <c r="C1341" s="224" t="s">
        <v>86</v>
      </c>
      <c r="D1341" s="224" t="s">
        <v>55</v>
      </c>
      <c r="E1341" s="224" t="s">
        <v>256</v>
      </c>
      <c r="F1341" s="224" t="s">
        <v>248</v>
      </c>
      <c r="G1341" s="223" t="str">
        <f>VLOOKUP($B1341,'FRS geographical categories'!$A$2:$C$45,2,FALSE)</f>
        <v>Predominantly Urban</v>
      </c>
      <c r="H1341" s="223" t="str">
        <f>VLOOKUP($B1341,'FRS geographical categories'!$A$2:$C$45,3,FALSE)</f>
        <v>Metropolitan</v>
      </c>
      <c r="I1341" s="224">
        <v>0</v>
      </c>
    </row>
    <row r="1342" spans="1:9" ht="15.5" x14ac:dyDescent="0.35">
      <c r="A1342" s="224" t="s">
        <v>54</v>
      </c>
      <c r="B1342" s="224" t="s">
        <v>44</v>
      </c>
      <c r="C1342" s="224" t="s">
        <v>86</v>
      </c>
      <c r="D1342" s="224" t="s">
        <v>55</v>
      </c>
      <c r="E1342" s="224" t="s">
        <v>256</v>
      </c>
      <c r="F1342" s="224" t="s">
        <v>249</v>
      </c>
      <c r="G1342" s="223" t="str">
        <f>VLOOKUP($B1342,'FRS geographical categories'!$A$2:$C$45,2,FALSE)</f>
        <v>Predominantly Urban</v>
      </c>
      <c r="H1342" s="223" t="str">
        <f>VLOOKUP($B1342,'FRS geographical categories'!$A$2:$C$45,3,FALSE)</f>
        <v>Metropolitan</v>
      </c>
      <c r="I1342" s="224">
        <v>0</v>
      </c>
    </row>
    <row r="1343" spans="1:9" ht="15.5" x14ac:dyDescent="0.35">
      <c r="A1343" s="224" t="s">
        <v>54</v>
      </c>
      <c r="B1343" s="224" t="s">
        <v>44</v>
      </c>
      <c r="C1343" s="224" t="s">
        <v>86</v>
      </c>
      <c r="D1343" s="224" t="s">
        <v>55</v>
      </c>
      <c r="E1343" s="224" t="s">
        <v>256</v>
      </c>
      <c r="F1343" s="224" t="s">
        <v>250</v>
      </c>
      <c r="G1343" s="223" t="str">
        <f>VLOOKUP($B1343,'FRS geographical categories'!$A$2:$C$45,2,FALSE)</f>
        <v>Predominantly Urban</v>
      </c>
      <c r="H1343" s="223" t="str">
        <f>VLOOKUP($B1343,'FRS geographical categories'!$A$2:$C$45,3,FALSE)</f>
        <v>Metropolitan</v>
      </c>
      <c r="I1343" s="224">
        <v>0</v>
      </c>
    </row>
    <row r="1344" spans="1:9" ht="15.5" x14ac:dyDescent="0.35">
      <c r="A1344" s="224" t="s">
        <v>54</v>
      </c>
      <c r="B1344" s="224" t="s">
        <v>44</v>
      </c>
      <c r="C1344" s="224" t="s">
        <v>86</v>
      </c>
      <c r="D1344" s="224" t="s">
        <v>55</v>
      </c>
      <c r="E1344" s="224" t="s">
        <v>256</v>
      </c>
      <c r="F1344" s="224" t="s">
        <v>111</v>
      </c>
      <c r="G1344" s="223" t="str">
        <f>VLOOKUP($B1344,'FRS geographical categories'!$A$2:$C$45,2,FALSE)</f>
        <v>Predominantly Urban</v>
      </c>
      <c r="H1344" s="223" t="str">
        <f>VLOOKUP($B1344,'FRS geographical categories'!$A$2:$C$45,3,FALSE)</f>
        <v>Metropolitan</v>
      </c>
      <c r="I1344" s="224">
        <v>0</v>
      </c>
    </row>
    <row r="1345" spans="1:9" ht="15.5" x14ac:dyDescent="0.35">
      <c r="A1345" s="224" t="s">
        <v>54</v>
      </c>
      <c r="B1345" s="224" t="s">
        <v>44</v>
      </c>
      <c r="C1345" s="224" t="s">
        <v>86</v>
      </c>
      <c r="D1345" s="224" t="s">
        <v>55</v>
      </c>
      <c r="E1345" s="224" t="s">
        <v>256</v>
      </c>
      <c r="F1345" s="224" t="s">
        <v>10</v>
      </c>
      <c r="G1345" s="223" t="str">
        <f>VLOOKUP($B1345,'FRS geographical categories'!$A$2:$C$45,2,FALSE)</f>
        <v>Predominantly Urban</v>
      </c>
      <c r="H1345" s="223" t="str">
        <f>VLOOKUP($B1345,'FRS geographical categories'!$A$2:$C$45,3,FALSE)</f>
        <v>Metropolitan</v>
      </c>
      <c r="I1345" s="224">
        <v>0</v>
      </c>
    </row>
    <row r="1346" spans="1:9" ht="15.5" x14ac:dyDescent="0.35">
      <c r="A1346" s="224" t="s">
        <v>54</v>
      </c>
      <c r="B1346" s="224" t="s">
        <v>44</v>
      </c>
      <c r="C1346" s="224" t="s">
        <v>89</v>
      </c>
      <c r="D1346" s="224" t="s">
        <v>9</v>
      </c>
      <c r="E1346" s="224" t="s">
        <v>256</v>
      </c>
      <c r="F1346" s="224" t="s">
        <v>248</v>
      </c>
      <c r="G1346" s="223" t="str">
        <f>VLOOKUP($B1346,'FRS geographical categories'!$A$2:$C$45,2,FALSE)</f>
        <v>Predominantly Urban</v>
      </c>
      <c r="H1346" s="223" t="str">
        <f>VLOOKUP($B1346,'FRS geographical categories'!$A$2:$C$45,3,FALSE)</f>
        <v>Metropolitan</v>
      </c>
      <c r="I1346" s="224">
        <v>0</v>
      </c>
    </row>
    <row r="1347" spans="1:9" ht="15.5" x14ac:dyDescent="0.35">
      <c r="A1347" s="224" t="s">
        <v>54</v>
      </c>
      <c r="B1347" s="224" t="s">
        <v>44</v>
      </c>
      <c r="C1347" s="224" t="s">
        <v>89</v>
      </c>
      <c r="D1347" s="224" t="s">
        <v>9</v>
      </c>
      <c r="E1347" s="224" t="s">
        <v>256</v>
      </c>
      <c r="F1347" s="224" t="s">
        <v>249</v>
      </c>
      <c r="G1347" s="223" t="str">
        <f>VLOOKUP($B1347,'FRS geographical categories'!$A$2:$C$45,2,FALSE)</f>
        <v>Predominantly Urban</v>
      </c>
      <c r="H1347" s="223" t="str">
        <f>VLOOKUP($B1347,'FRS geographical categories'!$A$2:$C$45,3,FALSE)</f>
        <v>Metropolitan</v>
      </c>
      <c r="I1347" s="224">
        <v>0</v>
      </c>
    </row>
    <row r="1348" spans="1:9" ht="15.5" x14ac:dyDescent="0.35">
      <c r="A1348" s="224" t="s">
        <v>54</v>
      </c>
      <c r="B1348" s="224" t="s">
        <v>44</v>
      </c>
      <c r="C1348" s="224" t="s">
        <v>89</v>
      </c>
      <c r="D1348" s="224" t="s">
        <v>9</v>
      </c>
      <c r="E1348" s="224" t="s">
        <v>256</v>
      </c>
      <c r="F1348" s="224" t="s">
        <v>250</v>
      </c>
      <c r="G1348" s="223" t="str">
        <f>VLOOKUP($B1348,'FRS geographical categories'!$A$2:$C$45,2,FALSE)</f>
        <v>Predominantly Urban</v>
      </c>
      <c r="H1348" s="223" t="str">
        <f>VLOOKUP($B1348,'FRS geographical categories'!$A$2:$C$45,3,FALSE)</f>
        <v>Metropolitan</v>
      </c>
      <c r="I1348" s="224">
        <v>0</v>
      </c>
    </row>
    <row r="1349" spans="1:9" ht="15.5" x14ac:dyDescent="0.35">
      <c r="A1349" s="224" t="s">
        <v>54</v>
      </c>
      <c r="B1349" s="224" t="s">
        <v>44</v>
      </c>
      <c r="C1349" s="224" t="s">
        <v>89</v>
      </c>
      <c r="D1349" s="224" t="s">
        <v>9</v>
      </c>
      <c r="E1349" s="224" t="s">
        <v>256</v>
      </c>
      <c r="F1349" s="224" t="s">
        <v>10</v>
      </c>
      <c r="G1349" s="223" t="str">
        <f>VLOOKUP($B1349,'FRS geographical categories'!$A$2:$C$45,2,FALSE)</f>
        <v>Predominantly Urban</v>
      </c>
      <c r="H1349" s="223" t="str">
        <f>VLOOKUP($B1349,'FRS geographical categories'!$A$2:$C$45,3,FALSE)</f>
        <v>Metropolitan</v>
      </c>
      <c r="I1349" s="224">
        <v>0</v>
      </c>
    </row>
    <row r="1350" spans="1:9" ht="15.5" x14ac:dyDescent="0.35">
      <c r="A1350" s="224" t="s">
        <v>54</v>
      </c>
      <c r="B1350" s="224" t="s">
        <v>44</v>
      </c>
      <c r="C1350" s="224" t="s">
        <v>89</v>
      </c>
      <c r="D1350" s="224" t="s">
        <v>55</v>
      </c>
      <c r="E1350" s="224" t="s">
        <v>256</v>
      </c>
      <c r="F1350" s="224" t="s">
        <v>248</v>
      </c>
      <c r="G1350" s="223" t="str">
        <f>VLOOKUP($B1350,'FRS geographical categories'!$A$2:$C$45,2,FALSE)</f>
        <v>Predominantly Urban</v>
      </c>
      <c r="H1350" s="223" t="str">
        <f>VLOOKUP($B1350,'FRS geographical categories'!$A$2:$C$45,3,FALSE)</f>
        <v>Metropolitan</v>
      </c>
      <c r="I1350" s="224">
        <v>0</v>
      </c>
    </row>
    <row r="1351" spans="1:9" ht="15.5" x14ac:dyDescent="0.35">
      <c r="A1351" s="224" t="s">
        <v>54</v>
      </c>
      <c r="B1351" s="224" t="s">
        <v>44</v>
      </c>
      <c r="C1351" s="224" t="s">
        <v>89</v>
      </c>
      <c r="D1351" s="224" t="s">
        <v>55</v>
      </c>
      <c r="E1351" s="224" t="s">
        <v>256</v>
      </c>
      <c r="F1351" s="224" t="s">
        <v>249</v>
      </c>
      <c r="G1351" s="223" t="str">
        <f>VLOOKUP($B1351,'FRS geographical categories'!$A$2:$C$45,2,FALSE)</f>
        <v>Predominantly Urban</v>
      </c>
      <c r="H1351" s="223" t="str">
        <f>VLOOKUP($B1351,'FRS geographical categories'!$A$2:$C$45,3,FALSE)</f>
        <v>Metropolitan</v>
      </c>
      <c r="I1351" s="224">
        <v>0</v>
      </c>
    </row>
    <row r="1352" spans="1:9" ht="15.5" x14ac:dyDescent="0.35">
      <c r="A1352" s="224" t="s">
        <v>54</v>
      </c>
      <c r="B1352" s="224" t="s">
        <v>44</v>
      </c>
      <c r="C1352" s="224" t="s">
        <v>89</v>
      </c>
      <c r="D1352" s="224" t="s">
        <v>55</v>
      </c>
      <c r="E1352" s="224" t="s">
        <v>256</v>
      </c>
      <c r="F1352" s="224" t="s">
        <v>250</v>
      </c>
      <c r="G1352" s="223" t="str">
        <f>VLOOKUP($B1352,'FRS geographical categories'!$A$2:$C$45,2,FALSE)</f>
        <v>Predominantly Urban</v>
      </c>
      <c r="H1352" s="223" t="str">
        <f>VLOOKUP($B1352,'FRS geographical categories'!$A$2:$C$45,3,FALSE)</f>
        <v>Metropolitan</v>
      </c>
      <c r="I1352" s="224">
        <v>0</v>
      </c>
    </row>
    <row r="1353" spans="1:9" ht="15.5" x14ac:dyDescent="0.35">
      <c r="A1353" s="224" t="s">
        <v>54</v>
      </c>
      <c r="B1353" s="224" t="s">
        <v>44</v>
      </c>
      <c r="C1353" s="224" t="s">
        <v>89</v>
      </c>
      <c r="D1353" s="224" t="s">
        <v>55</v>
      </c>
      <c r="E1353" s="224" t="s">
        <v>256</v>
      </c>
      <c r="F1353" s="224" t="s">
        <v>10</v>
      </c>
      <c r="G1353" s="223" t="str">
        <f>VLOOKUP($B1353,'FRS geographical categories'!$A$2:$C$45,2,FALSE)</f>
        <v>Predominantly Urban</v>
      </c>
      <c r="H1353" s="223" t="str">
        <f>VLOOKUP($B1353,'FRS geographical categories'!$A$2:$C$45,3,FALSE)</f>
        <v>Metropolitan</v>
      </c>
      <c r="I1353" s="224">
        <v>0</v>
      </c>
    </row>
    <row r="1354" spans="1:9" ht="15.5" x14ac:dyDescent="0.35">
      <c r="A1354" s="224" t="s">
        <v>54</v>
      </c>
      <c r="B1354" s="224" t="s">
        <v>45</v>
      </c>
      <c r="C1354" s="224" t="s">
        <v>86</v>
      </c>
      <c r="D1354" s="224" t="s">
        <v>9</v>
      </c>
      <c r="E1354" s="224" t="s">
        <v>256</v>
      </c>
      <c r="F1354" s="224" t="s">
        <v>248</v>
      </c>
      <c r="G1354" s="223" t="str">
        <f>VLOOKUP($B1354,'FRS geographical categories'!$A$2:$C$45,2,FALSE)</f>
        <v>Significantly Rural</v>
      </c>
      <c r="H1354" s="223" t="str">
        <f>VLOOKUP($B1354,'FRS geographical categories'!$A$2:$C$45,3,FALSE)</f>
        <v>Non-metropolitan</v>
      </c>
      <c r="I1354" s="224">
        <v>292</v>
      </c>
    </row>
    <row r="1355" spans="1:9" ht="15.5" x14ac:dyDescent="0.35">
      <c r="A1355" s="224" t="s">
        <v>54</v>
      </c>
      <c r="B1355" s="224" t="s">
        <v>45</v>
      </c>
      <c r="C1355" s="224" t="s">
        <v>86</v>
      </c>
      <c r="D1355" s="224" t="s">
        <v>9</v>
      </c>
      <c r="E1355" s="224" t="s">
        <v>256</v>
      </c>
      <c r="F1355" s="224" t="s">
        <v>249</v>
      </c>
      <c r="G1355" s="223" t="str">
        <f>VLOOKUP($B1355,'FRS geographical categories'!$A$2:$C$45,2,FALSE)</f>
        <v>Significantly Rural</v>
      </c>
      <c r="H1355" s="223" t="str">
        <f>VLOOKUP($B1355,'FRS geographical categories'!$A$2:$C$45,3,FALSE)</f>
        <v>Non-metropolitan</v>
      </c>
      <c r="I1355" s="224">
        <v>1807</v>
      </c>
    </row>
    <row r="1356" spans="1:9" ht="15.5" x14ac:dyDescent="0.35">
      <c r="A1356" s="224" t="s">
        <v>54</v>
      </c>
      <c r="B1356" s="224" t="s">
        <v>45</v>
      </c>
      <c r="C1356" s="224" t="s">
        <v>86</v>
      </c>
      <c r="D1356" s="224" t="s">
        <v>9</v>
      </c>
      <c r="E1356" s="224" t="s">
        <v>256</v>
      </c>
      <c r="F1356" s="224" t="s">
        <v>250</v>
      </c>
      <c r="G1356" s="223" t="str">
        <f>VLOOKUP($B1356,'FRS geographical categories'!$A$2:$C$45,2,FALSE)</f>
        <v>Significantly Rural</v>
      </c>
      <c r="H1356" s="223" t="str">
        <f>VLOOKUP($B1356,'FRS geographical categories'!$A$2:$C$45,3,FALSE)</f>
        <v>Non-metropolitan</v>
      </c>
      <c r="I1356" s="224">
        <v>862</v>
      </c>
    </row>
    <row r="1357" spans="1:9" ht="15.5" x14ac:dyDescent="0.35">
      <c r="A1357" s="224" t="s">
        <v>54</v>
      </c>
      <c r="B1357" s="224" t="s">
        <v>45</v>
      </c>
      <c r="C1357" s="224" t="s">
        <v>86</v>
      </c>
      <c r="D1357" s="224" t="s">
        <v>9</v>
      </c>
      <c r="E1357" s="224" t="s">
        <v>256</v>
      </c>
      <c r="F1357" s="224" t="s">
        <v>111</v>
      </c>
      <c r="G1357" s="223" t="str">
        <f>VLOOKUP($B1357,'FRS geographical categories'!$A$2:$C$45,2,FALSE)</f>
        <v>Significantly Rural</v>
      </c>
      <c r="H1357" s="223" t="str">
        <f>VLOOKUP($B1357,'FRS geographical categories'!$A$2:$C$45,3,FALSE)</f>
        <v>Non-metropolitan</v>
      </c>
      <c r="I1357" s="224">
        <v>3125</v>
      </c>
    </row>
    <row r="1358" spans="1:9" ht="15.5" x14ac:dyDescent="0.35">
      <c r="A1358" s="224" t="s">
        <v>54</v>
      </c>
      <c r="B1358" s="224" t="s">
        <v>45</v>
      </c>
      <c r="C1358" s="224" t="s">
        <v>86</v>
      </c>
      <c r="D1358" s="224" t="s">
        <v>9</v>
      </c>
      <c r="E1358" s="224" t="s">
        <v>256</v>
      </c>
      <c r="F1358" s="224" t="s">
        <v>10</v>
      </c>
      <c r="G1358" s="223" t="str">
        <f>VLOOKUP($B1358,'FRS geographical categories'!$A$2:$C$45,2,FALSE)</f>
        <v>Significantly Rural</v>
      </c>
      <c r="H1358" s="223" t="str">
        <f>VLOOKUP($B1358,'FRS geographical categories'!$A$2:$C$45,3,FALSE)</f>
        <v>Non-metropolitan</v>
      </c>
      <c r="I1358" s="224">
        <v>3417</v>
      </c>
    </row>
    <row r="1359" spans="1:9" ht="15.5" x14ac:dyDescent="0.35">
      <c r="A1359" s="224" t="s">
        <v>54</v>
      </c>
      <c r="B1359" s="224" t="s">
        <v>45</v>
      </c>
      <c r="C1359" s="224" t="s">
        <v>86</v>
      </c>
      <c r="D1359" s="224" t="s">
        <v>55</v>
      </c>
      <c r="E1359" s="224" t="s">
        <v>256</v>
      </c>
      <c r="F1359" s="224" t="s">
        <v>248</v>
      </c>
      <c r="G1359" s="223" t="str">
        <f>VLOOKUP($B1359,'FRS geographical categories'!$A$2:$C$45,2,FALSE)</f>
        <v>Significantly Rural</v>
      </c>
      <c r="H1359" s="223" t="str">
        <f>VLOOKUP($B1359,'FRS geographical categories'!$A$2:$C$45,3,FALSE)</f>
        <v>Non-metropolitan</v>
      </c>
      <c r="I1359" s="224">
        <v>0</v>
      </c>
    </row>
    <row r="1360" spans="1:9" ht="15.5" x14ac:dyDescent="0.35">
      <c r="A1360" s="224" t="s">
        <v>54</v>
      </c>
      <c r="B1360" s="224" t="s">
        <v>45</v>
      </c>
      <c r="C1360" s="224" t="s">
        <v>86</v>
      </c>
      <c r="D1360" s="224" t="s">
        <v>55</v>
      </c>
      <c r="E1360" s="224" t="s">
        <v>256</v>
      </c>
      <c r="F1360" s="224" t="s">
        <v>249</v>
      </c>
      <c r="G1360" s="223" t="str">
        <f>VLOOKUP($B1360,'FRS geographical categories'!$A$2:$C$45,2,FALSE)</f>
        <v>Significantly Rural</v>
      </c>
      <c r="H1360" s="223" t="str">
        <f>VLOOKUP($B1360,'FRS geographical categories'!$A$2:$C$45,3,FALSE)</f>
        <v>Non-metropolitan</v>
      </c>
      <c r="I1360" s="224">
        <v>0</v>
      </c>
    </row>
    <row r="1361" spans="1:9" ht="15.5" x14ac:dyDescent="0.35">
      <c r="A1361" s="224" t="s">
        <v>54</v>
      </c>
      <c r="B1361" s="224" t="s">
        <v>45</v>
      </c>
      <c r="C1361" s="224" t="s">
        <v>86</v>
      </c>
      <c r="D1361" s="224" t="s">
        <v>55</v>
      </c>
      <c r="E1361" s="224" t="s">
        <v>256</v>
      </c>
      <c r="F1361" s="224" t="s">
        <v>250</v>
      </c>
      <c r="G1361" s="223" t="str">
        <f>VLOOKUP($B1361,'FRS geographical categories'!$A$2:$C$45,2,FALSE)</f>
        <v>Significantly Rural</v>
      </c>
      <c r="H1361" s="223" t="str">
        <f>VLOOKUP($B1361,'FRS geographical categories'!$A$2:$C$45,3,FALSE)</f>
        <v>Non-metropolitan</v>
      </c>
      <c r="I1361" s="224">
        <v>0</v>
      </c>
    </row>
    <row r="1362" spans="1:9" ht="15.5" x14ac:dyDescent="0.35">
      <c r="A1362" s="224" t="s">
        <v>54</v>
      </c>
      <c r="B1362" s="224" t="s">
        <v>45</v>
      </c>
      <c r="C1362" s="224" t="s">
        <v>86</v>
      </c>
      <c r="D1362" s="224" t="s">
        <v>55</v>
      </c>
      <c r="E1362" s="224" t="s">
        <v>256</v>
      </c>
      <c r="F1362" s="224" t="s">
        <v>111</v>
      </c>
      <c r="G1362" s="223" t="str">
        <f>VLOOKUP($B1362,'FRS geographical categories'!$A$2:$C$45,2,FALSE)</f>
        <v>Significantly Rural</v>
      </c>
      <c r="H1362" s="223" t="str">
        <f>VLOOKUP($B1362,'FRS geographical categories'!$A$2:$C$45,3,FALSE)</f>
        <v>Non-metropolitan</v>
      </c>
      <c r="I1362" s="224">
        <v>0</v>
      </c>
    </row>
    <row r="1363" spans="1:9" ht="15.5" x14ac:dyDescent="0.35">
      <c r="A1363" s="224" t="s">
        <v>54</v>
      </c>
      <c r="B1363" s="224" t="s">
        <v>45</v>
      </c>
      <c r="C1363" s="224" t="s">
        <v>86</v>
      </c>
      <c r="D1363" s="224" t="s">
        <v>55</v>
      </c>
      <c r="E1363" s="224" t="s">
        <v>256</v>
      </c>
      <c r="F1363" s="224" t="s">
        <v>10</v>
      </c>
      <c r="G1363" s="223" t="str">
        <f>VLOOKUP($B1363,'FRS geographical categories'!$A$2:$C$45,2,FALSE)</f>
        <v>Significantly Rural</v>
      </c>
      <c r="H1363" s="223" t="str">
        <f>VLOOKUP($B1363,'FRS geographical categories'!$A$2:$C$45,3,FALSE)</f>
        <v>Non-metropolitan</v>
      </c>
      <c r="I1363" s="224">
        <v>2300</v>
      </c>
    </row>
    <row r="1364" spans="1:9" ht="15.5" x14ac:dyDescent="0.35">
      <c r="A1364" s="224" t="s">
        <v>54</v>
      </c>
      <c r="B1364" s="224" t="s">
        <v>45</v>
      </c>
      <c r="C1364" s="224" t="s">
        <v>89</v>
      </c>
      <c r="D1364" s="224" t="s">
        <v>9</v>
      </c>
      <c r="E1364" s="224" t="s">
        <v>256</v>
      </c>
      <c r="F1364" s="224" t="s">
        <v>248</v>
      </c>
      <c r="G1364" s="223" t="str">
        <f>VLOOKUP($B1364,'FRS geographical categories'!$A$2:$C$45,2,FALSE)</f>
        <v>Significantly Rural</v>
      </c>
      <c r="H1364" s="223" t="str">
        <f>VLOOKUP($B1364,'FRS geographical categories'!$A$2:$C$45,3,FALSE)</f>
        <v>Non-metropolitan</v>
      </c>
      <c r="I1364" s="224">
        <v>0</v>
      </c>
    </row>
    <row r="1365" spans="1:9" ht="15.5" x14ac:dyDescent="0.35">
      <c r="A1365" s="224" t="s">
        <v>54</v>
      </c>
      <c r="B1365" s="224" t="s">
        <v>45</v>
      </c>
      <c r="C1365" s="224" t="s">
        <v>89</v>
      </c>
      <c r="D1365" s="224" t="s">
        <v>9</v>
      </c>
      <c r="E1365" s="224" t="s">
        <v>256</v>
      </c>
      <c r="F1365" s="224" t="s">
        <v>249</v>
      </c>
      <c r="G1365" s="223" t="str">
        <f>VLOOKUP($B1365,'FRS geographical categories'!$A$2:$C$45,2,FALSE)</f>
        <v>Significantly Rural</v>
      </c>
      <c r="H1365" s="223" t="str">
        <f>VLOOKUP($B1365,'FRS geographical categories'!$A$2:$C$45,3,FALSE)</f>
        <v>Non-metropolitan</v>
      </c>
      <c r="I1365" s="224">
        <v>0</v>
      </c>
    </row>
    <row r="1366" spans="1:9" ht="15.5" x14ac:dyDescent="0.35">
      <c r="A1366" s="224" t="s">
        <v>54</v>
      </c>
      <c r="B1366" s="224" t="s">
        <v>45</v>
      </c>
      <c r="C1366" s="224" t="s">
        <v>89</v>
      </c>
      <c r="D1366" s="224" t="s">
        <v>9</v>
      </c>
      <c r="E1366" s="224" t="s">
        <v>256</v>
      </c>
      <c r="F1366" s="224" t="s">
        <v>250</v>
      </c>
      <c r="G1366" s="223" t="str">
        <f>VLOOKUP($B1366,'FRS geographical categories'!$A$2:$C$45,2,FALSE)</f>
        <v>Significantly Rural</v>
      </c>
      <c r="H1366" s="223" t="str">
        <f>VLOOKUP($B1366,'FRS geographical categories'!$A$2:$C$45,3,FALSE)</f>
        <v>Non-metropolitan</v>
      </c>
      <c r="I1366" s="224">
        <v>0</v>
      </c>
    </row>
    <row r="1367" spans="1:9" ht="15.5" x14ac:dyDescent="0.35">
      <c r="A1367" s="224" t="s">
        <v>54</v>
      </c>
      <c r="B1367" s="224" t="s">
        <v>45</v>
      </c>
      <c r="C1367" s="224" t="s">
        <v>89</v>
      </c>
      <c r="D1367" s="224" t="s">
        <v>9</v>
      </c>
      <c r="E1367" s="224" t="s">
        <v>256</v>
      </c>
      <c r="F1367" s="224" t="s">
        <v>10</v>
      </c>
      <c r="G1367" s="223" t="str">
        <f>VLOOKUP($B1367,'FRS geographical categories'!$A$2:$C$45,2,FALSE)</f>
        <v>Significantly Rural</v>
      </c>
      <c r="H1367" s="223" t="str">
        <f>VLOOKUP($B1367,'FRS geographical categories'!$A$2:$C$45,3,FALSE)</f>
        <v>Non-metropolitan</v>
      </c>
      <c r="I1367" s="224">
        <v>0</v>
      </c>
    </row>
    <row r="1368" spans="1:9" ht="15.5" x14ac:dyDescent="0.35">
      <c r="A1368" s="224" t="s">
        <v>54</v>
      </c>
      <c r="B1368" s="224" t="s">
        <v>45</v>
      </c>
      <c r="C1368" s="224" t="s">
        <v>89</v>
      </c>
      <c r="D1368" s="224" t="s">
        <v>55</v>
      </c>
      <c r="E1368" s="224" t="s">
        <v>256</v>
      </c>
      <c r="F1368" s="224" t="s">
        <v>248</v>
      </c>
      <c r="G1368" s="223" t="str">
        <f>VLOOKUP($B1368,'FRS geographical categories'!$A$2:$C$45,2,FALSE)</f>
        <v>Significantly Rural</v>
      </c>
      <c r="H1368" s="223" t="str">
        <f>VLOOKUP($B1368,'FRS geographical categories'!$A$2:$C$45,3,FALSE)</f>
        <v>Non-metropolitan</v>
      </c>
      <c r="I1368" s="224">
        <v>0</v>
      </c>
    </row>
    <row r="1369" spans="1:9" ht="15.5" x14ac:dyDescent="0.35">
      <c r="A1369" s="224" t="s">
        <v>54</v>
      </c>
      <c r="B1369" s="224" t="s">
        <v>45</v>
      </c>
      <c r="C1369" s="224" t="s">
        <v>89</v>
      </c>
      <c r="D1369" s="224" t="s">
        <v>55</v>
      </c>
      <c r="E1369" s="224" t="s">
        <v>256</v>
      </c>
      <c r="F1369" s="224" t="s">
        <v>249</v>
      </c>
      <c r="G1369" s="223" t="str">
        <f>VLOOKUP($B1369,'FRS geographical categories'!$A$2:$C$45,2,FALSE)</f>
        <v>Significantly Rural</v>
      </c>
      <c r="H1369" s="223" t="str">
        <f>VLOOKUP($B1369,'FRS geographical categories'!$A$2:$C$45,3,FALSE)</f>
        <v>Non-metropolitan</v>
      </c>
      <c r="I1369" s="224">
        <v>0</v>
      </c>
    </row>
    <row r="1370" spans="1:9" ht="15.5" x14ac:dyDescent="0.35">
      <c r="A1370" s="224" t="s">
        <v>54</v>
      </c>
      <c r="B1370" s="224" t="s">
        <v>45</v>
      </c>
      <c r="C1370" s="224" t="s">
        <v>89</v>
      </c>
      <c r="D1370" s="224" t="s">
        <v>55</v>
      </c>
      <c r="E1370" s="224" t="s">
        <v>256</v>
      </c>
      <c r="F1370" s="224" t="s">
        <v>250</v>
      </c>
      <c r="G1370" s="223" t="str">
        <f>VLOOKUP($B1370,'FRS geographical categories'!$A$2:$C$45,2,FALSE)</f>
        <v>Significantly Rural</v>
      </c>
      <c r="H1370" s="223" t="str">
        <f>VLOOKUP($B1370,'FRS geographical categories'!$A$2:$C$45,3,FALSE)</f>
        <v>Non-metropolitan</v>
      </c>
      <c r="I1370" s="224">
        <v>0</v>
      </c>
    </row>
    <row r="1371" spans="1:9" ht="15.5" x14ac:dyDescent="0.35">
      <c r="A1371" s="224" t="s">
        <v>54</v>
      </c>
      <c r="B1371" s="224" t="s">
        <v>45</v>
      </c>
      <c r="C1371" s="224" t="s">
        <v>89</v>
      </c>
      <c r="D1371" s="224" t="s">
        <v>55</v>
      </c>
      <c r="E1371" s="224" t="s">
        <v>256</v>
      </c>
      <c r="F1371" s="224" t="s">
        <v>10</v>
      </c>
      <c r="G1371" s="223" t="str">
        <f>VLOOKUP($B1371,'FRS geographical categories'!$A$2:$C$45,2,FALSE)</f>
        <v>Significantly Rural</v>
      </c>
      <c r="H1371" s="223" t="str">
        <f>VLOOKUP($B1371,'FRS geographical categories'!$A$2:$C$45,3,FALSE)</f>
        <v>Non-metropolitan</v>
      </c>
      <c r="I1371" s="224">
        <v>0</v>
      </c>
    </row>
    <row r="1372" spans="1:9" ht="15.5" x14ac:dyDescent="0.35">
      <c r="A1372" s="224" t="s">
        <v>54</v>
      </c>
      <c r="B1372" s="224" t="s">
        <v>46</v>
      </c>
      <c r="C1372" s="224" t="s">
        <v>86</v>
      </c>
      <c r="D1372" s="224" t="s">
        <v>9</v>
      </c>
      <c r="E1372" s="224" t="s">
        <v>256</v>
      </c>
      <c r="F1372" s="224" t="s">
        <v>248</v>
      </c>
      <c r="G1372" s="223" t="str">
        <f>VLOOKUP($B1372,'FRS geographical categories'!$A$2:$C$45,2,FALSE)</f>
        <v>Predominantly Rural</v>
      </c>
      <c r="H1372" s="223" t="str">
        <f>VLOOKUP($B1372,'FRS geographical categories'!$A$2:$C$45,3,FALSE)</f>
        <v>Non-metropolitan</v>
      </c>
      <c r="I1372" s="224">
        <v>167</v>
      </c>
    </row>
    <row r="1373" spans="1:9" ht="15.5" x14ac:dyDescent="0.35">
      <c r="A1373" s="224" t="s">
        <v>54</v>
      </c>
      <c r="B1373" s="224" t="s">
        <v>46</v>
      </c>
      <c r="C1373" s="224" t="s">
        <v>86</v>
      </c>
      <c r="D1373" s="224" t="s">
        <v>9</v>
      </c>
      <c r="E1373" s="224" t="s">
        <v>256</v>
      </c>
      <c r="F1373" s="224" t="s">
        <v>249</v>
      </c>
      <c r="G1373" s="223" t="str">
        <f>VLOOKUP($B1373,'FRS geographical categories'!$A$2:$C$45,2,FALSE)</f>
        <v>Predominantly Rural</v>
      </c>
      <c r="H1373" s="223" t="str">
        <f>VLOOKUP($B1373,'FRS geographical categories'!$A$2:$C$45,3,FALSE)</f>
        <v>Non-metropolitan</v>
      </c>
      <c r="I1373" s="224">
        <v>566</v>
      </c>
    </row>
    <row r="1374" spans="1:9" ht="15.5" x14ac:dyDescent="0.35">
      <c r="A1374" s="224" t="s">
        <v>54</v>
      </c>
      <c r="B1374" s="224" t="s">
        <v>46</v>
      </c>
      <c r="C1374" s="224" t="s">
        <v>86</v>
      </c>
      <c r="D1374" s="224" t="s">
        <v>9</v>
      </c>
      <c r="E1374" s="224" t="s">
        <v>256</v>
      </c>
      <c r="F1374" s="224" t="s">
        <v>250</v>
      </c>
      <c r="G1374" s="223" t="str">
        <f>VLOOKUP($B1374,'FRS geographical categories'!$A$2:$C$45,2,FALSE)</f>
        <v>Predominantly Rural</v>
      </c>
      <c r="H1374" s="223" t="str">
        <f>VLOOKUP($B1374,'FRS geographical categories'!$A$2:$C$45,3,FALSE)</f>
        <v>Non-metropolitan</v>
      </c>
      <c r="I1374" s="224">
        <v>752</v>
      </c>
    </row>
    <row r="1375" spans="1:9" ht="15.5" x14ac:dyDescent="0.35">
      <c r="A1375" s="224" t="s">
        <v>54</v>
      </c>
      <c r="B1375" s="224" t="s">
        <v>46</v>
      </c>
      <c r="C1375" s="224" t="s">
        <v>86</v>
      </c>
      <c r="D1375" s="224" t="s">
        <v>9</v>
      </c>
      <c r="E1375" s="224" t="s">
        <v>256</v>
      </c>
      <c r="F1375" s="224" t="s">
        <v>111</v>
      </c>
      <c r="G1375" s="223" t="str">
        <f>VLOOKUP($B1375,'FRS geographical categories'!$A$2:$C$45,2,FALSE)</f>
        <v>Predominantly Rural</v>
      </c>
      <c r="H1375" s="223" t="str">
        <f>VLOOKUP($B1375,'FRS geographical categories'!$A$2:$C$45,3,FALSE)</f>
        <v>Non-metropolitan</v>
      </c>
      <c r="I1375" s="224">
        <v>1701</v>
      </c>
    </row>
    <row r="1376" spans="1:9" ht="15.5" x14ac:dyDescent="0.35">
      <c r="A1376" s="224" t="s">
        <v>54</v>
      </c>
      <c r="B1376" s="224" t="s">
        <v>46</v>
      </c>
      <c r="C1376" s="224" t="s">
        <v>86</v>
      </c>
      <c r="D1376" s="224" t="s">
        <v>9</v>
      </c>
      <c r="E1376" s="224" t="s">
        <v>256</v>
      </c>
      <c r="F1376" s="224" t="s">
        <v>10</v>
      </c>
      <c r="G1376" s="223" t="str">
        <f>VLOOKUP($B1376,'FRS geographical categories'!$A$2:$C$45,2,FALSE)</f>
        <v>Predominantly Rural</v>
      </c>
      <c r="H1376" s="223" t="str">
        <f>VLOOKUP($B1376,'FRS geographical categories'!$A$2:$C$45,3,FALSE)</f>
        <v>Non-metropolitan</v>
      </c>
      <c r="I1376" s="224">
        <v>1701</v>
      </c>
    </row>
    <row r="1377" spans="1:9" ht="15.5" x14ac:dyDescent="0.35">
      <c r="A1377" s="224" t="s">
        <v>54</v>
      </c>
      <c r="B1377" s="224" t="s">
        <v>46</v>
      </c>
      <c r="C1377" s="224" t="s">
        <v>86</v>
      </c>
      <c r="D1377" s="224" t="s">
        <v>55</v>
      </c>
      <c r="E1377" s="224" t="s">
        <v>256</v>
      </c>
      <c r="F1377" s="224" t="s">
        <v>248</v>
      </c>
      <c r="G1377" s="223" t="str">
        <f>VLOOKUP($B1377,'FRS geographical categories'!$A$2:$C$45,2,FALSE)</f>
        <v>Predominantly Rural</v>
      </c>
      <c r="H1377" s="223" t="str">
        <f>VLOOKUP($B1377,'FRS geographical categories'!$A$2:$C$45,3,FALSE)</f>
        <v>Non-metropolitan</v>
      </c>
      <c r="I1377" s="224">
        <v>0</v>
      </c>
    </row>
    <row r="1378" spans="1:9" ht="15.5" x14ac:dyDescent="0.35">
      <c r="A1378" s="224" t="s">
        <v>54</v>
      </c>
      <c r="B1378" s="224" t="s">
        <v>46</v>
      </c>
      <c r="C1378" s="224" t="s">
        <v>86</v>
      </c>
      <c r="D1378" s="224" t="s">
        <v>55</v>
      </c>
      <c r="E1378" s="224" t="s">
        <v>256</v>
      </c>
      <c r="F1378" s="224" t="s">
        <v>249</v>
      </c>
      <c r="G1378" s="223" t="str">
        <f>VLOOKUP($B1378,'FRS geographical categories'!$A$2:$C$45,2,FALSE)</f>
        <v>Predominantly Rural</v>
      </c>
      <c r="H1378" s="223" t="str">
        <f>VLOOKUP($B1378,'FRS geographical categories'!$A$2:$C$45,3,FALSE)</f>
        <v>Non-metropolitan</v>
      </c>
      <c r="I1378" s="224">
        <v>4</v>
      </c>
    </row>
    <row r="1379" spans="1:9" ht="15.5" x14ac:dyDescent="0.35">
      <c r="A1379" s="224" t="s">
        <v>54</v>
      </c>
      <c r="B1379" s="224" t="s">
        <v>46</v>
      </c>
      <c r="C1379" s="224" t="s">
        <v>86</v>
      </c>
      <c r="D1379" s="224" t="s">
        <v>55</v>
      </c>
      <c r="E1379" s="224" t="s">
        <v>256</v>
      </c>
      <c r="F1379" s="224" t="s">
        <v>250</v>
      </c>
      <c r="G1379" s="223" t="str">
        <f>VLOOKUP($B1379,'FRS geographical categories'!$A$2:$C$45,2,FALSE)</f>
        <v>Predominantly Rural</v>
      </c>
      <c r="H1379" s="223" t="str">
        <f>VLOOKUP($B1379,'FRS geographical categories'!$A$2:$C$45,3,FALSE)</f>
        <v>Non-metropolitan</v>
      </c>
      <c r="I1379" s="224">
        <v>3</v>
      </c>
    </row>
    <row r="1380" spans="1:9" ht="15.5" x14ac:dyDescent="0.35">
      <c r="A1380" s="224" t="s">
        <v>54</v>
      </c>
      <c r="B1380" s="224" t="s">
        <v>46</v>
      </c>
      <c r="C1380" s="224" t="s">
        <v>86</v>
      </c>
      <c r="D1380" s="224" t="s">
        <v>55</v>
      </c>
      <c r="E1380" s="224" t="s">
        <v>256</v>
      </c>
      <c r="F1380" s="224" t="s">
        <v>111</v>
      </c>
      <c r="G1380" s="223" t="str">
        <f>VLOOKUP($B1380,'FRS geographical categories'!$A$2:$C$45,2,FALSE)</f>
        <v>Predominantly Rural</v>
      </c>
      <c r="H1380" s="223" t="str">
        <f>VLOOKUP($B1380,'FRS geographical categories'!$A$2:$C$45,3,FALSE)</f>
        <v>Non-metropolitan</v>
      </c>
      <c r="I1380" s="224">
        <v>9</v>
      </c>
    </row>
    <row r="1381" spans="1:9" ht="15.5" x14ac:dyDescent="0.35">
      <c r="A1381" s="224" t="s">
        <v>54</v>
      </c>
      <c r="B1381" s="224" t="s">
        <v>46</v>
      </c>
      <c r="C1381" s="224" t="s">
        <v>86</v>
      </c>
      <c r="D1381" s="224" t="s">
        <v>55</v>
      </c>
      <c r="E1381" s="224" t="s">
        <v>256</v>
      </c>
      <c r="F1381" s="224" t="s">
        <v>10</v>
      </c>
      <c r="G1381" s="223" t="str">
        <f>VLOOKUP($B1381,'FRS geographical categories'!$A$2:$C$45,2,FALSE)</f>
        <v>Predominantly Rural</v>
      </c>
      <c r="H1381" s="223" t="str">
        <f>VLOOKUP($B1381,'FRS geographical categories'!$A$2:$C$45,3,FALSE)</f>
        <v>Non-metropolitan</v>
      </c>
      <c r="I1381" s="224">
        <v>9</v>
      </c>
    </row>
    <row r="1382" spans="1:9" ht="15.5" x14ac:dyDescent="0.35">
      <c r="A1382" s="224" t="s">
        <v>54</v>
      </c>
      <c r="B1382" s="224" t="s">
        <v>46</v>
      </c>
      <c r="C1382" s="224" t="s">
        <v>89</v>
      </c>
      <c r="D1382" s="224" t="s">
        <v>9</v>
      </c>
      <c r="E1382" s="224" t="s">
        <v>256</v>
      </c>
      <c r="F1382" s="224" t="s">
        <v>248</v>
      </c>
      <c r="G1382" s="223" t="str">
        <f>VLOOKUP($B1382,'FRS geographical categories'!$A$2:$C$45,2,FALSE)</f>
        <v>Predominantly Rural</v>
      </c>
      <c r="H1382" s="223" t="str">
        <f>VLOOKUP($B1382,'FRS geographical categories'!$A$2:$C$45,3,FALSE)</f>
        <v>Non-metropolitan</v>
      </c>
      <c r="I1382" s="224">
        <v>0</v>
      </c>
    </row>
    <row r="1383" spans="1:9" ht="15.5" x14ac:dyDescent="0.35">
      <c r="A1383" s="224" t="s">
        <v>54</v>
      </c>
      <c r="B1383" s="224" t="s">
        <v>46</v>
      </c>
      <c r="C1383" s="224" t="s">
        <v>89</v>
      </c>
      <c r="D1383" s="224" t="s">
        <v>9</v>
      </c>
      <c r="E1383" s="224" t="s">
        <v>256</v>
      </c>
      <c r="F1383" s="224" t="s">
        <v>249</v>
      </c>
      <c r="G1383" s="223" t="str">
        <f>VLOOKUP($B1383,'FRS geographical categories'!$A$2:$C$45,2,FALSE)</f>
        <v>Predominantly Rural</v>
      </c>
      <c r="H1383" s="223" t="str">
        <f>VLOOKUP($B1383,'FRS geographical categories'!$A$2:$C$45,3,FALSE)</f>
        <v>Non-metropolitan</v>
      </c>
      <c r="I1383" s="224">
        <v>0</v>
      </c>
    </row>
    <row r="1384" spans="1:9" ht="15.5" x14ac:dyDescent="0.35">
      <c r="A1384" s="224" t="s">
        <v>54</v>
      </c>
      <c r="B1384" s="224" t="s">
        <v>46</v>
      </c>
      <c r="C1384" s="224" t="s">
        <v>89</v>
      </c>
      <c r="D1384" s="224" t="s">
        <v>9</v>
      </c>
      <c r="E1384" s="224" t="s">
        <v>256</v>
      </c>
      <c r="F1384" s="224" t="s">
        <v>250</v>
      </c>
      <c r="G1384" s="223" t="str">
        <f>VLOOKUP($B1384,'FRS geographical categories'!$A$2:$C$45,2,FALSE)</f>
        <v>Predominantly Rural</v>
      </c>
      <c r="H1384" s="223" t="str">
        <f>VLOOKUP($B1384,'FRS geographical categories'!$A$2:$C$45,3,FALSE)</f>
        <v>Non-metropolitan</v>
      </c>
      <c r="I1384" s="224">
        <v>0</v>
      </c>
    </row>
    <row r="1385" spans="1:9" ht="15.5" x14ac:dyDescent="0.35">
      <c r="A1385" s="224" t="s">
        <v>54</v>
      </c>
      <c r="B1385" s="224" t="s">
        <v>46</v>
      </c>
      <c r="C1385" s="224" t="s">
        <v>89</v>
      </c>
      <c r="D1385" s="224" t="s">
        <v>9</v>
      </c>
      <c r="E1385" s="224" t="s">
        <v>256</v>
      </c>
      <c r="F1385" s="224" t="s">
        <v>10</v>
      </c>
      <c r="G1385" s="223" t="str">
        <f>VLOOKUP($B1385,'FRS geographical categories'!$A$2:$C$45,2,FALSE)</f>
        <v>Predominantly Rural</v>
      </c>
      <c r="H1385" s="223" t="str">
        <f>VLOOKUP($B1385,'FRS geographical categories'!$A$2:$C$45,3,FALSE)</f>
        <v>Non-metropolitan</v>
      </c>
      <c r="I1385" s="224">
        <v>8</v>
      </c>
    </row>
    <row r="1386" spans="1:9" ht="15.5" x14ac:dyDescent="0.35">
      <c r="A1386" s="224" t="s">
        <v>54</v>
      </c>
      <c r="B1386" s="224" t="s">
        <v>46</v>
      </c>
      <c r="C1386" s="224" t="s">
        <v>89</v>
      </c>
      <c r="D1386" s="224" t="s">
        <v>55</v>
      </c>
      <c r="E1386" s="224" t="s">
        <v>256</v>
      </c>
      <c r="F1386" s="224" t="s">
        <v>248</v>
      </c>
      <c r="G1386" s="223" t="str">
        <f>VLOOKUP($B1386,'FRS geographical categories'!$A$2:$C$45,2,FALSE)</f>
        <v>Predominantly Rural</v>
      </c>
      <c r="H1386" s="223" t="str">
        <f>VLOOKUP($B1386,'FRS geographical categories'!$A$2:$C$45,3,FALSE)</f>
        <v>Non-metropolitan</v>
      </c>
      <c r="I1386" s="224">
        <v>0</v>
      </c>
    </row>
    <row r="1387" spans="1:9" ht="15.5" x14ac:dyDescent="0.35">
      <c r="A1387" s="224" t="s">
        <v>54</v>
      </c>
      <c r="B1387" s="224" t="s">
        <v>46</v>
      </c>
      <c r="C1387" s="224" t="s">
        <v>89</v>
      </c>
      <c r="D1387" s="224" t="s">
        <v>55</v>
      </c>
      <c r="E1387" s="224" t="s">
        <v>256</v>
      </c>
      <c r="F1387" s="224" t="s">
        <v>249</v>
      </c>
      <c r="G1387" s="223" t="str">
        <f>VLOOKUP($B1387,'FRS geographical categories'!$A$2:$C$45,2,FALSE)</f>
        <v>Predominantly Rural</v>
      </c>
      <c r="H1387" s="223" t="str">
        <f>VLOOKUP($B1387,'FRS geographical categories'!$A$2:$C$45,3,FALSE)</f>
        <v>Non-metropolitan</v>
      </c>
      <c r="I1387" s="224">
        <v>0</v>
      </c>
    </row>
    <row r="1388" spans="1:9" ht="15.5" x14ac:dyDescent="0.35">
      <c r="A1388" s="224" t="s">
        <v>54</v>
      </c>
      <c r="B1388" s="224" t="s">
        <v>46</v>
      </c>
      <c r="C1388" s="224" t="s">
        <v>89</v>
      </c>
      <c r="D1388" s="224" t="s">
        <v>55</v>
      </c>
      <c r="E1388" s="224" t="s">
        <v>256</v>
      </c>
      <c r="F1388" s="224" t="s">
        <v>250</v>
      </c>
      <c r="G1388" s="223" t="str">
        <f>VLOOKUP($B1388,'FRS geographical categories'!$A$2:$C$45,2,FALSE)</f>
        <v>Predominantly Rural</v>
      </c>
      <c r="H1388" s="223" t="str">
        <f>VLOOKUP($B1388,'FRS geographical categories'!$A$2:$C$45,3,FALSE)</f>
        <v>Non-metropolitan</v>
      </c>
      <c r="I1388" s="224">
        <v>0</v>
      </c>
    </row>
    <row r="1389" spans="1:9" ht="15.5" x14ac:dyDescent="0.35">
      <c r="A1389" s="224" t="s">
        <v>54</v>
      </c>
      <c r="B1389" s="224" t="s">
        <v>46</v>
      </c>
      <c r="C1389" s="224" t="s">
        <v>89</v>
      </c>
      <c r="D1389" s="224" t="s">
        <v>55</v>
      </c>
      <c r="E1389" s="224" t="s">
        <v>256</v>
      </c>
      <c r="F1389" s="224" t="s">
        <v>10</v>
      </c>
      <c r="G1389" s="223" t="str">
        <f>VLOOKUP($B1389,'FRS geographical categories'!$A$2:$C$45,2,FALSE)</f>
        <v>Predominantly Rural</v>
      </c>
      <c r="H1389" s="223" t="str">
        <f>VLOOKUP($B1389,'FRS geographical categories'!$A$2:$C$45,3,FALSE)</f>
        <v>Non-metropolitan</v>
      </c>
      <c r="I1389" s="224">
        <v>0</v>
      </c>
    </row>
    <row r="1390" spans="1:9" ht="15.5" x14ac:dyDescent="0.35">
      <c r="A1390" s="224" t="s">
        <v>54</v>
      </c>
      <c r="B1390" s="224" t="s">
        <v>47</v>
      </c>
      <c r="C1390" s="224" t="s">
        <v>86</v>
      </c>
      <c r="D1390" s="224" t="s">
        <v>9</v>
      </c>
      <c r="E1390" s="224" t="s">
        <v>256</v>
      </c>
      <c r="F1390" s="224" t="s">
        <v>248</v>
      </c>
      <c r="G1390" s="223" t="str">
        <f>VLOOKUP($B1390,'FRS geographical categories'!$A$2:$C$45,2,FALSE)</f>
        <v>Predominantly Urban</v>
      </c>
      <c r="H1390" s="223" t="str">
        <f>VLOOKUP($B1390,'FRS geographical categories'!$A$2:$C$45,3,FALSE)</f>
        <v>Non-metropolitan</v>
      </c>
      <c r="I1390" s="224">
        <v>222</v>
      </c>
    </row>
    <row r="1391" spans="1:9" ht="15.5" x14ac:dyDescent="0.35">
      <c r="A1391" s="224" t="s">
        <v>54</v>
      </c>
      <c r="B1391" s="224" t="s">
        <v>47</v>
      </c>
      <c r="C1391" s="224" t="s">
        <v>86</v>
      </c>
      <c r="D1391" s="224" t="s">
        <v>9</v>
      </c>
      <c r="E1391" s="224" t="s">
        <v>256</v>
      </c>
      <c r="F1391" s="224" t="s">
        <v>249</v>
      </c>
      <c r="G1391" s="223" t="str">
        <f>VLOOKUP($B1391,'FRS geographical categories'!$A$2:$C$45,2,FALSE)</f>
        <v>Predominantly Urban</v>
      </c>
      <c r="H1391" s="223" t="str">
        <f>VLOOKUP($B1391,'FRS geographical categories'!$A$2:$C$45,3,FALSE)</f>
        <v>Non-metropolitan</v>
      </c>
      <c r="I1391" s="224">
        <v>1086</v>
      </c>
    </row>
    <row r="1392" spans="1:9" ht="15.5" x14ac:dyDescent="0.35">
      <c r="A1392" s="224" t="s">
        <v>54</v>
      </c>
      <c r="B1392" s="224" t="s">
        <v>47</v>
      </c>
      <c r="C1392" s="224" t="s">
        <v>86</v>
      </c>
      <c r="D1392" s="224" t="s">
        <v>9</v>
      </c>
      <c r="E1392" s="224" t="s">
        <v>256</v>
      </c>
      <c r="F1392" s="224" t="s">
        <v>250</v>
      </c>
      <c r="G1392" s="223" t="str">
        <f>VLOOKUP($B1392,'FRS geographical categories'!$A$2:$C$45,2,FALSE)</f>
        <v>Predominantly Urban</v>
      </c>
      <c r="H1392" s="223" t="str">
        <f>VLOOKUP($B1392,'FRS geographical categories'!$A$2:$C$45,3,FALSE)</f>
        <v>Non-metropolitan</v>
      </c>
      <c r="I1392" s="224">
        <v>439</v>
      </c>
    </row>
    <row r="1393" spans="1:9" ht="15.5" x14ac:dyDescent="0.35">
      <c r="A1393" s="224" t="s">
        <v>54</v>
      </c>
      <c r="B1393" s="224" t="s">
        <v>47</v>
      </c>
      <c r="C1393" s="224" t="s">
        <v>86</v>
      </c>
      <c r="D1393" s="224" t="s">
        <v>9</v>
      </c>
      <c r="E1393" s="224" t="s">
        <v>256</v>
      </c>
      <c r="F1393" s="224" t="s">
        <v>111</v>
      </c>
      <c r="G1393" s="223" t="str">
        <f>VLOOKUP($B1393,'FRS geographical categories'!$A$2:$C$45,2,FALSE)</f>
        <v>Predominantly Urban</v>
      </c>
      <c r="H1393" s="223" t="str">
        <f>VLOOKUP($B1393,'FRS geographical categories'!$A$2:$C$45,3,FALSE)</f>
        <v>Non-metropolitan</v>
      </c>
      <c r="I1393" s="224">
        <v>1888</v>
      </c>
    </row>
    <row r="1394" spans="1:9" ht="15.5" x14ac:dyDescent="0.35">
      <c r="A1394" s="224" t="s">
        <v>54</v>
      </c>
      <c r="B1394" s="224" t="s">
        <v>47</v>
      </c>
      <c r="C1394" s="224" t="s">
        <v>86</v>
      </c>
      <c r="D1394" s="224" t="s">
        <v>9</v>
      </c>
      <c r="E1394" s="224" t="s">
        <v>256</v>
      </c>
      <c r="F1394" s="224" t="s">
        <v>10</v>
      </c>
      <c r="G1394" s="223" t="str">
        <f>VLOOKUP($B1394,'FRS geographical categories'!$A$2:$C$45,2,FALSE)</f>
        <v>Predominantly Urban</v>
      </c>
      <c r="H1394" s="223" t="str">
        <f>VLOOKUP($B1394,'FRS geographical categories'!$A$2:$C$45,3,FALSE)</f>
        <v>Non-metropolitan</v>
      </c>
      <c r="I1394" s="224">
        <v>2033</v>
      </c>
    </row>
    <row r="1395" spans="1:9" ht="15.5" x14ac:dyDescent="0.35">
      <c r="A1395" s="224" t="s">
        <v>54</v>
      </c>
      <c r="B1395" s="224" t="s">
        <v>47</v>
      </c>
      <c r="C1395" s="224" t="s">
        <v>86</v>
      </c>
      <c r="D1395" s="224" t="s">
        <v>55</v>
      </c>
      <c r="E1395" s="224" t="s">
        <v>256</v>
      </c>
      <c r="F1395" s="224" t="s">
        <v>248</v>
      </c>
      <c r="G1395" s="223" t="str">
        <f>VLOOKUP($B1395,'FRS geographical categories'!$A$2:$C$45,2,FALSE)</f>
        <v>Predominantly Urban</v>
      </c>
      <c r="H1395" s="223" t="str">
        <f>VLOOKUP($B1395,'FRS geographical categories'!$A$2:$C$45,3,FALSE)</f>
        <v>Non-metropolitan</v>
      </c>
      <c r="I1395" s="224">
        <v>9</v>
      </c>
    </row>
    <row r="1396" spans="1:9" ht="15.5" x14ac:dyDescent="0.35">
      <c r="A1396" s="224" t="s">
        <v>54</v>
      </c>
      <c r="B1396" s="224" t="s">
        <v>47</v>
      </c>
      <c r="C1396" s="224" t="s">
        <v>86</v>
      </c>
      <c r="D1396" s="224" t="s">
        <v>55</v>
      </c>
      <c r="E1396" s="224" t="s">
        <v>256</v>
      </c>
      <c r="F1396" s="224" t="s">
        <v>249</v>
      </c>
      <c r="G1396" s="223" t="str">
        <f>VLOOKUP($B1396,'FRS geographical categories'!$A$2:$C$45,2,FALSE)</f>
        <v>Predominantly Urban</v>
      </c>
      <c r="H1396" s="223" t="str">
        <f>VLOOKUP($B1396,'FRS geographical categories'!$A$2:$C$45,3,FALSE)</f>
        <v>Non-metropolitan</v>
      </c>
      <c r="I1396" s="224">
        <v>10</v>
      </c>
    </row>
    <row r="1397" spans="1:9" ht="15.5" x14ac:dyDescent="0.35">
      <c r="A1397" s="224" t="s">
        <v>54</v>
      </c>
      <c r="B1397" s="224" t="s">
        <v>47</v>
      </c>
      <c r="C1397" s="224" t="s">
        <v>86</v>
      </c>
      <c r="D1397" s="224" t="s">
        <v>55</v>
      </c>
      <c r="E1397" s="224" t="s">
        <v>256</v>
      </c>
      <c r="F1397" s="224" t="s">
        <v>250</v>
      </c>
      <c r="G1397" s="223" t="str">
        <f>VLOOKUP($B1397,'FRS geographical categories'!$A$2:$C$45,2,FALSE)</f>
        <v>Predominantly Urban</v>
      </c>
      <c r="H1397" s="223" t="str">
        <f>VLOOKUP($B1397,'FRS geographical categories'!$A$2:$C$45,3,FALSE)</f>
        <v>Non-metropolitan</v>
      </c>
      <c r="I1397" s="224">
        <v>19</v>
      </c>
    </row>
    <row r="1398" spans="1:9" ht="15.5" x14ac:dyDescent="0.35">
      <c r="A1398" s="224" t="s">
        <v>54</v>
      </c>
      <c r="B1398" s="224" t="s">
        <v>47</v>
      </c>
      <c r="C1398" s="224" t="s">
        <v>86</v>
      </c>
      <c r="D1398" s="224" t="s">
        <v>55</v>
      </c>
      <c r="E1398" s="224" t="s">
        <v>256</v>
      </c>
      <c r="F1398" s="224" t="s">
        <v>111</v>
      </c>
      <c r="G1398" s="223" t="str">
        <f>VLOOKUP($B1398,'FRS geographical categories'!$A$2:$C$45,2,FALSE)</f>
        <v>Predominantly Urban</v>
      </c>
      <c r="H1398" s="223" t="str">
        <f>VLOOKUP($B1398,'FRS geographical categories'!$A$2:$C$45,3,FALSE)</f>
        <v>Non-metropolitan</v>
      </c>
      <c r="I1398" s="224">
        <v>44</v>
      </c>
    </row>
    <row r="1399" spans="1:9" ht="15.5" x14ac:dyDescent="0.35">
      <c r="A1399" s="224" t="s">
        <v>54</v>
      </c>
      <c r="B1399" s="224" t="s">
        <v>47</v>
      </c>
      <c r="C1399" s="224" t="s">
        <v>86</v>
      </c>
      <c r="D1399" s="224" t="s">
        <v>55</v>
      </c>
      <c r="E1399" s="224" t="s">
        <v>256</v>
      </c>
      <c r="F1399" s="224" t="s">
        <v>10</v>
      </c>
      <c r="G1399" s="223" t="str">
        <f>VLOOKUP($B1399,'FRS geographical categories'!$A$2:$C$45,2,FALSE)</f>
        <v>Predominantly Urban</v>
      </c>
      <c r="H1399" s="223" t="str">
        <f>VLOOKUP($B1399,'FRS geographical categories'!$A$2:$C$45,3,FALSE)</f>
        <v>Non-metropolitan</v>
      </c>
      <c r="I1399" s="224">
        <v>45</v>
      </c>
    </row>
    <row r="1400" spans="1:9" ht="15.5" x14ac:dyDescent="0.35">
      <c r="A1400" s="224" t="s">
        <v>54</v>
      </c>
      <c r="B1400" s="224" t="s">
        <v>47</v>
      </c>
      <c r="C1400" s="224" t="s">
        <v>89</v>
      </c>
      <c r="D1400" s="224" t="s">
        <v>9</v>
      </c>
      <c r="E1400" s="224" t="s">
        <v>256</v>
      </c>
      <c r="F1400" s="224" t="s">
        <v>248</v>
      </c>
      <c r="G1400" s="223" t="str">
        <f>VLOOKUP($B1400,'FRS geographical categories'!$A$2:$C$45,2,FALSE)</f>
        <v>Predominantly Urban</v>
      </c>
      <c r="H1400" s="223" t="str">
        <f>VLOOKUP($B1400,'FRS geographical categories'!$A$2:$C$45,3,FALSE)</f>
        <v>Non-metropolitan</v>
      </c>
      <c r="I1400" s="224">
        <v>0</v>
      </c>
    </row>
    <row r="1401" spans="1:9" ht="15.5" x14ac:dyDescent="0.35">
      <c r="A1401" s="224" t="s">
        <v>54</v>
      </c>
      <c r="B1401" s="224" t="s">
        <v>47</v>
      </c>
      <c r="C1401" s="224" t="s">
        <v>89</v>
      </c>
      <c r="D1401" s="224" t="s">
        <v>9</v>
      </c>
      <c r="E1401" s="224" t="s">
        <v>256</v>
      </c>
      <c r="F1401" s="224" t="s">
        <v>249</v>
      </c>
      <c r="G1401" s="223" t="str">
        <f>VLOOKUP($B1401,'FRS geographical categories'!$A$2:$C$45,2,FALSE)</f>
        <v>Predominantly Urban</v>
      </c>
      <c r="H1401" s="223" t="str">
        <f>VLOOKUP($B1401,'FRS geographical categories'!$A$2:$C$45,3,FALSE)</f>
        <v>Non-metropolitan</v>
      </c>
      <c r="I1401" s="224">
        <v>0</v>
      </c>
    </row>
    <row r="1402" spans="1:9" ht="15.5" x14ac:dyDescent="0.35">
      <c r="A1402" s="224" t="s">
        <v>54</v>
      </c>
      <c r="B1402" s="224" t="s">
        <v>47</v>
      </c>
      <c r="C1402" s="224" t="s">
        <v>89</v>
      </c>
      <c r="D1402" s="224" t="s">
        <v>9</v>
      </c>
      <c r="E1402" s="224" t="s">
        <v>256</v>
      </c>
      <c r="F1402" s="224" t="s">
        <v>250</v>
      </c>
      <c r="G1402" s="223" t="str">
        <f>VLOOKUP($B1402,'FRS geographical categories'!$A$2:$C$45,2,FALSE)</f>
        <v>Predominantly Urban</v>
      </c>
      <c r="H1402" s="223" t="str">
        <f>VLOOKUP($B1402,'FRS geographical categories'!$A$2:$C$45,3,FALSE)</f>
        <v>Non-metropolitan</v>
      </c>
      <c r="I1402" s="224">
        <v>0</v>
      </c>
    </row>
    <row r="1403" spans="1:9" ht="15.5" x14ac:dyDescent="0.35">
      <c r="A1403" s="224" t="s">
        <v>54</v>
      </c>
      <c r="B1403" s="224" t="s">
        <v>47</v>
      </c>
      <c r="C1403" s="224" t="s">
        <v>89</v>
      </c>
      <c r="D1403" s="224" t="s">
        <v>9</v>
      </c>
      <c r="E1403" s="224" t="s">
        <v>256</v>
      </c>
      <c r="F1403" s="224" t="s">
        <v>10</v>
      </c>
      <c r="G1403" s="223" t="str">
        <f>VLOOKUP($B1403,'FRS geographical categories'!$A$2:$C$45,2,FALSE)</f>
        <v>Predominantly Urban</v>
      </c>
      <c r="H1403" s="223" t="str">
        <f>VLOOKUP($B1403,'FRS geographical categories'!$A$2:$C$45,3,FALSE)</f>
        <v>Non-metropolitan</v>
      </c>
      <c r="I1403" s="224">
        <v>0</v>
      </c>
    </row>
    <row r="1404" spans="1:9" ht="15.5" x14ac:dyDescent="0.35">
      <c r="A1404" s="224" t="s">
        <v>54</v>
      </c>
      <c r="B1404" s="224" t="s">
        <v>47</v>
      </c>
      <c r="C1404" s="224" t="s">
        <v>89</v>
      </c>
      <c r="D1404" s="224" t="s">
        <v>55</v>
      </c>
      <c r="E1404" s="224" t="s">
        <v>256</v>
      </c>
      <c r="F1404" s="224" t="s">
        <v>248</v>
      </c>
      <c r="G1404" s="223" t="str">
        <f>VLOOKUP($B1404,'FRS geographical categories'!$A$2:$C$45,2,FALSE)</f>
        <v>Predominantly Urban</v>
      </c>
      <c r="H1404" s="223" t="str">
        <f>VLOOKUP($B1404,'FRS geographical categories'!$A$2:$C$45,3,FALSE)</f>
        <v>Non-metropolitan</v>
      </c>
      <c r="I1404" s="224">
        <v>0</v>
      </c>
    </row>
    <row r="1405" spans="1:9" ht="15.5" x14ac:dyDescent="0.35">
      <c r="A1405" s="224" t="s">
        <v>54</v>
      </c>
      <c r="B1405" s="224" t="s">
        <v>47</v>
      </c>
      <c r="C1405" s="224" t="s">
        <v>89</v>
      </c>
      <c r="D1405" s="224" t="s">
        <v>55</v>
      </c>
      <c r="E1405" s="224" t="s">
        <v>256</v>
      </c>
      <c r="F1405" s="224" t="s">
        <v>249</v>
      </c>
      <c r="G1405" s="223" t="str">
        <f>VLOOKUP($B1405,'FRS geographical categories'!$A$2:$C$45,2,FALSE)</f>
        <v>Predominantly Urban</v>
      </c>
      <c r="H1405" s="223" t="str">
        <f>VLOOKUP($B1405,'FRS geographical categories'!$A$2:$C$45,3,FALSE)</f>
        <v>Non-metropolitan</v>
      </c>
      <c r="I1405" s="224">
        <v>0</v>
      </c>
    </row>
    <row r="1406" spans="1:9" ht="15.5" x14ac:dyDescent="0.35">
      <c r="A1406" s="224" t="s">
        <v>54</v>
      </c>
      <c r="B1406" s="224" t="s">
        <v>47</v>
      </c>
      <c r="C1406" s="224" t="s">
        <v>89</v>
      </c>
      <c r="D1406" s="224" t="s">
        <v>55</v>
      </c>
      <c r="E1406" s="224" t="s">
        <v>256</v>
      </c>
      <c r="F1406" s="224" t="s">
        <v>250</v>
      </c>
      <c r="G1406" s="223" t="str">
        <f>VLOOKUP($B1406,'FRS geographical categories'!$A$2:$C$45,2,FALSE)</f>
        <v>Predominantly Urban</v>
      </c>
      <c r="H1406" s="223" t="str">
        <f>VLOOKUP($B1406,'FRS geographical categories'!$A$2:$C$45,3,FALSE)</f>
        <v>Non-metropolitan</v>
      </c>
      <c r="I1406" s="224">
        <v>0</v>
      </c>
    </row>
    <row r="1407" spans="1:9" ht="15.5" x14ac:dyDescent="0.35">
      <c r="A1407" s="224" t="s">
        <v>54</v>
      </c>
      <c r="B1407" s="224" t="s">
        <v>47</v>
      </c>
      <c r="C1407" s="224" t="s">
        <v>89</v>
      </c>
      <c r="D1407" s="224" t="s">
        <v>55</v>
      </c>
      <c r="E1407" s="224" t="s">
        <v>256</v>
      </c>
      <c r="F1407" s="224" t="s">
        <v>10</v>
      </c>
      <c r="G1407" s="223" t="str">
        <f>VLOOKUP($B1407,'FRS geographical categories'!$A$2:$C$45,2,FALSE)</f>
        <v>Predominantly Urban</v>
      </c>
      <c r="H1407" s="223" t="str">
        <f>VLOOKUP($B1407,'FRS geographical categories'!$A$2:$C$45,3,FALSE)</f>
        <v>Non-metropolitan</v>
      </c>
      <c r="I1407" s="224">
        <v>0</v>
      </c>
    </row>
    <row r="1408" spans="1:9" ht="15.5" x14ac:dyDescent="0.35">
      <c r="A1408" s="224" t="s">
        <v>54</v>
      </c>
      <c r="B1408" s="224" t="s">
        <v>48</v>
      </c>
      <c r="C1408" s="224" t="s">
        <v>86</v>
      </c>
      <c r="D1408" s="224" t="s">
        <v>9</v>
      </c>
      <c r="E1408" s="224" t="s">
        <v>256</v>
      </c>
      <c r="F1408" s="224" t="s">
        <v>248</v>
      </c>
      <c r="G1408" s="223" t="str">
        <f>VLOOKUP($B1408,'FRS geographical categories'!$A$2:$C$45,2,FALSE)</f>
        <v>Predominantly Urban</v>
      </c>
      <c r="H1408" s="223" t="str">
        <f>VLOOKUP($B1408,'FRS geographical categories'!$A$2:$C$45,3,FALSE)</f>
        <v>Metropolitan</v>
      </c>
      <c r="I1408" s="224">
        <v>38</v>
      </c>
    </row>
    <row r="1409" spans="1:9" ht="15.5" x14ac:dyDescent="0.35">
      <c r="A1409" s="224" t="s">
        <v>54</v>
      </c>
      <c r="B1409" s="224" t="s">
        <v>48</v>
      </c>
      <c r="C1409" s="224" t="s">
        <v>86</v>
      </c>
      <c r="D1409" s="224" t="s">
        <v>9</v>
      </c>
      <c r="E1409" s="224" t="s">
        <v>256</v>
      </c>
      <c r="F1409" s="224" t="s">
        <v>249</v>
      </c>
      <c r="G1409" s="223" t="str">
        <f>VLOOKUP($B1409,'FRS geographical categories'!$A$2:$C$45,2,FALSE)</f>
        <v>Predominantly Urban</v>
      </c>
      <c r="H1409" s="223" t="str">
        <f>VLOOKUP($B1409,'FRS geographical categories'!$A$2:$C$45,3,FALSE)</f>
        <v>Metropolitan</v>
      </c>
      <c r="I1409" s="224">
        <v>49</v>
      </c>
    </row>
    <row r="1410" spans="1:9" ht="15.5" x14ac:dyDescent="0.35">
      <c r="A1410" s="224" t="s">
        <v>54</v>
      </c>
      <c r="B1410" s="224" t="s">
        <v>48</v>
      </c>
      <c r="C1410" s="224" t="s">
        <v>86</v>
      </c>
      <c r="D1410" s="224" t="s">
        <v>9</v>
      </c>
      <c r="E1410" s="224" t="s">
        <v>256</v>
      </c>
      <c r="F1410" s="224" t="s">
        <v>250</v>
      </c>
      <c r="G1410" s="223" t="str">
        <f>VLOOKUP($B1410,'FRS geographical categories'!$A$2:$C$45,2,FALSE)</f>
        <v>Predominantly Urban</v>
      </c>
      <c r="H1410" s="223" t="str">
        <f>VLOOKUP($B1410,'FRS geographical categories'!$A$2:$C$45,3,FALSE)</f>
        <v>Metropolitan</v>
      </c>
      <c r="I1410" s="224">
        <v>103</v>
      </c>
    </row>
    <row r="1411" spans="1:9" ht="15.5" x14ac:dyDescent="0.35">
      <c r="A1411" s="224" t="s">
        <v>54</v>
      </c>
      <c r="B1411" s="224" t="s">
        <v>48</v>
      </c>
      <c r="C1411" s="224" t="s">
        <v>86</v>
      </c>
      <c r="D1411" s="224" t="s">
        <v>9</v>
      </c>
      <c r="E1411" s="224" t="s">
        <v>256</v>
      </c>
      <c r="F1411" s="224" t="s">
        <v>111</v>
      </c>
      <c r="G1411" s="223" t="str">
        <f>VLOOKUP($B1411,'FRS geographical categories'!$A$2:$C$45,2,FALSE)</f>
        <v>Predominantly Urban</v>
      </c>
      <c r="H1411" s="223" t="str">
        <f>VLOOKUP($B1411,'FRS geographical categories'!$A$2:$C$45,3,FALSE)</f>
        <v>Metropolitan</v>
      </c>
      <c r="I1411" s="224">
        <v>87</v>
      </c>
    </row>
    <row r="1412" spans="1:9" ht="15.5" x14ac:dyDescent="0.35">
      <c r="A1412" s="224" t="s">
        <v>54</v>
      </c>
      <c r="B1412" s="224" t="s">
        <v>48</v>
      </c>
      <c r="C1412" s="224" t="s">
        <v>86</v>
      </c>
      <c r="D1412" s="224" t="s">
        <v>9</v>
      </c>
      <c r="E1412" s="224" t="s">
        <v>256</v>
      </c>
      <c r="F1412" s="224" t="s">
        <v>10</v>
      </c>
      <c r="G1412" s="223" t="str">
        <f>VLOOKUP($B1412,'FRS geographical categories'!$A$2:$C$45,2,FALSE)</f>
        <v>Predominantly Urban</v>
      </c>
      <c r="H1412" s="223" t="str">
        <f>VLOOKUP($B1412,'FRS geographical categories'!$A$2:$C$45,3,FALSE)</f>
        <v>Metropolitan</v>
      </c>
      <c r="I1412" s="224">
        <v>575</v>
      </c>
    </row>
    <row r="1413" spans="1:9" ht="15.5" x14ac:dyDescent="0.35">
      <c r="A1413" s="224" t="s">
        <v>54</v>
      </c>
      <c r="B1413" s="224" t="s">
        <v>48</v>
      </c>
      <c r="C1413" s="224" t="s">
        <v>86</v>
      </c>
      <c r="D1413" s="224" t="s">
        <v>55</v>
      </c>
      <c r="E1413" s="224" t="s">
        <v>256</v>
      </c>
      <c r="F1413" s="224" t="s">
        <v>248</v>
      </c>
      <c r="G1413" s="223" t="str">
        <f>VLOOKUP($B1413,'FRS geographical categories'!$A$2:$C$45,2,FALSE)</f>
        <v>Predominantly Urban</v>
      </c>
      <c r="H1413" s="223" t="str">
        <f>VLOOKUP($B1413,'FRS geographical categories'!$A$2:$C$45,3,FALSE)</f>
        <v>Metropolitan</v>
      </c>
      <c r="I1413" s="224">
        <v>27</v>
      </c>
    </row>
    <row r="1414" spans="1:9" ht="15.5" x14ac:dyDescent="0.35">
      <c r="A1414" s="224" t="s">
        <v>54</v>
      </c>
      <c r="B1414" s="224" t="s">
        <v>48</v>
      </c>
      <c r="C1414" s="224" t="s">
        <v>86</v>
      </c>
      <c r="D1414" s="224" t="s">
        <v>55</v>
      </c>
      <c r="E1414" s="224" t="s">
        <v>256</v>
      </c>
      <c r="F1414" s="224" t="s">
        <v>249</v>
      </c>
      <c r="G1414" s="223" t="str">
        <f>VLOOKUP($B1414,'FRS geographical categories'!$A$2:$C$45,2,FALSE)</f>
        <v>Predominantly Urban</v>
      </c>
      <c r="H1414" s="223" t="str">
        <f>VLOOKUP($B1414,'FRS geographical categories'!$A$2:$C$45,3,FALSE)</f>
        <v>Metropolitan</v>
      </c>
      <c r="I1414" s="224">
        <v>72</v>
      </c>
    </row>
    <row r="1415" spans="1:9" ht="15.5" x14ac:dyDescent="0.35">
      <c r="A1415" s="224" t="s">
        <v>54</v>
      </c>
      <c r="B1415" s="224" t="s">
        <v>48</v>
      </c>
      <c r="C1415" s="224" t="s">
        <v>86</v>
      </c>
      <c r="D1415" s="224" t="s">
        <v>55</v>
      </c>
      <c r="E1415" s="224" t="s">
        <v>256</v>
      </c>
      <c r="F1415" s="224" t="s">
        <v>250</v>
      </c>
      <c r="G1415" s="223" t="str">
        <f>VLOOKUP($B1415,'FRS geographical categories'!$A$2:$C$45,2,FALSE)</f>
        <v>Predominantly Urban</v>
      </c>
      <c r="H1415" s="223" t="str">
        <f>VLOOKUP($B1415,'FRS geographical categories'!$A$2:$C$45,3,FALSE)</f>
        <v>Metropolitan</v>
      </c>
      <c r="I1415" s="224">
        <v>73</v>
      </c>
    </row>
    <row r="1416" spans="1:9" ht="15.5" x14ac:dyDescent="0.35">
      <c r="A1416" s="224" t="s">
        <v>54</v>
      </c>
      <c r="B1416" s="224" t="s">
        <v>48</v>
      </c>
      <c r="C1416" s="224" t="s">
        <v>86</v>
      </c>
      <c r="D1416" s="224" t="s">
        <v>55</v>
      </c>
      <c r="E1416" s="224" t="s">
        <v>256</v>
      </c>
      <c r="F1416" s="224" t="s">
        <v>111</v>
      </c>
      <c r="G1416" s="223" t="str">
        <f>VLOOKUP($B1416,'FRS geographical categories'!$A$2:$C$45,2,FALSE)</f>
        <v>Predominantly Urban</v>
      </c>
      <c r="H1416" s="223" t="str">
        <f>VLOOKUP($B1416,'FRS geographical categories'!$A$2:$C$45,3,FALSE)</f>
        <v>Metropolitan</v>
      </c>
      <c r="I1416" s="224">
        <v>99</v>
      </c>
    </row>
    <row r="1417" spans="1:9" ht="15.5" x14ac:dyDescent="0.35">
      <c r="A1417" s="224" t="s">
        <v>54</v>
      </c>
      <c r="B1417" s="224" t="s">
        <v>48</v>
      </c>
      <c r="C1417" s="224" t="s">
        <v>86</v>
      </c>
      <c r="D1417" s="224" t="s">
        <v>55</v>
      </c>
      <c r="E1417" s="224" t="s">
        <v>256</v>
      </c>
      <c r="F1417" s="224" t="s">
        <v>10</v>
      </c>
      <c r="G1417" s="223" t="str">
        <f>VLOOKUP($B1417,'FRS geographical categories'!$A$2:$C$45,2,FALSE)</f>
        <v>Predominantly Urban</v>
      </c>
      <c r="H1417" s="223" t="str">
        <f>VLOOKUP($B1417,'FRS geographical categories'!$A$2:$C$45,3,FALSE)</f>
        <v>Metropolitan</v>
      </c>
      <c r="I1417" s="224">
        <v>4316</v>
      </c>
    </row>
    <row r="1418" spans="1:9" ht="15.5" x14ac:dyDescent="0.35">
      <c r="A1418" s="224" t="s">
        <v>54</v>
      </c>
      <c r="B1418" s="224" t="s">
        <v>48</v>
      </c>
      <c r="C1418" s="224" t="s">
        <v>89</v>
      </c>
      <c r="D1418" s="224" t="s">
        <v>9</v>
      </c>
      <c r="E1418" s="224" t="s">
        <v>256</v>
      </c>
      <c r="F1418" s="224" t="s">
        <v>248</v>
      </c>
      <c r="G1418" s="223" t="str">
        <f>VLOOKUP($B1418,'FRS geographical categories'!$A$2:$C$45,2,FALSE)</f>
        <v>Predominantly Urban</v>
      </c>
      <c r="H1418" s="223" t="str">
        <f>VLOOKUP($B1418,'FRS geographical categories'!$A$2:$C$45,3,FALSE)</f>
        <v>Metropolitan</v>
      </c>
      <c r="I1418" s="224">
        <v>930</v>
      </c>
    </row>
    <row r="1419" spans="1:9" ht="15.5" x14ac:dyDescent="0.35">
      <c r="A1419" s="224" t="s">
        <v>54</v>
      </c>
      <c r="B1419" s="224" t="s">
        <v>48</v>
      </c>
      <c r="C1419" s="224" t="s">
        <v>89</v>
      </c>
      <c r="D1419" s="224" t="s">
        <v>9</v>
      </c>
      <c r="E1419" s="224" t="s">
        <v>256</v>
      </c>
      <c r="F1419" s="224" t="s">
        <v>249</v>
      </c>
      <c r="G1419" s="223" t="str">
        <f>VLOOKUP($B1419,'FRS geographical categories'!$A$2:$C$45,2,FALSE)</f>
        <v>Predominantly Urban</v>
      </c>
      <c r="H1419" s="223" t="str">
        <f>VLOOKUP($B1419,'FRS geographical categories'!$A$2:$C$45,3,FALSE)</f>
        <v>Metropolitan</v>
      </c>
      <c r="I1419" s="224">
        <v>583</v>
      </c>
    </row>
    <row r="1420" spans="1:9" ht="15.5" x14ac:dyDescent="0.35">
      <c r="A1420" s="224" t="s">
        <v>54</v>
      </c>
      <c r="B1420" s="224" t="s">
        <v>48</v>
      </c>
      <c r="C1420" s="224" t="s">
        <v>89</v>
      </c>
      <c r="D1420" s="224" t="s">
        <v>9</v>
      </c>
      <c r="E1420" s="224" t="s">
        <v>256</v>
      </c>
      <c r="F1420" s="224" t="s">
        <v>250</v>
      </c>
      <c r="G1420" s="223" t="str">
        <f>VLOOKUP($B1420,'FRS geographical categories'!$A$2:$C$45,2,FALSE)</f>
        <v>Predominantly Urban</v>
      </c>
      <c r="H1420" s="223" t="str">
        <f>VLOOKUP($B1420,'FRS geographical categories'!$A$2:$C$45,3,FALSE)</f>
        <v>Metropolitan</v>
      </c>
      <c r="I1420" s="224">
        <v>770</v>
      </c>
    </row>
    <row r="1421" spans="1:9" ht="15.5" x14ac:dyDescent="0.35">
      <c r="A1421" s="224" t="s">
        <v>54</v>
      </c>
      <c r="B1421" s="224" t="s">
        <v>48</v>
      </c>
      <c r="C1421" s="224" t="s">
        <v>89</v>
      </c>
      <c r="D1421" s="224" t="s">
        <v>9</v>
      </c>
      <c r="E1421" s="224" t="s">
        <v>256</v>
      </c>
      <c r="F1421" s="224" t="s">
        <v>10</v>
      </c>
      <c r="G1421" s="223" t="str">
        <f>VLOOKUP($B1421,'FRS geographical categories'!$A$2:$C$45,2,FALSE)</f>
        <v>Predominantly Urban</v>
      </c>
      <c r="H1421" s="223" t="str">
        <f>VLOOKUP($B1421,'FRS geographical categories'!$A$2:$C$45,3,FALSE)</f>
        <v>Metropolitan</v>
      </c>
      <c r="I1421" s="224">
        <v>6089</v>
      </c>
    </row>
    <row r="1422" spans="1:9" ht="15.5" x14ac:dyDescent="0.35">
      <c r="A1422" s="224" t="s">
        <v>54</v>
      </c>
      <c r="B1422" s="224" t="s">
        <v>48</v>
      </c>
      <c r="C1422" s="224" t="s">
        <v>89</v>
      </c>
      <c r="D1422" s="224" t="s">
        <v>55</v>
      </c>
      <c r="E1422" s="224" t="s">
        <v>256</v>
      </c>
      <c r="F1422" s="224" t="s">
        <v>248</v>
      </c>
      <c r="G1422" s="223" t="str">
        <f>VLOOKUP($B1422,'FRS geographical categories'!$A$2:$C$45,2,FALSE)</f>
        <v>Predominantly Urban</v>
      </c>
      <c r="H1422" s="223" t="str">
        <f>VLOOKUP($B1422,'FRS geographical categories'!$A$2:$C$45,3,FALSE)</f>
        <v>Metropolitan</v>
      </c>
      <c r="I1422" s="224">
        <v>0</v>
      </c>
    </row>
    <row r="1423" spans="1:9" ht="15.5" x14ac:dyDescent="0.35">
      <c r="A1423" s="224" t="s">
        <v>54</v>
      </c>
      <c r="B1423" s="224" t="s">
        <v>48</v>
      </c>
      <c r="C1423" s="224" t="s">
        <v>89</v>
      </c>
      <c r="D1423" s="224" t="s">
        <v>55</v>
      </c>
      <c r="E1423" s="224" t="s">
        <v>256</v>
      </c>
      <c r="F1423" s="224" t="s">
        <v>249</v>
      </c>
      <c r="G1423" s="223" t="str">
        <f>VLOOKUP($B1423,'FRS geographical categories'!$A$2:$C$45,2,FALSE)</f>
        <v>Predominantly Urban</v>
      </c>
      <c r="H1423" s="223" t="str">
        <f>VLOOKUP($B1423,'FRS geographical categories'!$A$2:$C$45,3,FALSE)</f>
        <v>Metropolitan</v>
      </c>
      <c r="I1423" s="224">
        <v>0</v>
      </c>
    </row>
    <row r="1424" spans="1:9" ht="15.5" x14ac:dyDescent="0.35">
      <c r="A1424" s="224" t="s">
        <v>54</v>
      </c>
      <c r="B1424" s="224" t="s">
        <v>48</v>
      </c>
      <c r="C1424" s="224" t="s">
        <v>89</v>
      </c>
      <c r="D1424" s="224" t="s">
        <v>55</v>
      </c>
      <c r="E1424" s="224" t="s">
        <v>256</v>
      </c>
      <c r="F1424" s="224" t="s">
        <v>250</v>
      </c>
      <c r="G1424" s="223" t="str">
        <f>VLOOKUP($B1424,'FRS geographical categories'!$A$2:$C$45,2,FALSE)</f>
        <v>Predominantly Urban</v>
      </c>
      <c r="H1424" s="223" t="str">
        <f>VLOOKUP($B1424,'FRS geographical categories'!$A$2:$C$45,3,FALSE)</f>
        <v>Metropolitan</v>
      </c>
      <c r="I1424" s="224">
        <v>0</v>
      </c>
    </row>
    <row r="1425" spans="1:9" ht="15.5" x14ac:dyDescent="0.35">
      <c r="A1425" s="224" t="s">
        <v>54</v>
      </c>
      <c r="B1425" s="224" t="s">
        <v>48</v>
      </c>
      <c r="C1425" s="224" t="s">
        <v>89</v>
      </c>
      <c r="D1425" s="224" t="s">
        <v>55</v>
      </c>
      <c r="E1425" s="224" t="s">
        <v>256</v>
      </c>
      <c r="F1425" s="224" t="s">
        <v>10</v>
      </c>
      <c r="G1425" s="223" t="str">
        <f>VLOOKUP($B1425,'FRS geographical categories'!$A$2:$C$45,2,FALSE)</f>
        <v>Predominantly Urban</v>
      </c>
      <c r="H1425" s="223" t="str">
        <f>VLOOKUP($B1425,'FRS geographical categories'!$A$2:$C$45,3,FALSE)</f>
        <v>Metropolitan</v>
      </c>
      <c r="I1425" s="224">
        <v>0</v>
      </c>
    </row>
    <row r="1426" spans="1:9" ht="15.5" x14ac:dyDescent="0.35">
      <c r="A1426" s="224" t="s">
        <v>54</v>
      </c>
      <c r="B1426" s="224" t="s">
        <v>49</v>
      </c>
      <c r="C1426" s="224" t="s">
        <v>86</v>
      </c>
      <c r="D1426" s="224" t="s">
        <v>9</v>
      </c>
      <c r="E1426" s="224" t="s">
        <v>256</v>
      </c>
      <c r="F1426" s="224" t="s">
        <v>248</v>
      </c>
      <c r="G1426" s="223" t="str">
        <f>VLOOKUP($B1426,'FRS geographical categories'!$A$2:$C$45,2,FALSE)</f>
        <v>Significantly Rural</v>
      </c>
      <c r="H1426" s="223" t="str">
        <f>VLOOKUP($B1426,'FRS geographical categories'!$A$2:$C$45,3,FALSE)</f>
        <v>Non-metropolitan</v>
      </c>
      <c r="I1426" s="224">
        <v>36</v>
      </c>
    </row>
    <row r="1427" spans="1:9" ht="15.5" x14ac:dyDescent="0.35">
      <c r="A1427" s="224" t="s">
        <v>54</v>
      </c>
      <c r="B1427" s="224" t="s">
        <v>49</v>
      </c>
      <c r="C1427" s="224" t="s">
        <v>86</v>
      </c>
      <c r="D1427" s="224" t="s">
        <v>9</v>
      </c>
      <c r="E1427" s="224" t="s">
        <v>256</v>
      </c>
      <c r="F1427" s="224" t="s">
        <v>249</v>
      </c>
      <c r="G1427" s="223" t="str">
        <f>VLOOKUP($B1427,'FRS geographical categories'!$A$2:$C$45,2,FALSE)</f>
        <v>Significantly Rural</v>
      </c>
      <c r="H1427" s="223" t="str">
        <f>VLOOKUP($B1427,'FRS geographical categories'!$A$2:$C$45,3,FALSE)</f>
        <v>Non-metropolitan</v>
      </c>
      <c r="I1427" s="224">
        <v>354</v>
      </c>
    </row>
    <row r="1428" spans="1:9" ht="15.5" x14ac:dyDescent="0.35">
      <c r="A1428" s="224" t="s">
        <v>54</v>
      </c>
      <c r="B1428" s="224" t="s">
        <v>49</v>
      </c>
      <c r="C1428" s="224" t="s">
        <v>86</v>
      </c>
      <c r="D1428" s="224" t="s">
        <v>9</v>
      </c>
      <c r="E1428" s="224" t="s">
        <v>256</v>
      </c>
      <c r="F1428" s="224" t="s">
        <v>250</v>
      </c>
      <c r="G1428" s="223" t="str">
        <f>VLOOKUP($B1428,'FRS geographical categories'!$A$2:$C$45,2,FALSE)</f>
        <v>Significantly Rural</v>
      </c>
      <c r="H1428" s="223" t="str">
        <f>VLOOKUP($B1428,'FRS geographical categories'!$A$2:$C$45,3,FALSE)</f>
        <v>Non-metropolitan</v>
      </c>
      <c r="I1428" s="224">
        <v>0</v>
      </c>
    </row>
    <row r="1429" spans="1:9" ht="15.5" x14ac:dyDescent="0.35">
      <c r="A1429" s="224" t="s">
        <v>54</v>
      </c>
      <c r="B1429" s="224" t="s">
        <v>49</v>
      </c>
      <c r="C1429" s="224" t="s">
        <v>86</v>
      </c>
      <c r="D1429" s="224" t="s">
        <v>9</v>
      </c>
      <c r="E1429" s="224" t="s">
        <v>256</v>
      </c>
      <c r="F1429" s="224" t="s">
        <v>111</v>
      </c>
      <c r="G1429" s="223" t="str">
        <f>VLOOKUP($B1429,'FRS geographical categories'!$A$2:$C$45,2,FALSE)</f>
        <v>Significantly Rural</v>
      </c>
      <c r="H1429" s="223" t="str">
        <f>VLOOKUP($B1429,'FRS geographical categories'!$A$2:$C$45,3,FALSE)</f>
        <v>Non-metropolitan</v>
      </c>
      <c r="I1429" s="224">
        <v>390</v>
      </c>
    </row>
    <row r="1430" spans="1:9" ht="15.5" x14ac:dyDescent="0.35">
      <c r="A1430" s="224" t="s">
        <v>54</v>
      </c>
      <c r="B1430" s="224" t="s">
        <v>49</v>
      </c>
      <c r="C1430" s="224" t="s">
        <v>86</v>
      </c>
      <c r="D1430" s="224" t="s">
        <v>9</v>
      </c>
      <c r="E1430" s="224" t="s">
        <v>256</v>
      </c>
      <c r="F1430" s="224" t="s">
        <v>10</v>
      </c>
      <c r="G1430" s="223" t="str">
        <f>VLOOKUP($B1430,'FRS geographical categories'!$A$2:$C$45,2,FALSE)</f>
        <v>Significantly Rural</v>
      </c>
      <c r="H1430" s="223" t="str">
        <f>VLOOKUP($B1430,'FRS geographical categories'!$A$2:$C$45,3,FALSE)</f>
        <v>Non-metropolitan</v>
      </c>
      <c r="I1430" s="224">
        <v>390</v>
      </c>
    </row>
    <row r="1431" spans="1:9" ht="15.5" x14ac:dyDescent="0.35">
      <c r="A1431" s="224" t="s">
        <v>54</v>
      </c>
      <c r="B1431" s="224" t="s">
        <v>49</v>
      </c>
      <c r="C1431" s="224" t="s">
        <v>86</v>
      </c>
      <c r="D1431" s="224" t="s">
        <v>55</v>
      </c>
      <c r="E1431" s="224" t="s">
        <v>256</v>
      </c>
      <c r="F1431" s="224" t="s">
        <v>248</v>
      </c>
      <c r="G1431" s="223" t="str">
        <f>VLOOKUP($B1431,'FRS geographical categories'!$A$2:$C$45,2,FALSE)</f>
        <v>Significantly Rural</v>
      </c>
      <c r="H1431" s="223" t="str">
        <f>VLOOKUP($B1431,'FRS geographical categories'!$A$2:$C$45,3,FALSE)</f>
        <v>Non-metropolitan</v>
      </c>
      <c r="I1431" s="224">
        <v>226</v>
      </c>
    </row>
    <row r="1432" spans="1:9" ht="15.5" x14ac:dyDescent="0.35">
      <c r="A1432" s="224" t="s">
        <v>54</v>
      </c>
      <c r="B1432" s="224" t="s">
        <v>49</v>
      </c>
      <c r="C1432" s="224" t="s">
        <v>86</v>
      </c>
      <c r="D1432" s="224" t="s">
        <v>55</v>
      </c>
      <c r="E1432" s="224" t="s">
        <v>256</v>
      </c>
      <c r="F1432" s="224" t="s">
        <v>249</v>
      </c>
      <c r="G1432" s="223" t="str">
        <f>VLOOKUP($B1432,'FRS geographical categories'!$A$2:$C$45,2,FALSE)</f>
        <v>Significantly Rural</v>
      </c>
      <c r="H1432" s="223" t="str">
        <f>VLOOKUP($B1432,'FRS geographical categories'!$A$2:$C$45,3,FALSE)</f>
        <v>Non-metropolitan</v>
      </c>
      <c r="I1432" s="224">
        <v>211</v>
      </c>
    </row>
    <row r="1433" spans="1:9" ht="15.5" x14ac:dyDescent="0.35">
      <c r="A1433" s="224" t="s">
        <v>54</v>
      </c>
      <c r="B1433" s="224" t="s">
        <v>49</v>
      </c>
      <c r="C1433" s="224" t="s">
        <v>86</v>
      </c>
      <c r="D1433" s="224" t="s">
        <v>55</v>
      </c>
      <c r="E1433" s="224" t="s">
        <v>256</v>
      </c>
      <c r="F1433" s="224" t="s">
        <v>250</v>
      </c>
      <c r="G1433" s="223" t="str">
        <f>VLOOKUP($B1433,'FRS geographical categories'!$A$2:$C$45,2,FALSE)</f>
        <v>Significantly Rural</v>
      </c>
      <c r="H1433" s="223" t="str">
        <f>VLOOKUP($B1433,'FRS geographical categories'!$A$2:$C$45,3,FALSE)</f>
        <v>Non-metropolitan</v>
      </c>
      <c r="I1433" s="224">
        <v>503</v>
      </c>
    </row>
    <row r="1434" spans="1:9" ht="15.5" x14ac:dyDescent="0.35">
      <c r="A1434" s="224" t="s">
        <v>54</v>
      </c>
      <c r="B1434" s="224" t="s">
        <v>49</v>
      </c>
      <c r="C1434" s="224" t="s">
        <v>86</v>
      </c>
      <c r="D1434" s="224" t="s">
        <v>55</v>
      </c>
      <c r="E1434" s="224" t="s">
        <v>256</v>
      </c>
      <c r="F1434" s="224" t="s">
        <v>111</v>
      </c>
      <c r="G1434" s="223" t="str">
        <f>VLOOKUP($B1434,'FRS geographical categories'!$A$2:$C$45,2,FALSE)</f>
        <v>Significantly Rural</v>
      </c>
      <c r="H1434" s="223" t="str">
        <f>VLOOKUP($B1434,'FRS geographical categories'!$A$2:$C$45,3,FALSE)</f>
        <v>Non-metropolitan</v>
      </c>
      <c r="I1434" s="224">
        <v>940</v>
      </c>
    </row>
    <row r="1435" spans="1:9" ht="15.5" x14ac:dyDescent="0.35">
      <c r="A1435" s="224" t="s">
        <v>54</v>
      </c>
      <c r="B1435" s="224" t="s">
        <v>49</v>
      </c>
      <c r="C1435" s="224" t="s">
        <v>86</v>
      </c>
      <c r="D1435" s="224" t="s">
        <v>55</v>
      </c>
      <c r="E1435" s="224" t="s">
        <v>256</v>
      </c>
      <c r="F1435" s="224" t="s">
        <v>10</v>
      </c>
      <c r="G1435" s="223" t="str">
        <f>VLOOKUP($B1435,'FRS geographical categories'!$A$2:$C$45,2,FALSE)</f>
        <v>Significantly Rural</v>
      </c>
      <c r="H1435" s="223" t="str">
        <f>VLOOKUP($B1435,'FRS geographical categories'!$A$2:$C$45,3,FALSE)</f>
        <v>Non-metropolitan</v>
      </c>
      <c r="I1435" s="224">
        <v>940</v>
      </c>
    </row>
    <row r="1436" spans="1:9" ht="15.5" x14ac:dyDescent="0.35">
      <c r="A1436" s="224" t="s">
        <v>54</v>
      </c>
      <c r="B1436" s="224" t="s">
        <v>49</v>
      </c>
      <c r="C1436" s="224" t="s">
        <v>89</v>
      </c>
      <c r="D1436" s="224" t="s">
        <v>9</v>
      </c>
      <c r="E1436" s="224" t="s">
        <v>256</v>
      </c>
      <c r="F1436" s="224" t="s">
        <v>248</v>
      </c>
      <c r="G1436" s="223" t="str">
        <f>VLOOKUP($B1436,'FRS geographical categories'!$A$2:$C$45,2,FALSE)</f>
        <v>Significantly Rural</v>
      </c>
      <c r="H1436" s="223" t="str">
        <f>VLOOKUP($B1436,'FRS geographical categories'!$A$2:$C$45,3,FALSE)</f>
        <v>Non-metropolitan</v>
      </c>
      <c r="I1436" s="224">
        <v>0</v>
      </c>
    </row>
    <row r="1437" spans="1:9" ht="15.5" x14ac:dyDescent="0.35">
      <c r="A1437" s="224" t="s">
        <v>54</v>
      </c>
      <c r="B1437" s="224" t="s">
        <v>49</v>
      </c>
      <c r="C1437" s="224" t="s">
        <v>89</v>
      </c>
      <c r="D1437" s="224" t="s">
        <v>9</v>
      </c>
      <c r="E1437" s="224" t="s">
        <v>256</v>
      </c>
      <c r="F1437" s="224" t="s">
        <v>249</v>
      </c>
      <c r="G1437" s="223" t="str">
        <f>VLOOKUP($B1437,'FRS geographical categories'!$A$2:$C$45,2,FALSE)</f>
        <v>Significantly Rural</v>
      </c>
      <c r="H1437" s="223" t="str">
        <f>VLOOKUP($B1437,'FRS geographical categories'!$A$2:$C$45,3,FALSE)</f>
        <v>Non-metropolitan</v>
      </c>
      <c r="I1437" s="224">
        <v>0</v>
      </c>
    </row>
    <row r="1438" spans="1:9" ht="15.5" x14ac:dyDescent="0.35">
      <c r="A1438" s="224" t="s">
        <v>54</v>
      </c>
      <c r="B1438" s="224" t="s">
        <v>49</v>
      </c>
      <c r="C1438" s="224" t="s">
        <v>89</v>
      </c>
      <c r="D1438" s="224" t="s">
        <v>9</v>
      </c>
      <c r="E1438" s="224" t="s">
        <v>256</v>
      </c>
      <c r="F1438" s="224" t="s">
        <v>250</v>
      </c>
      <c r="G1438" s="223" t="str">
        <f>VLOOKUP($B1438,'FRS geographical categories'!$A$2:$C$45,2,FALSE)</f>
        <v>Significantly Rural</v>
      </c>
      <c r="H1438" s="223" t="str">
        <f>VLOOKUP($B1438,'FRS geographical categories'!$A$2:$C$45,3,FALSE)</f>
        <v>Non-metropolitan</v>
      </c>
      <c r="I1438" s="224">
        <v>0</v>
      </c>
    </row>
    <row r="1439" spans="1:9" ht="15.5" x14ac:dyDescent="0.35">
      <c r="A1439" s="224" t="s">
        <v>54</v>
      </c>
      <c r="B1439" s="224" t="s">
        <v>49</v>
      </c>
      <c r="C1439" s="224" t="s">
        <v>89</v>
      </c>
      <c r="D1439" s="224" t="s">
        <v>9</v>
      </c>
      <c r="E1439" s="224" t="s">
        <v>256</v>
      </c>
      <c r="F1439" s="224" t="s">
        <v>10</v>
      </c>
      <c r="G1439" s="223" t="str">
        <f>VLOOKUP($B1439,'FRS geographical categories'!$A$2:$C$45,2,FALSE)</f>
        <v>Significantly Rural</v>
      </c>
      <c r="H1439" s="223" t="str">
        <f>VLOOKUP($B1439,'FRS geographical categories'!$A$2:$C$45,3,FALSE)</f>
        <v>Non-metropolitan</v>
      </c>
      <c r="I1439" s="224">
        <v>0</v>
      </c>
    </row>
    <row r="1440" spans="1:9" ht="15.5" x14ac:dyDescent="0.35">
      <c r="A1440" s="224" t="s">
        <v>54</v>
      </c>
      <c r="B1440" s="224" t="s">
        <v>49</v>
      </c>
      <c r="C1440" s="224" t="s">
        <v>89</v>
      </c>
      <c r="D1440" s="224" t="s">
        <v>55</v>
      </c>
      <c r="E1440" s="224" t="s">
        <v>256</v>
      </c>
      <c r="F1440" s="224" t="s">
        <v>248</v>
      </c>
      <c r="G1440" s="223" t="str">
        <f>VLOOKUP($B1440,'FRS geographical categories'!$A$2:$C$45,2,FALSE)</f>
        <v>Significantly Rural</v>
      </c>
      <c r="H1440" s="223" t="str">
        <f>VLOOKUP($B1440,'FRS geographical categories'!$A$2:$C$45,3,FALSE)</f>
        <v>Non-metropolitan</v>
      </c>
      <c r="I1440" s="224">
        <v>0</v>
      </c>
    </row>
    <row r="1441" spans="1:9" ht="15.5" x14ac:dyDescent="0.35">
      <c r="A1441" s="224" t="s">
        <v>54</v>
      </c>
      <c r="B1441" s="224" t="s">
        <v>49</v>
      </c>
      <c r="C1441" s="224" t="s">
        <v>89</v>
      </c>
      <c r="D1441" s="224" t="s">
        <v>55</v>
      </c>
      <c r="E1441" s="224" t="s">
        <v>256</v>
      </c>
      <c r="F1441" s="224" t="s">
        <v>249</v>
      </c>
      <c r="G1441" s="223" t="str">
        <f>VLOOKUP($B1441,'FRS geographical categories'!$A$2:$C$45,2,FALSE)</f>
        <v>Significantly Rural</v>
      </c>
      <c r="H1441" s="223" t="str">
        <f>VLOOKUP($B1441,'FRS geographical categories'!$A$2:$C$45,3,FALSE)</f>
        <v>Non-metropolitan</v>
      </c>
      <c r="I1441" s="224">
        <v>0</v>
      </c>
    </row>
    <row r="1442" spans="1:9" ht="15.5" x14ac:dyDescent="0.35">
      <c r="A1442" s="224" t="s">
        <v>54</v>
      </c>
      <c r="B1442" s="224" t="s">
        <v>49</v>
      </c>
      <c r="C1442" s="224" t="s">
        <v>89</v>
      </c>
      <c r="D1442" s="224" t="s">
        <v>55</v>
      </c>
      <c r="E1442" s="224" t="s">
        <v>256</v>
      </c>
      <c r="F1442" s="224" t="s">
        <v>250</v>
      </c>
      <c r="G1442" s="223" t="str">
        <f>VLOOKUP($B1442,'FRS geographical categories'!$A$2:$C$45,2,FALSE)</f>
        <v>Significantly Rural</v>
      </c>
      <c r="H1442" s="223" t="str">
        <f>VLOOKUP($B1442,'FRS geographical categories'!$A$2:$C$45,3,FALSE)</f>
        <v>Non-metropolitan</v>
      </c>
      <c r="I1442" s="224">
        <v>0</v>
      </c>
    </row>
    <row r="1443" spans="1:9" ht="15.5" x14ac:dyDescent="0.35">
      <c r="A1443" s="224" t="s">
        <v>54</v>
      </c>
      <c r="B1443" s="224" t="s">
        <v>49</v>
      </c>
      <c r="C1443" s="224" t="s">
        <v>89</v>
      </c>
      <c r="D1443" s="224" t="s">
        <v>55</v>
      </c>
      <c r="E1443" s="224" t="s">
        <v>256</v>
      </c>
      <c r="F1443" s="224" t="s">
        <v>10</v>
      </c>
      <c r="G1443" s="223" t="str">
        <f>VLOOKUP($B1443,'FRS geographical categories'!$A$2:$C$45,2,FALSE)</f>
        <v>Significantly Rural</v>
      </c>
      <c r="H1443" s="223" t="str">
        <f>VLOOKUP($B1443,'FRS geographical categories'!$A$2:$C$45,3,FALSE)</f>
        <v>Non-metropolitan</v>
      </c>
      <c r="I1443" s="224">
        <v>0</v>
      </c>
    </row>
    <row r="1444" spans="1:9" ht="15.5" x14ac:dyDescent="0.35">
      <c r="A1444" s="224" t="s">
        <v>54</v>
      </c>
      <c r="B1444" s="224" t="s">
        <v>50</v>
      </c>
      <c r="C1444" s="224" t="s">
        <v>86</v>
      </c>
      <c r="D1444" s="224" t="s">
        <v>9</v>
      </c>
      <c r="E1444" s="224" t="s">
        <v>256</v>
      </c>
      <c r="F1444" s="224" t="s">
        <v>248</v>
      </c>
      <c r="G1444" s="223" t="str">
        <f>VLOOKUP($B1444,'FRS geographical categories'!$A$2:$C$45,2,FALSE)</f>
        <v>Predominantly Urban</v>
      </c>
      <c r="H1444" s="223" t="str">
        <f>VLOOKUP($B1444,'FRS geographical categories'!$A$2:$C$45,3,FALSE)</f>
        <v>Metropolitan</v>
      </c>
      <c r="I1444" s="224">
        <v>2953</v>
      </c>
    </row>
    <row r="1445" spans="1:9" ht="15.5" x14ac:dyDescent="0.35">
      <c r="A1445" s="224" t="s">
        <v>54</v>
      </c>
      <c r="B1445" s="224" t="s">
        <v>50</v>
      </c>
      <c r="C1445" s="224" t="s">
        <v>86</v>
      </c>
      <c r="D1445" s="224" t="s">
        <v>9</v>
      </c>
      <c r="E1445" s="224" t="s">
        <v>256</v>
      </c>
      <c r="F1445" s="224" t="s">
        <v>249</v>
      </c>
      <c r="G1445" s="223" t="str">
        <f>VLOOKUP($B1445,'FRS geographical categories'!$A$2:$C$45,2,FALSE)</f>
        <v>Predominantly Urban</v>
      </c>
      <c r="H1445" s="223" t="str">
        <f>VLOOKUP($B1445,'FRS geographical categories'!$A$2:$C$45,3,FALSE)</f>
        <v>Metropolitan</v>
      </c>
      <c r="I1445" s="224">
        <v>6985</v>
      </c>
    </row>
    <row r="1446" spans="1:9" ht="15.5" x14ac:dyDescent="0.35">
      <c r="A1446" s="224" t="s">
        <v>54</v>
      </c>
      <c r="B1446" s="224" t="s">
        <v>50</v>
      </c>
      <c r="C1446" s="224" t="s">
        <v>86</v>
      </c>
      <c r="D1446" s="224" t="s">
        <v>9</v>
      </c>
      <c r="E1446" s="224" t="s">
        <v>256</v>
      </c>
      <c r="F1446" s="224" t="s">
        <v>250</v>
      </c>
      <c r="G1446" s="223" t="str">
        <f>VLOOKUP($B1446,'FRS geographical categories'!$A$2:$C$45,2,FALSE)</f>
        <v>Predominantly Urban</v>
      </c>
      <c r="H1446" s="223" t="str">
        <f>VLOOKUP($B1446,'FRS geographical categories'!$A$2:$C$45,3,FALSE)</f>
        <v>Metropolitan</v>
      </c>
      <c r="I1446" s="224">
        <v>409</v>
      </c>
    </row>
    <row r="1447" spans="1:9" ht="15.5" x14ac:dyDescent="0.35">
      <c r="A1447" s="224" t="s">
        <v>54</v>
      </c>
      <c r="B1447" s="224" t="s">
        <v>50</v>
      </c>
      <c r="C1447" s="224" t="s">
        <v>86</v>
      </c>
      <c r="D1447" s="224" t="s">
        <v>9</v>
      </c>
      <c r="E1447" s="224" t="s">
        <v>256</v>
      </c>
      <c r="F1447" s="224" t="s">
        <v>111</v>
      </c>
      <c r="G1447" s="223" t="str">
        <f>VLOOKUP($B1447,'FRS geographical categories'!$A$2:$C$45,2,FALSE)</f>
        <v>Predominantly Urban</v>
      </c>
      <c r="H1447" s="223" t="str">
        <f>VLOOKUP($B1447,'FRS geographical categories'!$A$2:$C$45,3,FALSE)</f>
        <v>Metropolitan</v>
      </c>
      <c r="I1447" s="224">
        <v>0</v>
      </c>
    </row>
    <row r="1448" spans="1:9" ht="15.5" x14ac:dyDescent="0.35">
      <c r="A1448" s="224" t="s">
        <v>54</v>
      </c>
      <c r="B1448" s="224" t="s">
        <v>50</v>
      </c>
      <c r="C1448" s="224" t="s">
        <v>86</v>
      </c>
      <c r="D1448" s="224" t="s">
        <v>9</v>
      </c>
      <c r="E1448" s="224" t="s">
        <v>256</v>
      </c>
      <c r="F1448" s="224" t="s">
        <v>10</v>
      </c>
      <c r="G1448" s="223" t="str">
        <f>VLOOKUP($B1448,'FRS geographical categories'!$A$2:$C$45,2,FALSE)</f>
        <v>Predominantly Urban</v>
      </c>
      <c r="H1448" s="223" t="str">
        <f>VLOOKUP($B1448,'FRS geographical categories'!$A$2:$C$45,3,FALSE)</f>
        <v>Metropolitan</v>
      </c>
      <c r="I1448" s="224">
        <v>10957</v>
      </c>
    </row>
    <row r="1449" spans="1:9" ht="15.5" x14ac:dyDescent="0.35">
      <c r="A1449" s="224" t="s">
        <v>54</v>
      </c>
      <c r="B1449" s="224" t="s">
        <v>50</v>
      </c>
      <c r="C1449" s="224" t="s">
        <v>86</v>
      </c>
      <c r="D1449" s="224" t="s">
        <v>55</v>
      </c>
      <c r="E1449" s="224" t="s">
        <v>256</v>
      </c>
      <c r="F1449" s="224" t="s">
        <v>248</v>
      </c>
      <c r="G1449" s="223" t="str">
        <f>VLOOKUP($B1449,'FRS geographical categories'!$A$2:$C$45,2,FALSE)</f>
        <v>Predominantly Urban</v>
      </c>
      <c r="H1449" s="223" t="str">
        <f>VLOOKUP($B1449,'FRS geographical categories'!$A$2:$C$45,3,FALSE)</f>
        <v>Metropolitan</v>
      </c>
      <c r="I1449" s="224">
        <v>0</v>
      </c>
    </row>
    <row r="1450" spans="1:9" ht="15.5" x14ac:dyDescent="0.35">
      <c r="A1450" s="224" t="s">
        <v>54</v>
      </c>
      <c r="B1450" s="224" t="s">
        <v>50</v>
      </c>
      <c r="C1450" s="224" t="s">
        <v>86</v>
      </c>
      <c r="D1450" s="224" t="s">
        <v>55</v>
      </c>
      <c r="E1450" s="224" t="s">
        <v>256</v>
      </c>
      <c r="F1450" s="224" t="s">
        <v>249</v>
      </c>
      <c r="G1450" s="223" t="str">
        <f>VLOOKUP($B1450,'FRS geographical categories'!$A$2:$C$45,2,FALSE)</f>
        <v>Predominantly Urban</v>
      </c>
      <c r="H1450" s="223" t="str">
        <f>VLOOKUP($B1450,'FRS geographical categories'!$A$2:$C$45,3,FALSE)</f>
        <v>Metropolitan</v>
      </c>
      <c r="I1450" s="224">
        <v>0</v>
      </c>
    </row>
    <row r="1451" spans="1:9" ht="15.5" x14ac:dyDescent="0.35">
      <c r="A1451" s="224" t="s">
        <v>54</v>
      </c>
      <c r="B1451" s="224" t="s">
        <v>50</v>
      </c>
      <c r="C1451" s="224" t="s">
        <v>86</v>
      </c>
      <c r="D1451" s="224" t="s">
        <v>55</v>
      </c>
      <c r="E1451" s="224" t="s">
        <v>256</v>
      </c>
      <c r="F1451" s="224" t="s">
        <v>250</v>
      </c>
      <c r="G1451" s="223" t="str">
        <f>VLOOKUP($B1451,'FRS geographical categories'!$A$2:$C$45,2,FALSE)</f>
        <v>Predominantly Urban</v>
      </c>
      <c r="H1451" s="223" t="str">
        <f>VLOOKUP($B1451,'FRS geographical categories'!$A$2:$C$45,3,FALSE)</f>
        <v>Metropolitan</v>
      </c>
      <c r="I1451" s="224">
        <v>0</v>
      </c>
    </row>
    <row r="1452" spans="1:9" ht="15.5" x14ac:dyDescent="0.35">
      <c r="A1452" s="224" t="s">
        <v>54</v>
      </c>
      <c r="B1452" s="224" t="s">
        <v>50</v>
      </c>
      <c r="C1452" s="224" t="s">
        <v>86</v>
      </c>
      <c r="D1452" s="224" t="s">
        <v>55</v>
      </c>
      <c r="E1452" s="224" t="s">
        <v>256</v>
      </c>
      <c r="F1452" s="224" t="s">
        <v>111</v>
      </c>
      <c r="G1452" s="223" t="str">
        <f>VLOOKUP($B1452,'FRS geographical categories'!$A$2:$C$45,2,FALSE)</f>
        <v>Predominantly Urban</v>
      </c>
      <c r="H1452" s="223" t="str">
        <f>VLOOKUP($B1452,'FRS geographical categories'!$A$2:$C$45,3,FALSE)</f>
        <v>Metropolitan</v>
      </c>
      <c r="I1452" s="224">
        <v>0</v>
      </c>
    </row>
    <row r="1453" spans="1:9" ht="15.5" x14ac:dyDescent="0.35">
      <c r="A1453" s="224" t="s">
        <v>54</v>
      </c>
      <c r="B1453" s="224" t="s">
        <v>50</v>
      </c>
      <c r="C1453" s="224" t="s">
        <v>86</v>
      </c>
      <c r="D1453" s="224" t="s">
        <v>55</v>
      </c>
      <c r="E1453" s="224" t="s">
        <v>256</v>
      </c>
      <c r="F1453" s="224" t="s">
        <v>10</v>
      </c>
      <c r="G1453" s="223" t="str">
        <f>VLOOKUP($B1453,'FRS geographical categories'!$A$2:$C$45,2,FALSE)</f>
        <v>Predominantly Urban</v>
      </c>
      <c r="H1453" s="223" t="str">
        <f>VLOOKUP($B1453,'FRS geographical categories'!$A$2:$C$45,3,FALSE)</f>
        <v>Metropolitan</v>
      </c>
      <c r="I1453" s="224">
        <v>7465</v>
      </c>
    </row>
    <row r="1454" spans="1:9" ht="15.5" x14ac:dyDescent="0.35">
      <c r="A1454" s="224" t="s">
        <v>54</v>
      </c>
      <c r="B1454" s="224" t="s">
        <v>50</v>
      </c>
      <c r="C1454" s="224" t="s">
        <v>89</v>
      </c>
      <c r="D1454" s="224" t="s">
        <v>9</v>
      </c>
      <c r="E1454" s="224" t="s">
        <v>256</v>
      </c>
      <c r="F1454" s="224" t="s">
        <v>248</v>
      </c>
      <c r="G1454" s="223" t="str">
        <f>VLOOKUP($B1454,'FRS geographical categories'!$A$2:$C$45,2,FALSE)</f>
        <v>Predominantly Urban</v>
      </c>
      <c r="H1454" s="223" t="str">
        <f>VLOOKUP($B1454,'FRS geographical categories'!$A$2:$C$45,3,FALSE)</f>
        <v>Metropolitan</v>
      </c>
      <c r="I1454" s="224">
        <v>0</v>
      </c>
    </row>
    <row r="1455" spans="1:9" ht="15.5" x14ac:dyDescent="0.35">
      <c r="A1455" s="224" t="s">
        <v>54</v>
      </c>
      <c r="B1455" s="224" t="s">
        <v>50</v>
      </c>
      <c r="C1455" s="224" t="s">
        <v>89</v>
      </c>
      <c r="D1455" s="224" t="s">
        <v>9</v>
      </c>
      <c r="E1455" s="224" t="s">
        <v>256</v>
      </c>
      <c r="F1455" s="224" t="s">
        <v>249</v>
      </c>
      <c r="G1455" s="223" t="str">
        <f>VLOOKUP($B1455,'FRS geographical categories'!$A$2:$C$45,2,FALSE)</f>
        <v>Predominantly Urban</v>
      </c>
      <c r="H1455" s="223" t="str">
        <f>VLOOKUP($B1455,'FRS geographical categories'!$A$2:$C$45,3,FALSE)</f>
        <v>Metropolitan</v>
      </c>
      <c r="I1455" s="224">
        <v>0</v>
      </c>
    </row>
    <row r="1456" spans="1:9" ht="15.5" x14ac:dyDescent="0.35">
      <c r="A1456" s="224" t="s">
        <v>54</v>
      </c>
      <c r="B1456" s="224" t="s">
        <v>50</v>
      </c>
      <c r="C1456" s="224" t="s">
        <v>89</v>
      </c>
      <c r="D1456" s="224" t="s">
        <v>9</v>
      </c>
      <c r="E1456" s="224" t="s">
        <v>256</v>
      </c>
      <c r="F1456" s="224" t="s">
        <v>250</v>
      </c>
      <c r="G1456" s="223" t="str">
        <f>VLOOKUP($B1456,'FRS geographical categories'!$A$2:$C$45,2,FALSE)</f>
        <v>Predominantly Urban</v>
      </c>
      <c r="H1456" s="223" t="str">
        <f>VLOOKUP($B1456,'FRS geographical categories'!$A$2:$C$45,3,FALSE)</f>
        <v>Metropolitan</v>
      </c>
      <c r="I1456" s="224">
        <v>0</v>
      </c>
    </row>
    <row r="1457" spans="1:9" ht="15.5" x14ac:dyDescent="0.35">
      <c r="A1457" s="224" t="s">
        <v>54</v>
      </c>
      <c r="B1457" s="224" t="s">
        <v>50</v>
      </c>
      <c r="C1457" s="224" t="s">
        <v>89</v>
      </c>
      <c r="D1457" s="224" t="s">
        <v>9</v>
      </c>
      <c r="E1457" s="224" t="s">
        <v>256</v>
      </c>
      <c r="F1457" s="224" t="s">
        <v>10</v>
      </c>
      <c r="G1457" s="223" t="str">
        <f>VLOOKUP($B1457,'FRS geographical categories'!$A$2:$C$45,2,FALSE)</f>
        <v>Predominantly Urban</v>
      </c>
      <c r="H1457" s="223" t="str">
        <f>VLOOKUP($B1457,'FRS geographical categories'!$A$2:$C$45,3,FALSE)</f>
        <v>Metropolitan</v>
      </c>
      <c r="I1457" s="224">
        <v>0</v>
      </c>
    </row>
    <row r="1458" spans="1:9" ht="15.5" x14ac:dyDescent="0.35">
      <c r="A1458" s="224" t="s">
        <v>54</v>
      </c>
      <c r="B1458" s="224" t="s">
        <v>50</v>
      </c>
      <c r="C1458" s="224" t="s">
        <v>89</v>
      </c>
      <c r="D1458" s="224" t="s">
        <v>55</v>
      </c>
      <c r="E1458" s="224" t="s">
        <v>256</v>
      </c>
      <c r="F1458" s="224" t="s">
        <v>248</v>
      </c>
      <c r="G1458" s="223" t="str">
        <f>VLOOKUP($B1458,'FRS geographical categories'!$A$2:$C$45,2,FALSE)</f>
        <v>Predominantly Urban</v>
      </c>
      <c r="H1458" s="223" t="str">
        <f>VLOOKUP($B1458,'FRS geographical categories'!$A$2:$C$45,3,FALSE)</f>
        <v>Metropolitan</v>
      </c>
      <c r="I1458" s="224">
        <v>0</v>
      </c>
    </row>
    <row r="1459" spans="1:9" ht="15.5" x14ac:dyDescent="0.35">
      <c r="A1459" s="224" t="s">
        <v>54</v>
      </c>
      <c r="B1459" s="224" t="s">
        <v>50</v>
      </c>
      <c r="C1459" s="224" t="s">
        <v>89</v>
      </c>
      <c r="D1459" s="224" t="s">
        <v>55</v>
      </c>
      <c r="E1459" s="224" t="s">
        <v>256</v>
      </c>
      <c r="F1459" s="224" t="s">
        <v>249</v>
      </c>
      <c r="G1459" s="223" t="str">
        <f>VLOOKUP($B1459,'FRS geographical categories'!$A$2:$C$45,2,FALSE)</f>
        <v>Predominantly Urban</v>
      </c>
      <c r="H1459" s="223" t="str">
        <f>VLOOKUP($B1459,'FRS geographical categories'!$A$2:$C$45,3,FALSE)</f>
        <v>Metropolitan</v>
      </c>
      <c r="I1459" s="224">
        <v>0</v>
      </c>
    </row>
    <row r="1460" spans="1:9" ht="15.5" x14ac:dyDescent="0.35">
      <c r="A1460" s="224" t="s">
        <v>54</v>
      </c>
      <c r="B1460" s="224" t="s">
        <v>50</v>
      </c>
      <c r="C1460" s="224" t="s">
        <v>89</v>
      </c>
      <c r="D1460" s="224" t="s">
        <v>55</v>
      </c>
      <c r="E1460" s="224" t="s">
        <v>256</v>
      </c>
      <c r="F1460" s="224" t="s">
        <v>250</v>
      </c>
      <c r="G1460" s="223" t="str">
        <f>VLOOKUP($B1460,'FRS geographical categories'!$A$2:$C$45,2,FALSE)</f>
        <v>Predominantly Urban</v>
      </c>
      <c r="H1460" s="223" t="str">
        <f>VLOOKUP($B1460,'FRS geographical categories'!$A$2:$C$45,3,FALSE)</f>
        <v>Metropolitan</v>
      </c>
      <c r="I1460" s="224">
        <v>0</v>
      </c>
    </row>
    <row r="1461" spans="1:9" ht="15.5" x14ac:dyDescent="0.35">
      <c r="A1461" s="224" t="s">
        <v>54</v>
      </c>
      <c r="B1461" s="224" t="s">
        <v>50</v>
      </c>
      <c r="C1461" s="224" t="s">
        <v>89</v>
      </c>
      <c r="D1461" s="224" t="s">
        <v>55</v>
      </c>
      <c r="E1461" s="224" t="s">
        <v>256</v>
      </c>
      <c r="F1461" s="224" t="s">
        <v>10</v>
      </c>
      <c r="G1461" s="223" t="str">
        <f>VLOOKUP($B1461,'FRS geographical categories'!$A$2:$C$45,2,FALSE)</f>
        <v>Predominantly Urban</v>
      </c>
      <c r="H1461" s="223" t="str">
        <f>VLOOKUP($B1461,'FRS geographical categories'!$A$2:$C$45,3,FALSE)</f>
        <v>Metropolitan</v>
      </c>
      <c r="I1461" s="224">
        <v>0</v>
      </c>
    </row>
    <row r="1462" spans="1:9" ht="15.5" x14ac:dyDescent="0.35">
      <c r="A1462" s="224" t="s">
        <v>54</v>
      </c>
      <c r="B1462" s="224" t="s">
        <v>51</v>
      </c>
      <c r="C1462" s="224" t="s">
        <v>86</v>
      </c>
      <c r="D1462" s="224" t="s">
        <v>9</v>
      </c>
      <c r="E1462" s="224" t="s">
        <v>256</v>
      </c>
      <c r="F1462" s="224" t="s">
        <v>248</v>
      </c>
      <c r="G1462" s="223" t="str">
        <f>VLOOKUP($B1462,'FRS geographical categories'!$A$2:$C$45,2,FALSE)</f>
        <v>Significantly Rural</v>
      </c>
      <c r="H1462" s="223" t="str">
        <f>VLOOKUP($B1462,'FRS geographical categories'!$A$2:$C$45,3,FALSE)</f>
        <v>Non-metropolitan</v>
      </c>
      <c r="I1462" s="224">
        <v>431</v>
      </c>
    </row>
    <row r="1463" spans="1:9" ht="15.5" x14ac:dyDescent="0.35">
      <c r="A1463" s="224" t="s">
        <v>54</v>
      </c>
      <c r="B1463" s="224" t="s">
        <v>51</v>
      </c>
      <c r="C1463" s="224" t="s">
        <v>86</v>
      </c>
      <c r="D1463" s="224" t="s">
        <v>9</v>
      </c>
      <c r="E1463" s="224" t="s">
        <v>256</v>
      </c>
      <c r="F1463" s="224" t="s">
        <v>249</v>
      </c>
      <c r="G1463" s="223" t="str">
        <f>VLOOKUP($B1463,'FRS geographical categories'!$A$2:$C$45,2,FALSE)</f>
        <v>Significantly Rural</v>
      </c>
      <c r="H1463" s="223" t="str">
        <f>VLOOKUP($B1463,'FRS geographical categories'!$A$2:$C$45,3,FALSE)</f>
        <v>Non-metropolitan</v>
      </c>
      <c r="I1463" s="224">
        <v>577</v>
      </c>
    </row>
    <row r="1464" spans="1:9" ht="15.5" x14ac:dyDescent="0.35">
      <c r="A1464" s="224" t="s">
        <v>54</v>
      </c>
      <c r="B1464" s="224" t="s">
        <v>51</v>
      </c>
      <c r="C1464" s="224" t="s">
        <v>86</v>
      </c>
      <c r="D1464" s="224" t="s">
        <v>9</v>
      </c>
      <c r="E1464" s="224" t="s">
        <v>256</v>
      </c>
      <c r="F1464" s="224" t="s">
        <v>250</v>
      </c>
      <c r="G1464" s="223" t="str">
        <f>VLOOKUP($B1464,'FRS geographical categories'!$A$2:$C$45,2,FALSE)</f>
        <v>Significantly Rural</v>
      </c>
      <c r="H1464" s="223" t="str">
        <f>VLOOKUP($B1464,'FRS geographical categories'!$A$2:$C$45,3,FALSE)</f>
        <v>Non-metropolitan</v>
      </c>
      <c r="I1464" s="224">
        <v>1960</v>
      </c>
    </row>
    <row r="1465" spans="1:9" ht="15.5" x14ac:dyDescent="0.35">
      <c r="A1465" s="224" t="s">
        <v>54</v>
      </c>
      <c r="B1465" s="224" t="s">
        <v>51</v>
      </c>
      <c r="C1465" s="224" t="s">
        <v>86</v>
      </c>
      <c r="D1465" s="224" t="s">
        <v>9</v>
      </c>
      <c r="E1465" s="224" t="s">
        <v>256</v>
      </c>
      <c r="F1465" s="224" t="s">
        <v>111</v>
      </c>
      <c r="G1465" s="223" t="str">
        <f>VLOOKUP($B1465,'FRS geographical categories'!$A$2:$C$45,2,FALSE)</f>
        <v>Significantly Rural</v>
      </c>
      <c r="H1465" s="223" t="str">
        <f>VLOOKUP($B1465,'FRS geographical categories'!$A$2:$C$45,3,FALSE)</f>
        <v>Non-metropolitan</v>
      </c>
      <c r="I1465" s="224">
        <v>3460</v>
      </c>
    </row>
    <row r="1466" spans="1:9" ht="15.5" x14ac:dyDescent="0.35">
      <c r="A1466" s="224" t="s">
        <v>54</v>
      </c>
      <c r="B1466" s="224" t="s">
        <v>51</v>
      </c>
      <c r="C1466" s="224" t="s">
        <v>86</v>
      </c>
      <c r="D1466" s="224" t="s">
        <v>9</v>
      </c>
      <c r="E1466" s="224" t="s">
        <v>256</v>
      </c>
      <c r="F1466" s="224" t="s">
        <v>10</v>
      </c>
      <c r="G1466" s="223" t="str">
        <f>VLOOKUP($B1466,'FRS geographical categories'!$A$2:$C$45,2,FALSE)</f>
        <v>Significantly Rural</v>
      </c>
      <c r="H1466" s="223" t="str">
        <f>VLOOKUP($B1466,'FRS geographical categories'!$A$2:$C$45,3,FALSE)</f>
        <v>Non-metropolitan</v>
      </c>
      <c r="I1466" s="224">
        <v>3460</v>
      </c>
    </row>
    <row r="1467" spans="1:9" ht="15.5" x14ac:dyDescent="0.35">
      <c r="A1467" s="224" t="s">
        <v>54</v>
      </c>
      <c r="B1467" s="224" t="s">
        <v>51</v>
      </c>
      <c r="C1467" s="224" t="s">
        <v>86</v>
      </c>
      <c r="D1467" s="224" t="s">
        <v>55</v>
      </c>
      <c r="E1467" s="224" t="s">
        <v>256</v>
      </c>
      <c r="F1467" s="224" t="s">
        <v>248</v>
      </c>
      <c r="G1467" s="223" t="str">
        <f>VLOOKUP($B1467,'FRS geographical categories'!$A$2:$C$45,2,FALSE)</f>
        <v>Significantly Rural</v>
      </c>
      <c r="H1467" s="223" t="str">
        <f>VLOOKUP($B1467,'FRS geographical categories'!$A$2:$C$45,3,FALSE)</f>
        <v>Non-metropolitan</v>
      </c>
      <c r="I1467" s="224">
        <v>0</v>
      </c>
    </row>
    <row r="1468" spans="1:9" ht="15.5" x14ac:dyDescent="0.35">
      <c r="A1468" s="224" t="s">
        <v>54</v>
      </c>
      <c r="B1468" s="224" t="s">
        <v>51</v>
      </c>
      <c r="C1468" s="224" t="s">
        <v>86</v>
      </c>
      <c r="D1468" s="224" t="s">
        <v>55</v>
      </c>
      <c r="E1468" s="224" t="s">
        <v>256</v>
      </c>
      <c r="F1468" s="224" t="s">
        <v>249</v>
      </c>
      <c r="G1468" s="223" t="str">
        <f>VLOOKUP($B1468,'FRS geographical categories'!$A$2:$C$45,2,FALSE)</f>
        <v>Significantly Rural</v>
      </c>
      <c r="H1468" s="223" t="str">
        <f>VLOOKUP($B1468,'FRS geographical categories'!$A$2:$C$45,3,FALSE)</f>
        <v>Non-metropolitan</v>
      </c>
      <c r="I1468" s="224">
        <v>0</v>
      </c>
    </row>
    <row r="1469" spans="1:9" ht="15.5" x14ac:dyDescent="0.35">
      <c r="A1469" s="224" t="s">
        <v>54</v>
      </c>
      <c r="B1469" s="224" t="s">
        <v>51</v>
      </c>
      <c r="C1469" s="224" t="s">
        <v>86</v>
      </c>
      <c r="D1469" s="224" t="s">
        <v>55</v>
      </c>
      <c r="E1469" s="224" t="s">
        <v>256</v>
      </c>
      <c r="F1469" s="224" t="s">
        <v>250</v>
      </c>
      <c r="G1469" s="223" t="str">
        <f>VLOOKUP($B1469,'FRS geographical categories'!$A$2:$C$45,2,FALSE)</f>
        <v>Significantly Rural</v>
      </c>
      <c r="H1469" s="223" t="str">
        <f>VLOOKUP($B1469,'FRS geographical categories'!$A$2:$C$45,3,FALSE)</f>
        <v>Non-metropolitan</v>
      </c>
      <c r="I1469" s="224">
        <v>0</v>
      </c>
    </row>
    <row r="1470" spans="1:9" ht="15.5" x14ac:dyDescent="0.35">
      <c r="A1470" s="224" t="s">
        <v>54</v>
      </c>
      <c r="B1470" s="224" t="s">
        <v>51</v>
      </c>
      <c r="C1470" s="224" t="s">
        <v>86</v>
      </c>
      <c r="D1470" s="224" t="s">
        <v>55</v>
      </c>
      <c r="E1470" s="224" t="s">
        <v>256</v>
      </c>
      <c r="F1470" s="224" t="s">
        <v>111</v>
      </c>
      <c r="G1470" s="223" t="str">
        <f>VLOOKUP($B1470,'FRS geographical categories'!$A$2:$C$45,2,FALSE)</f>
        <v>Significantly Rural</v>
      </c>
      <c r="H1470" s="223" t="str">
        <f>VLOOKUP($B1470,'FRS geographical categories'!$A$2:$C$45,3,FALSE)</f>
        <v>Non-metropolitan</v>
      </c>
      <c r="I1470" s="224">
        <v>822</v>
      </c>
    </row>
    <row r="1471" spans="1:9" ht="15.5" x14ac:dyDescent="0.35">
      <c r="A1471" s="224" t="s">
        <v>54</v>
      </c>
      <c r="B1471" s="224" t="s">
        <v>51</v>
      </c>
      <c r="C1471" s="224" t="s">
        <v>86</v>
      </c>
      <c r="D1471" s="224" t="s">
        <v>55</v>
      </c>
      <c r="E1471" s="224" t="s">
        <v>256</v>
      </c>
      <c r="F1471" s="224" t="s">
        <v>10</v>
      </c>
      <c r="G1471" s="223" t="str">
        <f>VLOOKUP($B1471,'FRS geographical categories'!$A$2:$C$45,2,FALSE)</f>
        <v>Significantly Rural</v>
      </c>
      <c r="H1471" s="223" t="str">
        <f>VLOOKUP($B1471,'FRS geographical categories'!$A$2:$C$45,3,FALSE)</f>
        <v>Non-metropolitan</v>
      </c>
      <c r="I1471" s="224">
        <v>822</v>
      </c>
    </row>
    <row r="1472" spans="1:9" ht="15.5" x14ac:dyDescent="0.35">
      <c r="A1472" s="224" t="s">
        <v>54</v>
      </c>
      <c r="B1472" s="224" t="s">
        <v>51</v>
      </c>
      <c r="C1472" s="224" t="s">
        <v>89</v>
      </c>
      <c r="D1472" s="224" t="s">
        <v>9</v>
      </c>
      <c r="E1472" s="224" t="s">
        <v>256</v>
      </c>
      <c r="F1472" s="224" t="s">
        <v>248</v>
      </c>
      <c r="G1472" s="223" t="str">
        <f>VLOOKUP($B1472,'FRS geographical categories'!$A$2:$C$45,2,FALSE)</f>
        <v>Significantly Rural</v>
      </c>
      <c r="H1472" s="223" t="str">
        <f>VLOOKUP($B1472,'FRS geographical categories'!$A$2:$C$45,3,FALSE)</f>
        <v>Non-metropolitan</v>
      </c>
      <c r="I1472" s="224">
        <v>0</v>
      </c>
    </row>
    <row r="1473" spans="1:9" ht="15.5" x14ac:dyDescent="0.35">
      <c r="A1473" s="224" t="s">
        <v>54</v>
      </c>
      <c r="B1473" s="224" t="s">
        <v>51</v>
      </c>
      <c r="C1473" s="224" t="s">
        <v>89</v>
      </c>
      <c r="D1473" s="224" t="s">
        <v>9</v>
      </c>
      <c r="E1473" s="224" t="s">
        <v>256</v>
      </c>
      <c r="F1473" s="224" t="s">
        <v>249</v>
      </c>
      <c r="G1473" s="223" t="str">
        <f>VLOOKUP($B1473,'FRS geographical categories'!$A$2:$C$45,2,FALSE)</f>
        <v>Significantly Rural</v>
      </c>
      <c r="H1473" s="223" t="str">
        <f>VLOOKUP($B1473,'FRS geographical categories'!$A$2:$C$45,3,FALSE)</f>
        <v>Non-metropolitan</v>
      </c>
      <c r="I1473" s="224">
        <v>0</v>
      </c>
    </row>
    <row r="1474" spans="1:9" ht="15.5" x14ac:dyDescent="0.35">
      <c r="A1474" s="224" t="s">
        <v>54</v>
      </c>
      <c r="B1474" s="224" t="s">
        <v>51</v>
      </c>
      <c r="C1474" s="224" t="s">
        <v>89</v>
      </c>
      <c r="D1474" s="224" t="s">
        <v>9</v>
      </c>
      <c r="E1474" s="224" t="s">
        <v>256</v>
      </c>
      <c r="F1474" s="224" t="s">
        <v>250</v>
      </c>
      <c r="G1474" s="223" t="str">
        <f>VLOOKUP($B1474,'FRS geographical categories'!$A$2:$C$45,2,FALSE)</f>
        <v>Significantly Rural</v>
      </c>
      <c r="H1474" s="223" t="str">
        <f>VLOOKUP($B1474,'FRS geographical categories'!$A$2:$C$45,3,FALSE)</f>
        <v>Non-metropolitan</v>
      </c>
      <c r="I1474" s="224">
        <v>0</v>
      </c>
    </row>
    <row r="1475" spans="1:9" ht="15.5" x14ac:dyDescent="0.35">
      <c r="A1475" s="224" t="s">
        <v>54</v>
      </c>
      <c r="B1475" s="224" t="s">
        <v>51</v>
      </c>
      <c r="C1475" s="224" t="s">
        <v>89</v>
      </c>
      <c r="D1475" s="224" t="s">
        <v>9</v>
      </c>
      <c r="E1475" s="224" t="s">
        <v>256</v>
      </c>
      <c r="F1475" s="224" t="s">
        <v>10</v>
      </c>
      <c r="G1475" s="223" t="str">
        <f>VLOOKUP($B1475,'FRS geographical categories'!$A$2:$C$45,2,FALSE)</f>
        <v>Significantly Rural</v>
      </c>
      <c r="H1475" s="223" t="str">
        <f>VLOOKUP($B1475,'FRS geographical categories'!$A$2:$C$45,3,FALSE)</f>
        <v>Non-metropolitan</v>
      </c>
      <c r="I1475" s="224">
        <v>0</v>
      </c>
    </row>
    <row r="1476" spans="1:9" ht="15.5" x14ac:dyDescent="0.35">
      <c r="A1476" s="224" t="s">
        <v>54</v>
      </c>
      <c r="B1476" s="224" t="s">
        <v>51</v>
      </c>
      <c r="C1476" s="224" t="s">
        <v>89</v>
      </c>
      <c r="D1476" s="224" t="s">
        <v>55</v>
      </c>
      <c r="E1476" s="224" t="s">
        <v>256</v>
      </c>
      <c r="F1476" s="224" t="s">
        <v>248</v>
      </c>
      <c r="G1476" s="223" t="str">
        <f>VLOOKUP($B1476,'FRS geographical categories'!$A$2:$C$45,2,FALSE)</f>
        <v>Significantly Rural</v>
      </c>
      <c r="H1476" s="223" t="str">
        <f>VLOOKUP($B1476,'FRS geographical categories'!$A$2:$C$45,3,FALSE)</f>
        <v>Non-metropolitan</v>
      </c>
      <c r="I1476" s="224">
        <v>0</v>
      </c>
    </row>
    <row r="1477" spans="1:9" ht="15.5" x14ac:dyDescent="0.35">
      <c r="A1477" s="224" t="s">
        <v>54</v>
      </c>
      <c r="B1477" s="224" t="s">
        <v>51</v>
      </c>
      <c r="C1477" s="224" t="s">
        <v>89</v>
      </c>
      <c r="D1477" s="224" t="s">
        <v>55</v>
      </c>
      <c r="E1477" s="224" t="s">
        <v>256</v>
      </c>
      <c r="F1477" s="224" t="s">
        <v>249</v>
      </c>
      <c r="G1477" s="223" t="str">
        <f>VLOOKUP($B1477,'FRS geographical categories'!$A$2:$C$45,2,FALSE)</f>
        <v>Significantly Rural</v>
      </c>
      <c r="H1477" s="223" t="str">
        <f>VLOOKUP($B1477,'FRS geographical categories'!$A$2:$C$45,3,FALSE)</f>
        <v>Non-metropolitan</v>
      </c>
      <c r="I1477" s="224">
        <v>0</v>
      </c>
    </row>
    <row r="1478" spans="1:9" ht="15.5" x14ac:dyDescent="0.35">
      <c r="A1478" s="224" t="s">
        <v>54</v>
      </c>
      <c r="B1478" s="224" t="s">
        <v>51</v>
      </c>
      <c r="C1478" s="224" t="s">
        <v>89</v>
      </c>
      <c r="D1478" s="224" t="s">
        <v>55</v>
      </c>
      <c r="E1478" s="224" t="s">
        <v>256</v>
      </c>
      <c r="F1478" s="224" t="s">
        <v>250</v>
      </c>
      <c r="G1478" s="223" t="str">
        <f>VLOOKUP($B1478,'FRS geographical categories'!$A$2:$C$45,2,FALSE)</f>
        <v>Significantly Rural</v>
      </c>
      <c r="H1478" s="223" t="str">
        <f>VLOOKUP($B1478,'FRS geographical categories'!$A$2:$C$45,3,FALSE)</f>
        <v>Non-metropolitan</v>
      </c>
      <c r="I1478" s="224">
        <v>0</v>
      </c>
    </row>
    <row r="1479" spans="1:9" ht="15.5" x14ac:dyDescent="0.35">
      <c r="A1479" s="224" t="s">
        <v>54</v>
      </c>
      <c r="B1479" s="224" t="s">
        <v>51</v>
      </c>
      <c r="C1479" s="224" t="s">
        <v>89</v>
      </c>
      <c r="D1479" s="224" t="s">
        <v>55</v>
      </c>
      <c r="E1479" s="224" t="s">
        <v>256</v>
      </c>
      <c r="F1479" s="224" t="s">
        <v>10</v>
      </c>
      <c r="G1479" s="223" t="str">
        <f>VLOOKUP($B1479,'FRS geographical categories'!$A$2:$C$45,2,FALSE)</f>
        <v>Significantly Rural</v>
      </c>
      <c r="H1479" s="223" t="str">
        <f>VLOOKUP($B1479,'FRS geographical categories'!$A$2:$C$45,3,FALSE)</f>
        <v>Non-metropolitan</v>
      </c>
      <c r="I1479" s="224">
        <v>0</v>
      </c>
    </row>
    <row r="1480" spans="1:9" ht="15.5" x14ac:dyDescent="0.35">
      <c r="A1480" s="224" t="s">
        <v>54</v>
      </c>
      <c r="B1480" s="224" t="s">
        <v>52</v>
      </c>
      <c r="C1480" s="224" t="s">
        <v>86</v>
      </c>
      <c r="D1480" s="224" t="s">
        <v>9</v>
      </c>
      <c r="E1480" s="224" t="s">
        <v>256</v>
      </c>
      <c r="F1480" s="224" t="s">
        <v>248</v>
      </c>
      <c r="G1480" s="223" t="str">
        <f>VLOOKUP($B1480,'FRS geographical categories'!$A$2:$C$45,2,FALSE)</f>
        <v>Predominantly Urban</v>
      </c>
      <c r="H1480" s="223" t="str">
        <f>VLOOKUP($B1480,'FRS geographical categories'!$A$2:$C$45,3,FALSE)</f>
        <v>Metropolitan</v>
      </c>
      <c r="I1480" s="224">
        <v>667</v>
      </c>
    </row>
    <row r="1481" spans="1:9" ht="15.5" x14ac:dyDescent="0.35">
      <c r="A1481" s="224" t="s">
        <v>54</v>
      </c>
      <c r="B1481" s="224" t="s">
        <v>52</v>
      </c>
      <c r="C1481" s="224" t="s">
        <v>86</v>
      </c>
      <c r="D1481" s="224" t="s">
        <v>9</v>
      </c>
      <c r="E1481" s="224" t="s">
        <v>256</v>
      </c>
      <c r="F1481" s="224" t="s">
        <v>249</v>
      </c>
      <c r="G1481" s="223" t="str">
        <f>VLOOKUP($B1481,'FRS geographical categories'!$A$2:$C$45,2,FALSE)</f>
        <v>Predominantly Urban</v>
      </c>
      <c r="H1481" s="223" t="str">
        <f>VLOOKUP($B1481,'FRS geographical categories'!$A$2:$C$45,3,FALSE)</f>
        <v>Metropolitan</v>
      </c>
      <c r="I1481" s="224">
        <v>1736</v>
      </c>
    </row>
    <row r="1482" spans="1:9" ht="15.5" x14ac:dyDescent="0.35">
      <c r="A1482" s="224" t="s">
        <v>54</v>
      </c>
      <c r="B1482" s="224" t="s">
        <v>52</v>
      </c>
      <c r="C1482" s="224" t="s">
        <v>86</v>
      </c>
      <c r="D1482" s="224" t="s">
        <v>9</v>
      </c>
      <c r="E1482" s="224" t="s">
        <v>256</v>
      </c>
      <c r="F1482" s="224" t="s">
        <v>250</v>
      </c>
      <c r="G1482" s="223" t="str">
        <f>VLOOKUP($B1482,'FRS geographical categories'!$A$2:$C$45,2,FALSE)</f>
        <v>Predominantly Urban</v>
      </c>
      <c r="H1482" s="223" t="str">
        <f>VLOOKUP($B1482,'FRS geographical categories'!$A$2:$C$45,3,FALSE)</f>
        <v>Metropolitan</v>
      </c>
      <c r="I1482" s="224">
        <v>1125</v>
      </c>
    </row>
    <row r="1483" spans="1:9" ht="15.5" x14ac:dyDescent="0.35">
      <c r="A1483" s="224" t="s">
        <v>54</v>
      </c>
      <c r="B1483" s="224" t="s">
        <v>52</v>
      </c>
      <c r="C1483" s="224" t="s">
        <v>86</v>
      </c>
      <c r="D1483" s="224" t="s">
        <v>9</v>
      </c>
      <c r="E1483" s="224" t="s">
        <v>256</v>
      </c>
      <c r="F1483" s="224" t="s">
        <v>111</v>
      </c>
      <c r="G1483" s="223" t="str">
        <f>VLOOKUP($B1483,'FRS geographical categories'!$A$2:$C$45,2,FALSE)</f>
        <v>Predominantly Urban</v>
      </c>
      <c r="H1483" s="223" t="str">
        <f>VLOOKUP($B1483,'FRS geographical categories'!$A$2:$C$45,3,FALSE)</f>
        <v>Metropolitan</v>
      </c>
      <c r="I1483" s="224">
        <v>5754</v>
      </c>
    </row>
    <row r="1484" spans="1:9" ht="15.5" x14ac:dyDescent="0.35">
      <c r="A1484" s="224" t="s">
        <v>54</v>
      </c>
      <c r="B1484" s="224" t="s">
        <v>52</v>
      </c>
      <c r="C1484" s="224" t="s">
        <v>86</v>
      </c>
      <c r="D1484" s="224" t="s">
        <v>9</v>
      </c>
      <c r="E1484" s="224" t="s">
        <v>256</v>
      </c>
      <c r="F1484" s="224" t="s">
        <v>10</v>
      </c>
      <c r="G1484" s="223" t="str">
        <f>VLOOKUP($B1484,'FRS geographical categories'!$A$2:$C$45,2,FALSE)</f>
        <v>Predominantly Urban</v>
      </c>
      <c r="H1484" s="223" t="str">
        <f>VLOOKUP($B1484,'FRS geographical categories'!$A$2:$C$45,3,FALSE)</f>
        <v>Metropolitan</v>
      </c>
      <c r="I1484" s="224">
        <v>5754</v>
      </c>
    </row>
    <row r="1485" spans="1:9" ht="15.5" x14ac:dyDescent="0.35">
      <c r="A1485" s="224" t="s">
        <v>54</v>
      </c>
      <c r="B1485" s="224" t="s">
        <v>52</v>
      </c>
      <c r="C1485" s="224" t="s">
        <v>86</v>
      </c>
      <c r="D1485" s="224" t="s">
        <v>55</v>
      </c>
      <c r="E1485" s="224" t="s">
        <v>256</v>
      </c>
      <c r="F1485" s="224" t="s">
        <v>248</v>
      </c>
      <c r="G1485" s="223" t="str">
        <f>VLOOKUP($B1485,'FRS geographical categories'!$A$2:$C$45,2,FALSE)</f>
        <v>Predominantly Urban</v>
      </c>
      <c r="H1485" s="223" t="str">
        <f>VLOOKUP($B1485,'FRS geographical categories'!$A$2:$C$45,3,FALSE)</f>
        <v>Metropolitan</v>
      </c>
      <c r="I1485" s="224">
        <v>0</v>
      </c>
    </row>
    <row r="1486" spans="1:9" ht="15.5" x14ac:dyDescent="0.35">
      <c r="A1486" s="224" t="s">
        <v>54</v>
      </c>
      <c r="B1486" s="224" t="s">
        <v>52</v>
      </c>
      <c r="C1486" s="224" t="s">
        <v>86</v>
      </c>
      <c r="D1486" s="224" t="s">
        <v>55</v>
      </c>
      <c r="E1486" s="224" t="s">
        <v>256</v>
      </c>
      <c r="F1486" s="224" t="s">
        <v>249</v>
      </c>
      <c r="G1486" s="223" t="str">
        <f>VLOOKUP($B1486,'FRS geographical categories'!$A$2:$C$45,2,FALSE)</f>
        <v>Predominantly Urban</v>
      </c>
      <c r="H1486" s="223" t="str">
        <f>VLOOKUP($B1486,'FRS geographical categories'!$A$2:$C$45,3,FALSE)</f>
        <v>Metropolitan</v>
      </c>
      <c r="I1486" s="224">
        <v>0</v>
      </c>
    </row>
    <row r="1487" spans="1:9" ht="15.5" x14ac:dyDescent="0.35">
      <c r="A1487" s="224" t="s">
        <v>54</v>
      </c>
      <c r="B1487" s="224" t="s">
        <v>52</v>
      </c>
      <c r="C1487" s="224" t="s">
        <v>86</v>
      </c>
      <c r="D1487" s="224" t="s">
        <v>55</v>
      </c>
      <c r="E1487" s="224" t="s">
        <v>256</v>
      </c>
      <c r="F1487" s="224" t="s">
        <v>250</v>
      </c>
      <c r="G1487" s="223" t="str">
        <f>VLOOKUP($B1487,'FRS geographical categories'!$A$2:$C$45,2,FALSE)</f>
        <v>Predominantly Urban</v>
      </c>
      <c r="H1487" s="223" t="str">
        <f>VLOOKUP($B1487,'FRS geographical categories'!$A$2:$C$45,3,FALSE)</f>
        <v>Metropolitan</v>
      </c>
      <c r="I1487" s="224">
        <v>0</v>
      </c>
    </row>
    <row r="1488" spans="1:9" ht="15.5" x14ac:dyDescent="0.35">
      <c r="A1488" s="224" t="s">
        <v>54</v>
      </c>
      <c r="B1488" s="224" t="s">
        <v>52</v>
      </c>
      <c r="C1488" s="224" t="s">
        <v>86</v>
      </c>
      <c r="D1488" s="224" t="s">
        <v>55</v>
      </c>
      <c r="E1488" s="224" t="s">
        <v>256</v>
      </c>
      <c r="F1488" s="224" t="s">
        <v>111</v>
      </c>
      <c r="G1488" s="223" t="str">
        <f>VLOOKUP($B1488,'FRS geographical categories'!$A$2:$C$45,2,FALSE)</f>
        <v>Predominantly Urban</v>
      </c>
      <c r="H1488" s="223" t="str">
        <f>VLOOKUP($B1488,'FRS geographical categories'!$A$2:$C$45,3,FALSE)</f>
        <v>Metropolitan</v>
      </c>
      <c r="I1488" s="224">
        <v>0</v>
      </c>
    </row>
    <row r="1489" spans="1:9" ht="15.5" x14ac:dyDescent="0.35">
      <c r="A1489" s="224" t="s">
        <v>54</v>
      </c>
      <c r="B1489" s="224" t="s">
        <v>52</v>
      </c>
      <c r="C1489" s="224" t="s">
        <v>86</v>
      </c>
      <c r="D1489" s="224" t="s">
        <v>55</v>
      </c>
      <c r="E1489" s="224" t="s">
        <v>256</v>
      </c>
      <c r="F1489" s="224" t="s">
        <v>10</v>
      </c>
      <c r="G1489" s="223" t="str">
        <f>VLOOKUP($B1489,'FRS geographical categories'!$A$2:$C$45,2,FALSE)</f>
        <v>Predominantly Urban</v>
      </c>
      <c r="H1489" s="223" t="str">
        <f>VLOOKUP($B1489,'FRS geographical categories'!$A$2:$C$45,3,FALSE)</f>
        <v>Metropolitan</v>
      </c>
      <c r="I1489" s="224">
        <v>0</v>
      </c>
    </row>
    <row r="1490" spans="1:9" ht="15.5" x14ac:dyDescent="0.35">
      <c r="A1490" s="224" t="s">
        <v>54</v>
      </c>
      <c r="B1490" s="224" t="s">
        <v>52</v>
      </c>
      <c r="C1490" s="224" t="s">
        <v>89</v>
      </c>
      <c r="D1490" s="224" t="s">
        <v>9</v>
      </c>
      <c r="E1490" s="224" t="s">
        <v>256</v>
      </c>
      <c r="F1490" s="224" t="s">
        <v>248</v>
      </c>
      <c r="G1490" s="223" t="str">
        <f>VLOOKUP($B1490,'FRS geographical categories'!$A$2:$C$45,2,FALSE)</f>
        <v>Predominantly Urban</v>
      </c>
      <c r="H1490" s="223" t="str">
        <f>VLOOKUP($B1490,'FRS geographical categories'!$A$2:$C$45,3,FALSE)</f>
        <v>Metropolitan</v>
      </c>
      <c r="I1490" s="224">
        <v>0</v>
      </c>
    </row>
    <row r="1491" spans="1:9" ht="15.5" x14ac:dyDescent="0.35">
      <c r="A1491" s="224" t="s">
        <v>54</v>
      </c>
      <c r="B1491" s="224" t="s">
        <v>52</v>
      </c>
      <c r="C1491" s="224" t="s">
        <v>89</v>
      </c>
      <c r="D1491" s="224" t="s">
        <v>9</v>
      </c>
      <c r="E1491" s="224" t="s">
        <v>256</v>
      </c>
      <c r="F1491" s="224" t="s">
        <v>249</v>
      </c>
      <c r="G1491" s="223" t="str">
        <f>VLOOKUP($B1491,'FRS geographical categories'!$A$2:$C$45,2,FALSE)</f>
        <v>Predominantly Urban</v>
      </c>
      <c r="H1491" s="223" t="str">
        <f>VLOOKUP($B1491,'FRS geographical categories'!$A$2:$C$45,3,FALSE)</f>
        <v>Metropolitan</v>
      </c>
      <c r="I1491" s="224">
        <v>0</v>
      </c>
    </row>
    <row r="1492" spans="1:9" ht="15.5" x14ac:dyDescent="0.35">
      <c r="A1492" s="224" t="s">
        <v>54</v>
      </c>
      <c r="B1492" s="224" t="s">
        <v>52</v>
      </c>
      <c r="C1492" s="224" t="s">
        <v>89</v>
      </c>
      <c r="D1492" s="224" t="s">
        <v>9</v>
      </c>
      <c r="E1492" s="224" t="s">
        <v>256</v>
      </c>
      <c r="F1492" s="224" t="s">
        <v>250</v>
      </c>
      <c r="G1492" s="223" t="str">
        <f>VLOOKUP($B1492,'FRS geographical categories'!$A$2:$C$45,2,FALSE)</f>
        <v>Predominantly Urban</v>
      </c>
      <c r="H1492" s="223" t="str">
        <f>VLOOKUP($B1492,'FRS geographical categories'!$A$2:$C$45,3,FALSE)</f>
        <v>Metropolitan</v>
      </c>
      <c r="I1492" s="224">
        <v>0</v>
      </c>
    </row>
    <row r="1493" spans="1:9" ht="15.5" x14ac:dyDescent="0.35">
      <c r="A1493" s="224" t="s">
        <v>54</v>
      </c>
      <c r="B1493" s="224" t="s">
        <v>52</v>
      </c>
      <c r="C1493" s="224" t="s">
        <v>89</v>
      </c>
      <c r="D1493" s="224" t="s">
        <v>9</v>
      </c>
      <c r="E1493" s="224" t="s">
        <v>256</v>
      </c>
      <c r="F1493" s="224" t="s">
        <v>10</v>
      </c>
      <c r="G1493" s="223" t="str">
        <f>VLOOKUP($B1493,'FRS geographical categories'!$A$2:$C$45,2,FALSE)</f>
        <v>Predominantly Urban</v>
      </c>
      <c r="H1493" s="223" t="str">
        <f>VLOOKUP($B1493,'FRS geographical categories'!$A$2:$C$45,3,FALSE)</f>
        <v>Metropolitan</v>
      </c>
      <c r="I1493" s="224">
        <v>0</v>
      </c>
    </row>
    <row r="1494" spans="1:9" ht="15.5" x14ac:dyDescent="0.35">
      <c r="A1494" s="224" t="s">
        <v>54</v>
      </c>
      <c r="B1494" s="224" t="s">
        <v>52</v>
      </c>
      <c r="C1494" s="224" t="s">
        <v>89</v>
      </c>
      <c r="D1494" s="224" t="s">
        <v>55</v>
      </c>
      <c r="E1494" s="224" t="s">
        <v>256</v>
      </c>
      <c r="F1494" s="224" t="s">
        <v>248</v>
      </c>
      <c r="G1494" s="223" t="str">
        <f>VLOOKUP($B1494,'FRS geographical categories'!$A$2:$C$45,2,FALSE)</f>
        <v>Predominantly Urban</v>
      </c>
      <c r="H1494" s="223" t="str">
        <f>VLOOKUP($B1494,'FRS geographical categories'!$A$2:$C$45,3,FALSE)</f>
        <v>Metropolitan</v>
      </c>
      <c r="I1494" s="224">
        <v>0</v>
      </c>
    </row>
    <row r="1495" spans="1:9" ht="15.5" x14ac:dyDescent="0.35">
      <c r="A1495" s="224" t="s">
        <v>54</v>
      </c>
      <c r="B1495" s="224" t="s">
        <v>52</v>
      </c>
      <c r="C1495" s="224" t="s">
        <v>89</v>
      </c>
      <c r="D1495" s="224" t="s">
        <v>55</v>
      </c>
      <c r="E1495" s="224" t="s">
        <v>256</v>
      </c>
      <c r="F1495" s="224" t="s">
        <v>249</v>
      </c>
      <c r="G1495" s="223" t="str">
        <f>VLOOKUP($B1495,'FRS geographical categories'!$A$2:$C$45,2,FALSE)</f>
        <v>Predominantly Urban</v>
      </c>
      <c r="H1495" s="223" t="str">
        <f>VLOOKUP($B1495,'FRS geographical categories'!$A$2:$C$45,3,FALSE)</f>
        <v>Metropolitan</v>
      </c>
      <c r="I1495" s="224">
        <v>0</v>
      </c>
    </row>
    <row r="1496" spans="1:9" ht="15.5" x14ac:dyDescent="0.35">
      <c r="A1496" s="224" t="s">
        <v>54</v>
      </c>
      <c r="B1496" s="224" t="s">
        <v>52</v>
      </c>
      <c r="C1496" s="224" t="s">
        <v>89</v>
      </c>
      <c r="D1496" s="224" t="s">
        <v>55</v>
      </c>
      <c r="E1496" s="224" t="s">
        <v>256</v>
      </c>
      <c r="F1496" s="224" t="s">
        <v>250</v>
      </c>
      <c r="G1496" s="223" t="str">
        <f>VLOOKUP($B1496,'FRS geographical categories'!$A$2:$C$45,2,FALSE)</f>
        <v>Predominantly Urban</v>
      </c>
      <c r="H1496" s="223" t="str">
        <f>VLOOKUP($B1496,'FRS geographical categories'!$A$2:$C$45,3,FALSE)</f>
        <v>Metropolitan</v>
      </c>
      <c r="I1496" s="224">
        <v>0</v>
      </c>
    </row>
    <row r="1497" spans="1:9" ht="15.5" x14ac:dyDescent="0.35">
      <c r="A1497" s="224" t="s">
        <v>54</v>
      </c>
      <c r="B1497" s="224" t="s">
        <v>52</v>
      </c>
      <c r="C1497" s="224" t="s">
        <v>89</v>
      </c>
      <c r="D1497" s="224" t="s">
        <v>55</v>
      </c>
      <c r="E1497" s="224" t="s">
        <v>256</v>
      </c>
      <c r="F1497" s="224" t="s">
        <v>10</v>
      </c>
      <c r="G1497" s="223" t="str">
        <f>VLOOKUP($B1497,'FRS geographical categories'!$A$2:$C$45,2,FALSE)</f>
        <v>Predominantly Urban</v>
      </c>
      <c r="H1497" s="223" t="str">
        <f>VLOOKUP($B1497,'FRS geographical categories'!$A$2:$C$45,3,FALSE)</f>
        <v>Metropolitan</v>
      </c>
      <c r="I1497" s="224">
        <v>0</v>
      </c>
    </row>
    <row r="1498" spans="1:9" ht="15.5" x14ac:dyDescent="0.35">
      <c r="A1498" s="224" t="s">
        <v>56</v>
      </c>
      <c r="B1498" s="224" t="s">
        <v>8</v>
      </c>
      <c r="C1498" s="224" t="s">
        <v>86</v>
      </c>
      <c r="D1498" s="224" t="s">
        <v>9</v>
      </c>
      <c r="E1498" s="224" t="s">
        <v>256</v>
      </c>
      <c r="F1498" s="224" t="s">
        <v>248</v>
      </c>
      <c r="G1498" s="223" t="str">
        <f>VLOOKUP($B1498,'FRS geographical categories'!$A$2:$C$45,2,FALSE)</f>
        <v>Predominantly Urban</v>
      </c>
      <c r="H1498" s="223" t="str">
        <f>VLOOKUP($B1498,'FRS geographical categories'!$A$2:$C$45,3,FALSE)</f>
        <v>Non-metropolitan</v>
      </c>
      <c r="I1498" s="224">
        <v>470</v>
      </c>
    </row>
    <row r="1499" spans="1:9" ht="15.5" x14ac:dyDescent="0.35">
      <c r="A1499" s="224" t="s">
        <v>56</v>
      </c>
      <c r="B1499" s="224" t="s">
        <v>8</v>
      </c>
      <c r="C1499" s="224" t="s">
        <v>86</v>
      </c>
      <c r="D1499" s="224" t="s">
        <v>9</v>
      </c>
      <c r="E1499" s="224" t="s">
        <v>256</v>
      </c>
      <c r="F1499" s="224" t="s">
        <v>249</v>
      </c>
      <c r="G1499" s="223" t="str">
        <f>VLOOKUP($B1499,'FRS geographical categories'!$A$2:$C$45,2,FALSE)</f>
        <v>Predominantly Urban</v>
      </c>
      <c r="H1499" s="223" t="str">
        <f>VLOOKUP($B1499,'FRS geographical categories'!$A$2:$C$45,3,FALSE)</f>
        <v>Non-metropolitan</v>
      </c>
      <c r="I1499" s="224">
        <v>1889</v>
      </c>
    </row>
    <row r="1500" spans="1:9" ht="15.5" x14ac:dyDescent="0.35">
      <c r="A1500" s="224" t="s">
        <v>56</v>
      </c>
      <c r="B1500" s="224" t="s">
        <v>8</v>
      </c>
      <c r="C1500" s="224" t="s">
        <v>86</v>
      </c>
      <c r="D1500" s="224" t="s">
        <v>9</v>
      </c>
      <c r="E1500" s="224" t="s">
        <v>256</v>
      </c>
      <c r="F1500" s="224" t="s">
        <v>250</v>
      </c>
      <c r="G1500" s="223" t="str">
        <f>VLOOKUP($B1500,'FRS geographical categories'!$A$2:$C$45,2,FALSE)</f>
        <v>Predominantly Urban</v>
      </c>
      <c r="H1500" s="223" t="str">
        <f>VLOOKUP($B1500,'FRS geographical categories'!$A$2:$C$45,3,FALSE)</f>
        <v>Non-metropolitan</v>
      </c>
      <c r="I1500" s="224">
        <v>879</v>
      </c>
    </row>
    <row r="1501" spans="1:9" ht="15.5" x14ac:dyDescent="0.35">
      <c r="A1501" s="224" t="s">
        <v>56</v>
      </c>
      <c r="B1501" s="224" t="s">
        <v>8</v>
      </c>
      <c r="C1501" s="224" t="s">
        <v>86</v>
      </c>
      <c r="D1501" s="224" t="s">
        <v>9</v>
      </c>
      <c r="E1501" s="224" t="s">
        <v>256</v>
      </c>
      <c r="F1501" s="224" t="s">
        <v>111</v>
      </c>
      <c r="G1501" s="223" t="str">
        <f>VLOOKUP($B1501,'FRS geographical categories'!$A$2:$C$45,2,FALSE)</f>
        <v>Predominantly Urban</v>
      </c>
      <c r="H1501" s="223" t="str">
        <f>VLOOKUP($B1501,'FRS geographical categories'!$A$2:$C$45,3,FALSE)</f>
        <v>Non-metropolitan</v>
      </c>
      <c r="I1501" s="224">
        <v>3463</v>
      </c>
    </row>
    <row r="1502" spans="1:9" ht="15.5" x14ac:dyDescent="0.35">
      <c r="A1502" s="224" t="s">
        <v>56</v>
      </c>
      <c r="B1502" s="224" t="s">
        <v>8</v>
      </c>
      <c r="C1502" s="224" t="s">
        <v>86</v>
      </c>
      <c r="D1502" s="224" t="s">
        <v>9</v>
      </c>
      <c r="E1502" s="224" t="s">
        <v>256</v>
      </c>
      <c r="F1502" s="224" t="s">
        <v>10</v>
      </c>
      <c r="G1502" s="223" t="str">
        <f>VLOOKUP($B1502,'FRS geographical categories'!$A$2:$C$45,2,FALSE)</f>
        <v>Predominantly Urban</v>
      </c>
      <c r="H1502" s="223" t="str">
        <f>VLOOKUP($B1502,'FRS geographical categories'!$A$2:$C$45,3,FALSE)</f>
        <v>Non-metropolitan</v>
      </c>
      <c r="I1502" s="224">
        <v>3891</v>
      </c>
    </row>
    <row r="1503" spans="1:9" ht="15.5" x14ac:dyDescent="0.35">
      <c r="A1503" s="224" t="s">
        <v>56</v>
      </c>
      <c r="B1503" s="224" t="s">
        <v>8</v>
      </c>
      <c r="C1503" s="224" t="s">
        <v>86</v>
      </c>
      <c r="D1503" s="224" t="s">
        <v>55</v>
      </c>
      <c r="E1503" s="224" t="s">
        <v>256</v>
      </c>
      <c r="F1503" s="224" t="s">
        <v>248</v>
      </c>
      <c r="G1503" s="223" t="str">
        <f>VLOOKUP($B1503,'FRS geographical categories'!$A$2:$C$45,2,FALSE)</f>
        <v>Predominantly Urban</v>
      </c>
      <c r="H1503" s="223" t="str">
        <f>VLOOKUP($B1503,'FRS geographical categories'!$A$2:$C$45,3,FALSE)</f>
        <v>Non-metropolitan</v>
      </c>
      <c r="I1503" s="224">
        <v>0</v>
      </c>
    </row>
    <row r="1504" spans="1:9" ht="15.5" x14ac:dyDescent="0.35">
      <c r="A1504" s="224" t="s">
        <v>56</v>
      </c>
      <c r="B1504" s="224" t="s">
        <v>8</v>
      </c>
      <c r="C1504" s="224" t="s">
        <v>86</v>
      </c>
      <c r="D1504" s="224" t="s">
        <v>55</v>
      </c>
      <c r="E1504" s="224" t="s">
        <v>256</v>
      </c>
      <c r="F1504" s="224" t="s">
        <v>249</v>
      </c>
      <c r="G1504" s="223" t="str">
        <f>VLOOKUP($B1504,'FRS geographical categories'!$A$2:$C$45,2,FALSE)</f>
        <v>Predominantly Urban</v>
      </c>
      <c r="H1504" s="223" t="str">
        <f>VLOOKUP($B1504,'FRS geographical categories'!$A$2:$C$45,3,FALSE)</f>
        <v>Non-metropolitan</v>
      </c>
      <c r="I1504" s="224">
        <v>0</v>
      </c>
    </row>
    <row r="1505" spans="1:9" ht="15.5" x14ac:dyDescent="0.35">
      <c r="A1505" s="224" t="s">
        <v>56</v>
      </c>
      <c r="B1505" s="224" t="s">
        <v>8</v>
      </c>
      <c r="C1505" s="224" t="s">
        <v>86</v>
      </c>
      <c r="D1505" s="224" t="s">
        <v>55</v>
      </c>
      <c r="E1505" s="224" t="s">
        <v>256</v>
      </c>
      <c r="F1505" s="224" t="s">
        <v>250</v>
      </c>
      <c r="G1505" s="223" t="str">
        <f>VLOOKUP($B1505,'FRS geographical categories'!$A$2:$C$45,2,FALSE)</f>
        <v>Predominantly Urban</v>
      </c>
      <c r="H1505" s="223" t="str">
        <f>VLOOKUP($B1505,'FRS geographical categories'!$A$2:$C$45,3,FALSE)</f>
        <v>Non-metropolitan</v>
      </c>
      <c r="I1505" s="224">
        <v>0</v>
      </c>
    </row>
    <row r="1506" spans="1:9" ht="15.5" x14ac:dyDescent="0.35">
      <c r="A1506" s="224" t="s">
        <v>56</v>
      </c>
      <c r="B1506" s="224" t="s">
        <v>8</v>
      </c>
      <c r="C1506" s="224" t="s">
        <v>86</v>
      </c>
      <c r="D1506" s="224" t="s">
        <v>55</v>
      </c>
      <c r="E1506" s="224" t="s">
        <v>256</v>
      </c>
      <c r="F1506" s="224" t="s">
        <v>111</v>
      </c>
      <c r="G1506" s="223" t="str">
        <f>VLOOKUP($B1506,'FRS geographical categories'!$A$2:$C$45,2,FALSE)</f>
        <v>Predominantly Urban</v>
      </c>
      <c r="H1506" s="223" t="str">
        <f>VLOOKUP($B1506,'FRS geographical categories'!$A$2:$C$45,3,FALSE)</f>
        <v>Non-metropolitan</v>
      </c>
      <c r="I1506" s="224">
        <v>0</v>
      </c>
    </row>
    <row r="1507" spans="1:9" ht="15.5" x14ac:dyDescent="0.35">
      <c r="A1507" s="224" t="s">
        <v>56</v>
      </c>
      <c r="B1507" s="224" t="s">
        <v>8</v>
      </c>
      <c r="C1507" s="224" t="s">
        <v>86</v>
      </c>
      <c r="D1507" s="224" t="s">
        <v>55</v>
      </c>
      <c r="E1507" s="224" t="s">
        <v>256</v>
      </c>
      <c r="F1507" s="224" t="s">
        <v>10</v>
      </c>
      <c r="G1507" s="223" t="str">
        <f>VLOOKUP($B1507,'FRS geographical categories'!$A$2:$C$45,2,FALSE)</f>
        <v>Predominantly Urban</v>
      </c>
      <c r="H1507" s="223" t="str">
        <f>VLOOKUP($B1507,'FRS geographical categories'!$A$2:$C$45,3,FALSE)</f>
        <v>Non-metropolitan</v>
      </c>
      <c r="I1507" s="224">
        <v>0</v>
      </c>
    </row>
    <row r="1508" spans="1:9" ht="15.5" x14ac:dyDescent="0.35">
      <c r="A1508" s="224" t="s">
        <v>56</v>
      </c>
      <c r="B1508" s="224" t="s">
        <v>8</v>
      </c>
      <c r="C1508" s="224" t="s">
        <v>89</v>
      </c>
      <c r="D1508" s="224" t="s">
        <v>9</v>
      </c>
      <c r="E1508" s="224" t="s">
        <v>256</v>
      </c>
      <c r="F1508" s="224" t="s">
        <v>248</v>
      </c>
      <c r="G1508" s="223" t="str">
        <f>VLOOKUP($B1508,'FRS geographical categories'!$A$2:$C$45,2,FALSE)</f>
        <v>Predominantly Urban</v>
      </c>
      <c r="H1508" s="223" t="str">
        <f>VLOOKUP($B1508,'FRS geographical categories'!$A$2:$C$45,3,FALSE)</f>
        <v>Non-metropolitan</v>
      </c>
      <c r="I1508" s="224">
        <v>0</v>
      </c>
    </row>
    <row r="1509" spans="1:9" ht="15.5" x14ac:dyDescent="0.35">
      <c r="A1509" s="224" t="s">
        <v>56</v>
      </c>
      <c r="B1509" s="224" t="s">
        <v>8</v>
      </c>
      <c r="C1509" s="224" t="s">
        <v>89</v>
      </c>
      <c r="D1509" s="224" t="s">
        <v>9</v>
      </c>
      <c r="E1509" s="224" t="s">
        <v>256</v>
      </c>
      <c r="F1509" s="224" t="s">
        <v>249</v>
      </c>
      <c r="G1509" s="223" t="str">
        <f>VLOOKUP($B1509,'FRS geographical categories'!$A$2:$C$45,2,FALSE)</f>
        <v>Predominantly Urban</v>
      </c>
      <c r="H1509" s="223" t="str">
        <f>VLOOKUP($B1509,'FRS geographical categories'!$A$2:$C$45,3,FALSE)</f>
        <v>Non-metropolitan</v>
      </c>
      <c r="I1509" s="224">
        <v>0</v>
      </c>
    </row>
    <row r="1510" spans="1:9" ht="15.5" x14ac:dyDescent="0.35">
      <c r="A1510" s="224" t="s">
        <v>56</v>
      </c>
      <c r="B1510" s="224" t="s">
        <v>8</v>
      </c>
      <c r="C1510" s="224" t="s">
        <v>89</v>
      </c>
      <c r="D1510" s="224" t="s">
        <v>9</v>
      </c>
      <c r="E1510" s="224" t="s">
        <v>256</v>
      </c>
      <c r="F1510" s="224" t="s">
        <v>250</v>
      </c>
      <c r="G1510" s="223" t="str">
        <f>VLOOKUP($B1510,'FRS geographical categories'!$A$2:$C$45,2,FALSE)</f>
        <v>Predominantly Urban</v>
      </c>
      <c r="H1510" s="223" t="str">
        <f>VLOOKUP($B1510,'FRS geographical categories'!$A$2:$C$45,3,FALSE)</f>
        <v>Non-metropolitan</v>
      </c>
      <c r="I1510" s="224">
        <v>0</v>
      </c>
    </row>
    <row r="1511" spans="1:9" ht="15.5" x14ac:dyDescent="0.35">
      <c r="A1511" s="224" t="s">
        <v>56</v>
      </c>
      <c r="B1511" s="224" t="s">
        <v>8</v>
      </c>
      <c r="C1511" s="224" t="s">
        <v>89</v>
      </c>
      <c r="D1511" s="224" t="s">
        <v>9</v>
      </c>
      <c r="E1511" s="224" t="s">
        <v>256</v>
      </c>
      <c r="F1511" s="224" t="s">
        <v>10</v>
      </c>
      <c r="G1511" s="223" t="str">
        <f>VLOOKUP($B1511,'FRS geographical categories'!$A$2:$C$45,2,FALSE)</f>
        <v>Predominantly Urban</v>
      </c>
      <c r="H1511" s="223" t="str">
        <f>VLOOKUP($B1511,'FRS geographical categories'!$A$2:$C$45,3,FALSE)</f>
        <v>Non-metropolitan</v>
      </c>
      <c r="I1511" s="224">
        <v>0</v>
      </c>
    </row>
    <row r="1512" spans="1:9" ht="15.5" x14ac:dyDescent="0.35">
      <c r="A1512" s="224" t="s">
        <v>56</v>
      </c>
      <c r="B1512" s="224" t="s">
        <v>8</v>
      </c>
      <c r="C1512" s="224" t="s">
        <v>89</v>
      </c>
      <c r="D1512" s="224" t="s">
        <v>55</v>
      </c>
      <c r="E1512" s="224" t="s">
        <v>256</v>
      </c>
      <c r="F1512" s="224" t="s">
        <v>248</v>
      </c>
      <c r="G1512" s="223" t="str">
        <f>VLOOKUP($B1512,'FRS geographical categories'!$A$2:$C$45,2,FALSE)</f>
        <v>Predominantly Urban</v>
      </c>
      <c r="H1512" s="223" t="str">
        <f>VLOOKUP($B1512,'FRS geographical categories'!$A$2:$C$45,3,FALSE)</f>
        <v>Non-metropolitan</v>
      </c>
      <c r="I1512" s="224">
        <v>0</v>
      </c>
    </row>
    <row r="1513" spans="1:9" ht="15.5" x14ac:dyDescent="0.35">
      <c r="A1513" s="224" t="s">
        <v>56</v>
      </c>
      <c r="B1513" s="224" t="s">
        <v>8</v>
      </c>
      <c r="C1513" s="224" t="s">
        <v>89</v>
      </c>
      <c r="D1513" s="224" t="s">
        <v>55</v>
      </c>
      <c r="E1513" s="224" t="s">
        <v>256</v>
      </c>
      <c r="F1513" s="224" t="s">
        <v>249</v>
      </c>
      <c r="G1513" s="223" t="str">
        <f>VLOOKUP($B1513,'FRS geographical categories'!$A$2:$C$45,2,FALSE)</f>
        <v>Predominantly Urban</v>
      </c>
      <c r="H1513" s="223" t="str">
        <f>VLOOKUP($B1513,'FRS geographical categories'!$A$2:$C$45,3,FALSE)</f>
        <v>Non-metropolitan</v>
      </c>
      <c r="I1513" s="224">
        <v>0</v>
      </c>
    </row>
    <row r="1514" spans="1:9" ht="15.5" x14ac:dyDescent="0.35">
      <c r="A1514" s="224" t="s">
        <v>56</v>
      </c>
      <c r="B1514" s="224" t="s">
        <v>8</v>
      </c>
      <c r="C1514" s="224" t="s">
        <v>89</v>
      </c>
      <c r="D1514" s="224" t="s">
        <v>55</v>
      </c>
      <c r="E1514" s="224" t="s">
        <v>256</v>
      </c>
      <c r="F1514" s="224" t="s">
        <v>250</v>
      </c>
      <c r="G1514" s="223" t="str">
        <f>VLOOKUP($B1514,'FRS geographical categories'!$A$2:$C$45,2,FALSE)</f>
        <v>Predominantly Urban</v>
      </c>
      <c r="H1514" s="223" t="str">
        <f>VLOOKUP($B1514,'FRS geographical categories'!$A$2:$C$45,3,FALSE)</f>
        <v>Non-metropolitan</v>
      </c>
      <c r="I1514" s="224">
        <v>0</v>
      </c>
    </row>
    <row r="1515" spans="1:9" ht="15.5" x14ac:dyDescent="0.35">
      <c r="A1515" s="224" t="s">
        <v>56</v>
      </c>
      <c r="B1515" s="224" t="s">
        <v>8</v>
      </c>
      <c r="C1515" s="224" t="s">
        <v>89</v>
      </c>
      <c r="D1515" s="224" t="s">
        <v>55</v>
      </c>
      <c r="E1515" s="224" t="s">
        <v>256</v>
      </c>
      <c r="F1515" s="224" t="s">
        <v>10</v>
      </c>
      <c r="G1515" s="223" t="str">
        <f>VLOOKUP($B1515,'FRS geographical categories'!$A$2:$C$45,2,FALSE)</f>
        <v>Predominantly Urban</v>
      </c>
      <c r="H1515" s="223" t="str">
        <f>VLOOKUP($B1515,'FRS geographical categories'!$A$2:$C$45,3,FALSE)</f>
        <v>Non-metropolitan</v>
      </c>
      <c r="I1515" s="224">
        <v>0</v>
      </c>
    </row>
    <row r="1516" spans="1:9" ht="15.5" x14ac:dyDescent="0.35">
      <c r="A1516" s="224" t="s">
        <v>56</v>
      </c>
      <c r="B1516" s="224" t="s">
        <v>11</v>
      </c>
      <c r="C1516" s="224" t="s">
        <v>86</v>
      </c>
      <c r="D1516" s="224" t="s">
        <v>9</v>
      </c>
      <c r="E1516" s="224" t="s">
        <v>256</v>
      </c>
      <c r="F1516" s="224" t="s">
        <v>248</v>
      </c>
      <c r="G1516" s="223" t="str">
        <f>VLOOKUP($B1516,'FRS geographical categories'!$A$2:$C$45,2,FALSE)</f>
        <v>Significantly Rural</v>
      </c>
      <c r="H1516" s="223" t="str">
        <f>VLOOKUP($B1516,'FRS geographical categories'!$A$2:$C$45,3,FALSE)</f>
        <v>Non-metropolitan</v>
      </c>
      <c r="I1516" s="224">
        <v>237</v>
      </c>
    </row>
    <row r="1517" spans="1:9" ht="15.5" x14ac:dyDescent="0.35">
      <c r="A1517" s="224" t="s">
        <v>56</v>
      </c>
      <c r="B1517" s="224" t="s">
        <v>11</v>
      </c>
      <c r="C1517" s="224" t="s">
        <v>86</v>
      </c>
      <c r="D1517" s="224" t="s">
        <v>9</v>
      </c>
      <c r="E1517" s="224" t="s">
        <v>256</v>
      </c>
      <c r="F1517" s="224" t="s">
        <v>249</v>
      </c>
      <c r="G1517" s="223" t="str">
        <f>VLOOKUP($B1517,'FRS geographical categories'!$A$2:$C$45,2,FALSE)</f>
        <v>Significantly Rural</v>
      </c>
      <c r="H1517" s="223" t="str">
        <f>VLOOKUP($B1517,'FRS geographical categories'!$A$2:$C$45,3,FALSE)</f>
        <v>Non-metropolitan</v>
      </c>
      <c r="I1517" s="224">
        <v>307</v>
      </c>
    </row>
    <row r="1518" spans="1:9" ht="15.5" x14ac:dyDescent="0.35">
      <c r="A1518" s="224" t="s">
        <v>56</v>
      </c>
      <c r="B1518" s="224" t="s">
        <v>11</v>
      </c>
      <c r="C1518" s="224" t="s">
        <v>86</v>
      </c>
      <c r="D1518" s="224" t="s">
        <v>9</v>
      </c>
      <c r="E1518" s="224" t="s">
        <v>256</v>
      </c>
      <c r="F1518" s="224" t="s">
        <v>250</v>
      </c>
      <c r="G1518" s="223" t="str">
        <f>VLOOKUP($B1518,'FRS geographical categories'!$A$2:$C$45,2,FALSE)</f>
        <v>Significantly Rural</v>
      </c>
      <c r="H1518" s="223" t="str">
        <f>VLOOKUP($B1518,'FRS geographical categories'!$A$2:$C$45,3,FALSE)</f>
        <v>Non-metropolitan</v>
      </c>
      <c r="I1518" s="224">
        <v>2277</v>
      </c>
    </row>
    <row r="1519" spans="1:9" ht="15.5" x14ac:dyDescent="0.35">
      <c r="A1519" s="224" t="s">
        <v>56</v>
      </c>
      <c r="B1519" s="224" t="s">
        <v>11</v>
      </c>
      <c r="C1519" s="224" t="s">
        <v>86</v>
      </c>
      <c r="D1519" s="224" t="s">
        <v>9</v>
      </c>
      <c r="E1519" s="224" t="s">
        <v>256</v>
      </c>
      <c r="F1519" s="224" t="s">
        <v>111</v>
      </c>
      <c r="G1519" s="223" t="str">
        <f>VLOOKUP($B1519,'FRS geographical categories'!$A$2:$C$45,2,FALSE)</f>
        <v>Significantly Rural</v>
      </c>
      <c r="H1519" s="223" t="str">
        <f>VLOOKUP($B1519,'FRS geographical categories'!$A$2:$C$45,3,FALSE)</f>
        <v>Non-metropolitan</v>
      </c>
      <c r="I1519" s="224">
        <v>4846</v>
      </c>
    </row>
    <row r="1520" spans="1:9" ht="15.5" x14ac:dyDescent="0.35">
      <c r="A1520" s="224" t="s">
        <v>56</v>
      </c>
      <c r="B1520" s="224" t="s">
        <v>11</v>
      </c>
      <c r="C1520" s="224" t="s">
        <v>86</v>
      </c>
      <c r="D1520" s="224" t="s">
        <v>9</v>
      </c>
      <c r="E1520" s="224" t="s">
        <v>256</v>
      </c>
      <c r="F1520" s="224" t="s">
        <v>10</v>
      </c>
      <c r="G1520" s="223" t="str">
        <f>VLOOKUP($B1520,'FRS geographical categories'!$A$2:$C$45,2,FALSE)</f>
        <v>Significantly Rural</v>
      </c>
      <c r="H1520" s="223" t="str">
        <f>VLOOKUP($B1520,'FRS geographical categories'!$A$2:$C$45,3,FALSE)</f>
        <v>Non-metropolitan</v>
      </c>
      <c r="I1520" s="224">
        <v>5311</v>
      </c>
    </row>
    <row r="1521" spans="1:9" ht="15.5" x14ac:dyDescent="0.35">
      <c r="A1521" s="224" t="s">
        <v>56</v>
      </c>
      <c r="B1521" s="224" t="s">
        <v>11</v>
      </c>
      <c r="C1521" s="224" t="s">
        <v>86</v>
      </c>
      <c r="D1521" s="224" t="s">
        <v>55</v>
      </c>
      <c r="E1521" s="224" t="s">
        <v>256</v>
      </c>
      <c r="F1521" s="224" t="s">
        <v>248</v>
      </c>
      <c r="G1521" s="223" t="str">
        <f>VLOOKUP($B1521,'FRS geographical categories'!$A$2:$C$45,2,FALSE)</f>
        <v>Significantly Rural</v>
      </c>
      <c r="H1521" s="223" t="str">
        <f>VLOOKUP($B1521,'FRS geographical categories'!$A$2:$C$45,3,FALSE)</f>
        <v>Non-metropolitan</v>
      </c>
      <c r="I1521" s="224">
        <v>5</v>
      </c>
    </row>
    <row r="1522" spans="1:9" ht="15.5" x14ac:dyDescent="0.35">
      <c r="A1522" s="224" t="s">
        <v>56</v>
      </c>
      <c r="B1522" s="224" t="s">
        <v>11</v>
      </c>
      <c r="C1522" s="224" t="s">
        <v>86</v>
      </c>
      <c r="D1522" s="224" t="s">
        <v>55</v>
      </c>
      <c r="E1522" s="224" t="s">
        <v>256</v>
      </c>
      <c r="F1522" s="224" t="s">
        <v>249</v>
      </c>
      <c r="G1522" s="223" t="str">
        <f>VLOOKUP($B1522,'FRS geographical categories'!$A$2:$C$45,2,FALSE)</f>
        <v>Significantly Rural</v>
      </c>
      <c r="H1522" s="223" t="str">
        <f>VLOOKUP($B1522,'FRS geographical categories'!$A$2:$C$45,3,FALSE)</f>
        <v>Non-metropolitan</v>
      </c>
      <c r="I1522" s="224">
        <v>7</v>
      </c>
    </row>
    <row r="1523" spans="1:9" ht="15.5" x14ac:dyDescent="0.35">
      <c r="A1523" s="224" t="s">
        <v>56</v>
      </c>
      <c r="B1523" s="224" t="s">
        <v>11</v>
      </c>
      <c r="C1523" s="224" t="s">
        <v>86</v>
      </c>
      <c r="D1523" s="224" t="s">
        <v>55</v>
      </c>
      <c r="E1523" s="224" t="s">
        <v>256</v>
      </c>
      <c r="F1523" s="224" t="s">
        <v>250</v>
      </c>
      <c r="G1523" s="223" t="str">
        <f>VLOOKUP($B1523,'FRS geographical categories'!$A$2:$C$45,2,FALSE)</f>
        <v>Significantly Rural</v>
      </c>
      <c r="H1523" s="223" t="str">
        <f>VLOOKUP($B1523,'FRS geographical categories'!$A$2:$C$45,3,FALSE)</f>
        <v>Non-metropolitan</v>
      </c>
      <c r="I1523" s="224">
        <v>925</v>
      </c>
    </row>
    <row r="1524" spans="1:9" ht="15.5" x14ac:dyDescent="0.35">
      <c r="A1524" s="224" t="s">
        <v>56</v>
      </c>
      <c r="B1524" s="224" t="s">
        <v>11</v>
      </c>
      <c r="C1524" s="224" t="s">
        <v>86</v>
      </c>
      <c r="D1524" s="224" t="s">
        <v>55</v>
      </c>
      <c r="E1524" s="224" t="s">
        <v>256</v>
      </c>
      <c r="F1524" s="224" t="s">
        <v>111</v>
      </c>
      <c r="G1524" s="223" t="str">
        <f>VLOOKUP($B1524,'FRS geographical categories'!$A$2:$C$45,2,FALSE)</f>
        <v>Significantly Rural</v>
      </c>
      <c r="H1524" s="223" t="str">
        <f>VLOOKUP($B1524,'FRS geographical categories'!$A$2:$C$45,3,FALSE)</f>
        <v>Non-metropolitan</v>
      </c>
      <c r="I1524" s="224">
        <v>2243</v>
      </c>
    </row>
    <row r="1525" spans="1:9" ht="15.5" x14ac:dyDescent="0.35">
      <c r="A1525" s="224" t="s">
        <v>56</v>
      </c>
      <c r="B1525" s="224" t="s">
        <v>11</v>
      </c>
      <c r="C1525" s="224" t="s">
        <v>86</v>
      </c>
      <c r="D1525" s="224" t="s">
        <v>55</v>
      </c>
      <c r="E1525" s="224" t="s">
        <v>256</v>
      </c>
      <c r="F1525" s="224" t="s">
        <v>10</v>
      </c>
      <c r="G1525" s="223" t="str">
        <f>VLOOKUP($B1525,'FRS geographical categories'!$A$2:$C$45,2,FALSE)</f>
        <v>Significantly Rural</v>
      </c>
      <c r="H1525" s="223" t="str">
        <f>VLOOKUP($B1525,'FRS geographical categories'!$A$2:$C$45,3,FALSE)</f>
        <v>Non-metropolitan</v>
      </c>
      <c r="I1525" s="224">
        <v>3001</v>
      </c>
    </row>
    <row r="1526" spans="1:9" ht="15.5" x14ac:dyDescent="0.35">
      <c r="A1526" s="224" t="s">
        <v>56</v>
      </c>
      <c r="B1526" s="224" t="s">
        <v>11</v>
      </c>
      <c r="C1526" s="224" t="s">
        <v>89</v>
      </c>
      <c r="D1526" s="224" t="s">
        <v>9</v>
      </c>
      <c r="E1526" s="224" t="s">
        <v>256</v>
      </c>
      <c r="F1526" s="224" t="s">
        <v>248</v>
      </c>
      <c r="G1526" s="223" t="str">
        <f>VLOOKUP($B1526,'FRS geographical categories'!$A$2:$C$45,2,FALSE)</f>
        <v>Significantly Rural</v>
      </c>
      <c r="H1526" s="223" t="str">
        <f>VLOOKUP($B1526,'FRS geographical categories'!$A$2:$C$45,3,FALSE)</f>
        <v>Non-metropolitan</v>
      </c>
      <c r="I1526" s="224">
        <v>52</v>
      </c>
    </row>
    <row r="1527" spans="1:9" ht="15.5" x14ac:dyDescent="0.35">
      <c r="A1527" s="224" t="s">
        <v>56</v>
      </c>
      <c r="B1527" s="224" t="s">
        <v>11</v>
      </c>
      <c r="C1527" s="224" t="s">
        <v>89</v>
      </c>
      <c r="D1527" s="224" t="s">
        <v>9</v>
      </c>
      <c r="E1527" s="224" t="s">
        <v>256</v>
      </c>
      <c r="F1527" s="224" t="s">
        <v>249</v>
      </c>
      <c r="G1527" s="223" t="str">
        <f>VLOOKUP($B1527,'FRS geographical categories'!$A$2:$C$45,2,FALSE)</f>
        <v>Significantly Rural</v>
      </c>
      <c r="H1527" s="223" t="str">
        <f>VLOOKUP($B1527,'FRS geographical categories'!$A$2:$C$45,3,FALSE)</f>
        <v>Non-metropolitan</v>
      </c>
      <c r="I1527" s="224">
        <v>9</v>
      </c>
    </row>
    <row r="1528" spans="1:9" ht="15.5" x14ac:dyDescent="0.35">
      <c r="A1528" s="224" t="s">
        <v>56</v>
      </c>
      <c r="B1528" s="224" t="s">
        <v>11</v>
      </c>
      <c r="C1528" s="224" t="s">
        <v>89</v>
      </c>
      <c r="D1528" s="224" t="s">
        <v>9</v>
      </c>
      <c r="E1528" s="224" t="s">
        <v>256</v>
      </c>
      <c r="F1528" s="224" t="s">
        <v>250</v>
      </c>
      <c r="G1528" s="223" t="str">
        <f>VLOOKUP($B1528,'FRS geographical categories'!$A$2:$C$45,2,FALSE)</f>
        <v>Significantly Rural</v>
      </c>
      <c r="H1528" s="223" t="str">
        <f>VLOOKUP($B1528,'FRS geographical categories'!$A$2:$C$45,3,FALSE)</f>
        <v>Non-metropolitan</v>
      </c>
      <c r="I1528" s="224">
        <v>22</v>
      </c>
    </row>
    <row r="1529" spans="1:9" ht="15.5" x14ac:dyDescent="0.35">
      <c r="A1529" s="224" t="s">
        <v>56</v>
      </c>
      <c r="B1529" s="224" t="s">
        <v>11</v>
      </c>
      <c r="C1529" s="224" t="s">
        <v>89</v>
      </c>
      <c r="D1529" s="224" t="s">
        <v>9</v>
      </c>
      <c r="E1529" s="224" t="s">
        <v>256</v>
      </c>
      <c r="F1529" s="224" t="s">
        <v>10</v>
      </c>
      <c r="G1529" s="223" t="str">
        <f>VLOOKUP($B1529,'FRS geographical categories'!$A$2:$C$45,2,FALSE)</f>
        <v>Significantly Rural</v>
      </c>
      <c r="H1529" s="223" t="str">
        <f>VLOOKUP($B1529,'FRS geographical categories'!$A$2:$C$45,3,FALSE)</f>
        <v>Non-metropolitan</v>
      </c>
      <c r="I1529" s="224">
        <v>101</v>
      </c>
    </row>
    <row r="1530" spans="1:9" ht="15.5" x14ac:dyDescent="0.35">
      <c r="A1530" s="224" t="s">
        <v>56</v>
      </c>
      <c r="B1530" s="224" t="s">
        <v>11</v>
      </c>
      <c r="C1530" s="224" t="s">
        <v>89</v>
      </c>
      <c r="D1530" s="224" t="s">
        <v>55</v>
      </c>
      <c r="E1530" s="224" t="s">
        <v>256</v>
      </c>
      <c r="F1530" s="224" t="s">
        <v>248</v>
      </c>
      <c r="G1530" s="223" t="str">
        <f>VLOOKUP($B1530,'FRS geographical categories'!$A$2:$C$45,2,FALSE)</f>
        <v>Significantly Rural</v>
      </c>
      <c r="H1530" s="223" t="str">
        <f>VLOOKUP($B1530,'FRS geographical categories'!$A$2:$C$45,3,FALSE)</f>
        <v>Non-metropolitan</v>
      </c>
      <c r="I1530" s="224">
        <v>2</v>
      </c>
    </row>
    <row r="1531" spans="1:9" ht="15.5" x14ac:dyDescent="0.35">
      <c r="A1531" s="224" t="s">
        <v>56</v>
      </c>
      <c r="B1531" s="224" t="s">
        <v>11</v>
      </c>
      <c r="C1531" s="224" t="s">
        <v>89</v>
      </c>
      <c r="D1531" s="224" t="s">
        <v>55</v>
      </c>
      <c r="E1531" s="224" t="s">
        <v>256</v>
      </c>
      <c r="F1531" s="224" t="s">
        <v>249</v>
      </c>
      <c r="G1531" s="223" t="str">
        <f>VLOOKUP($B1531,'FRS geographical categories'!$A$2:$C$45,2,FALSE)</f>
        <v>Significantly Rural</v>
      </c>
      <c r="H1531" s="223" t="str">
        <f>VLOOKUP($B1531,'FRS geographical categories'!$A$2:$C$45,3,FALSE)</f>
        <v>Non-metropolitan</v>
      </c>
      <c r="I1531" s="224">
        <v>0</v>
      </c>
    </row>
    <row r="1532" spans="1:9" ht="15.5" x14ac:dyDescent="0.35">
      <c r="A1532" s="224" t="s">
        <v>56</v>
      </c>
      <c r="B1532" s="224" t="s">
        <v>11</v>
      </c>
      <c r="C1532" s="224" t="s">
        <v>89</v>
      </c>
      <c r="D1532" s="224" t="s">
        <v>55</v>
      </c>
      <c r="E1532" s="224" t="s">
        <v>256</v>
      </c>
      <c r="F1532" s="224" t="s">
        <v>250</v>
      </c>
      <c r="G1532" s="223" t="str">
        <f>VLOOKUP($B1532,'FRS geographical categories'!$A$2:$C$45,2,FALSE)</f>
        <v>Significantly Rural</v>
      </c>
      <c r="H1532" s="223" t="str">
        <f>VLOOKUP($B1532,'FRS geographical categories'!$A$2:$C$45,3,FALSE)</f>
        <v>Non-metropolitan</v>
      </c>
      <c r="I1532" s="224">
        <v>3</v>
      </c>
    </row>
    <row r="1533" spans="1:9" ht="15.5" x14ac:dyDescent="0.35">
      <c r="A1533" s="224" t="s">
        <v>56</v>
      </c>
      <c r="B1533" s="224" t="s">
        <v>11</v>
      </c>
      <c r="C1533" s="224" t="s">
        <v>89</v>
      </c>
      <c r="D1533" s="224" t="s">
        <v>55</v>
      </c>
      <c r="E1533" s="224" t="s">
        <v>256</v>
      </c>
      <c r="F1533" s="224" t="s">
        <v>10</v>
      </c>
      <c r="G1533" s="223" t="str">
        <f>VLOOKUP($B1533,'FRS geographical categories'!$A$2:$C$45,2,FALSE)</f>
        <v>Significantly Rural</v>
      </c>
      <c r="H1533" s="223" t="str">
        <f>VLOOKUP($B1533,'FRS geographical categories'!$A$2:$C$45,3,FALSE)</f>
        <v>Non-metropolitan</v>
      </c>
      <c r="I1533" s="224">
        <v>5</v>
      </c>
    </row>
    <row r="1534" spans="1:9" ht="15.5" x14ac:dyDescent="0.35">
      <c r="A1534" s="224" t="s">
        <v>56</v>
      </c>
      <c r="B1534" s="224" t="s">
        <v>12</v>
      </c>
      <c r="C1534" s="224" t="s">
        <v>86</v>
      </c>
      <c r="D1534" s="224" t="s">
        <v>9</v>
      </c>
      <c r="E1534" s="224" t="s">
        <v>256</v>
      </c>
      <c r="F1534" s="224" t="s">
        <v>248</v>
      </c>
      <c r="G1534" s="223" t="str">
        <f>VLOOKUP($B1534,'FRS geographical categories'!$A$2:$C$45,2,FALSE)</f>
        <v>Predominantly Urban</v>
      </c>
      <c r="H1534" s="223" t="str">
        <f>VLOOKUP($B1534,'FRS geographical categories'!$A$2:$C$45,3,FALSE)</f>
        <v>Non-metropolitan</v>
      </c>
      <c r="I1534" s="224">
        <v>227</v>
      </c>
    </row>
    <row r="1535" spans="1:9" ht="15.5" x14ac:dyDescent="0.35">
      <c r="A1535" s="224" t="s">
        <v>56</v>
      </c>
      <c r="B1535" s="224" t="s">
        <v>12</v>
      </c>
      <c r="C1535" s="224" t="s">
        <v>86</v>
      </c>
      <c r="D1535" s="224" t="s">
        <v>9</v>
      </c>
      <c r="E1535" s="224" t="s">
        <v>256</v>
      </c>
      <c r="F1535" s="224" t="s">
        <v>249</v>
      </c>
      <c r="G1535" s="223" t="str">
        <f>VLOOKUP($B1535,'FRS geographical categories'!$A$2:$C$45,2,FALSE)</f>
        <v>Predominantly Urban</v>
      </c>
      <c r="H1535" s="223" t="str">
        <f>VLOOKUP($B1535,'FRS geographical categories'!$A$2:$C$45,3,FALSE)</f>
        <v>Non-metropolitan</v>
      </c>
      <c r="I1535" s="224">
        <v>867</v>
      </c>
    </row>
    <row r="1536" spans="1:9" ht="15.5" x14ac:dyDescent="0.35">
      <c r="A1536" s="224" t="s">
        <v>56</v>
      </c>
      <c r="B1536" s="224" t="s">
        <v>12</v>
      </c>
      <c r="C1536" s="224" t="s">
        <v>86</v>
      </c>
      <c r="D1536" s="224" t="s">
        <v>9</v>
      </c>
      <c r="E1536" s="224" t="s">
        <v>256</v>
      </c>
      <c r="F1536" s="224" t="s">
        <v>250</v>
      </c>
      <c r="G1536" s="223" t="str">
        <f>VLOOKUP($B1536,'FRS geographical categories'!$A$2:$C$45,2,FALSE)</f>
        <v>Predominantly Urban</v>
      </c>
      <c r="H1536" s="223" t="str">
        <f>VLOOKUP($B1536,'FRS geographical categories'!$A$2:$C$45,3,FALSE)</f>
        <v>Non-metropolitan</v>
      </c>
      <c r="I1536" s="224">
        <v>3966</v>
      </c>
    </row>
    <row r="1537" spans="1:9" ht="15.5" x14ac:dyDescent="0.35">
      <c r="A1537" s="224" t="s">
        <v>56</v>
      </c>
      <c r="B1537" s="224" t="s">
        <v>12</v>
      </c>
      <c r="C1537" s="224" t="s">
        <v>86</v>
      </c>
      <c r="D1537" s="224" t="s">
        <v>9</v>
      </c>
      <c r="E1537" s="224" t="s">
        <v>256</v>
      </c>
      <c r="F1537" s="224" t="s">
        <v>111</v>
      </c>
      <c r="G1537" s="223" t="str">
        <f>VLOOKUP($B1537,'FRS geographical categories'!$A$2:$C$45,2,FALSE)</f>
        <v>Predominantly Urban</v>
      </c>
      <c r="H1537" s="223" t="str">
        <f>VLOOKUP($B1537,'FRS geographical categories'!$A$2:$C$45,3,FALSE)</f>
        <v>Non-metropolitan</v>
      </c>
      <c r="I1537" s="224">
        <v>6733</v>
      </c>
    </row>
    <row r="1538" spans="1:9" ht="15.5" x14ac:dyDescent="0.35">
      <c r="A1538" s="224" t="s">
        <v>56</v>
      </c>
      <c r="B1538" s="224" t="s">
        <v>12</v>
      </c>
      <c r="C1538" s="224" t="s">
        <v>86</v>
      </c>
      <c r="D1538" s="224" t="s">
        <v>9</v>
      </c>
      <c r="E1538" s="224" t="s">
        <v>256</v>
      </c>
      <c r="F1538" s="224" t="s">
        <v>10</v>
      </c>
      <c r="G1538" s="223" t="str">
        <f>VLOOKUP($B1538,'FRS geographical categories'!$A$2:$C$45,2,FALSE)</f>
        <v>Predominantly Urban</v>
      </c>
      <c r="H1538" s="223" t="str">
        <f>VLOOKUP($B1538,'FRS geographical categories'!$A$2:$C$45,3,FALSE)</f>
        <v>Non-metropolitan</v>
      </c>
      <c r="I1538" s="224">
        <v>6733</v>
      </c>
    </row>
    <row r="1539" spans="1:9" ht="15.5" x14ac:dyDescent="0.35">
      <c r="A1539" s="224" t="s">
        <v>56</v>
      </c>
      <c r="B1539" s="224" t="s">
        <v>12</v>
      </c>
      <c r="C1539" s="224" t="s">
        <v>86</v>
      </c>
      <c r="D1539" s="224" t="s">
        <v>55</v>
      </c>
      <c r="E1539" s="224" t="s">
        <v>256</v>
      </c>
      <c r="F1539" s="224" t="s">
        <v>248</v>
      </c>
      <c r="G1539" s="223" t="str">
        <f>VLOOKUP($B1539,'FRS geographical categories'!$A$2:$C$45,2,FALSE)</f>
        <v>Predominantly Urban</v>
      </c>
      <c r="H1539" s="223" t="str">
        <f>VLOOKUP($B1539,'FRS geographical categories'!$A$2:$C$45,3,FALSE)</f>
        <v>Non-metropolitan</v>
      </c>
      <c r="I1539" s="224">
        <v>0</v>
      </c>
    </row>
    <row r="1540" spans="1:9" ht="15.5" x14ac:dyDescent="0.35">
      <c r="A1540" s="224" t="s">
        <v>56</v>
      </c>
      <c r="B1540" s="224" t="s">
        <v>12</v>
      </c>
      <c r="C1540" s="224" t="s">
        <v>86</v>
      </c>
      <c r="D1540" s="224" t="s">
        <v>55</v>
      </c>
      <c r="E1540" s="224" t="s">
        <v>256</v>
      </c>
      <c r="F1540" s="224" t="s">
        <v>249</v>
      </c>
      <c r="G1540" s="223" t="str">
        <f>VLOOKUP($B1540,'FRS geographical categories'!$A$2:$C$45,2,FALSE)</f>
        <v>Predominantly Urban</v>
      </c>
      <c r="H1540" s="223" t="str">
        <f>VLOOKUP($B1540,'FRS geographical categories'!$A$2:$C$45,3,FALSE)</f>
        <v>Non-metropolitan</v>
      </c>
      <c r="I1540" s="224">
        <v>0</v>
      </c>
    </row>
    <row r="1541" spans="1:9" ht="15.5" x14ac:dyDescent="0.35">
      <c r="A1541" s="224" t="s">
        <v>56</v>
      </c>
      <c r="B1541" s="224" t="s">
        <v>12</v>
      </c>
      <c r="C1541" s="224" t="s">
        <v>86</v>
      </c>
      <c r="D1541" s="224" t="s">
        <v>55</v>
      </c>
      <c r="E1541" s="224" t="s">
        <v>256</v>
      </c>
      <c r="F1541" s="224" t="s">
        <v>250</v>
      </c>
      <c r="G1541" s="223" t="str">
        <f>VLOOKUP($B1541,'FRS geographical categories'!$A$2:$C$45,2,FALSE)</f>
        <v>Predominantly Urban</v>
      </c>
      <c r="H1541" s="223" t="str">
        <f>VLOOKUP($B1541,'FRS geographical categories'!$A$2:$C$45,3,FALSE)</f>
        <v>Non-metropolitan</v>
      </c>
      <c r="I1541" s="224">
        <v>0</v>
      </c>
    </row>
    <row r="1542" spans="1:9" ht="15.5" x14ac:dyDescent="0.35">
      <c r="A1542" s="224" t="s">
        <v>56</v>
      </c>
      <c r="B1542" s="224" t="s">
        <v>12</v>
      </c>
      <c r="C1542" s="224" t="s">
        <v>86</v>
      </c>
      <c r="D1542" s="224" t="s">
        <v>55</v>
      </c>
      <c r="E1542" s="224" t="s">
        <v>256</v>
      </c>
      <c r="F1542" s="224" t="s">
        <v>111</v>
      </c>
      <c r="G1542" s="223" t="str">
        <f>VLOOKUP($B1542,'FRS geographical categories'!$A$2:$C$45,2,FALSE)</f>
        <v>Predominantly Urban</v>
      </c>
      <c r="H1542" s="223" t="str">
        <f>VLOOKUP($B1542,'FRS geographical categories'!$A$2:$C$45,3,FALSE)</f>
        <v>Non-metropolitan</v>
      </c>
      <c r="I1542" s="224">
        <v>0</v>
      </c>
    </row>
    <row r="1543" spans="1:9" ht="15.5" x14ac:dyDescent="0.35">
      <c r="A1543" s="224" t="s">
        <v>56</v>
      </c>
      <c r="B1543" s="224" t="s">
        <v>12</v>
      </c>
      <c r="C1543" s="224" t="s">
        <v>86</v>
      </c>
      <c r="D1543" s="224" t="s">
        <v>55</v>
      </c>
      <c r="E1543" s="224" t="s">
        <v>256</v>
      </c>
      <c r="F1543" s="224" t="s">
        <v>10</v>
      </c>
      <c r="G1543" s="223" t="str">
        <f>VLOOKUP($B1543,'FRS geographical categories'!$A$2:$C$45,2,FALSE)</f>
        <v>Predominantly Urban</v>
      </c>
      <c r="H1543" s="223" t="str">
        <f>VLOOKUP($B1543,'FRS geographical categories'!$A$2:$C$45,3,FALSE)</f>
        <v>Non-metropolitan</v>
      </c>
      <c r="I1543" s="224">
        <v>0</v>
      </c>
    </row>
    <row r="1544" spans="1:9" ht="15.5" x14ac:dyDescent="0.35">
      <c r="A1544" s="224" t="s">
        <v>56</v>
      </c>
      <c r="B1544" s="224" t="s">
        <v>12</v>
      </c>
      <c r="C1544" s="224" t="s">
        <v>89</v>
      </c>
      <c r="D1544" s="224" t="s">
        <v>9</v>
      </c>
      <c r="E1544" s="224" t="s">
        <v>256</v>
      </c>
      <c r="F1544" s="224" t="s">
        <v>248</v>
      </c>
      <c r="G1544" s="223" t="str">
        <f>VLOOKUP($B1544,'FRS geographical categories'!$A$2:$C$45,2,FALSE)</f>
        <v>Predominantly Urban</v>
      </c>
      <c r="H1544" s="223" t="str">
        <f>VLOOKUP($B1544,'FRS geographical categories'!$A$2:$C$45,3,FALSE)</f>
        <v>Non-metropolitan</v>
      </c>
      <c r="I1544" s="224">
        <v>0</v>
      </c>
    </row>
    <row r="1545" spans="1:9" ht="15.5" x14ac:dyDescent="0.35">
      <c r="A1545" s="224" t="s">
        <v>56</v>
      </c>
      <c r="B1545" s="224" t="s">
        <v>12</v>
      </c>
      <c r="C1545" s="224" t="s">
        <v>89</v>
      </c>
      <c r="D1545" s="224" t="s">
        <v>9</v>
      </c>
      <c r="E1545" s="224" t="s">
        <v>256</v>
      </c>
      <c r="F1545" s="224" t="s">
        <v>249</v>
      </c>
      <c r="G1545" s="223" t="str">
        <f>VLOOKUP($B1545,'FRS geographical categories'!$A$2:$C$45,2,FALSE)</f>
        <v>Predominantly Urban</v>
      </c>
      <c r="H1545" s="223" t="str">
        <f>VLOOKUP($B1545,'FRS geographical categories'!$A$2:$C$45,3,FALSE)</f>
        <v>Non-metropolitan</v>
      </c>
      <c r="I1545" s="224">
        <v>0</v>
      </c>
    </row>
    <row r="1546" spans="1:9" ht="15.5" x14ac:dyDescent="0.35">
      <c r="A1546" s="224" t="s">
        <v>56</v>
      </c>
      <c r="B1546" s="224" t="s">
        <v>12</v>
      </c>
      <c r="C1546" s="224" t="s">
        <v>89</v>
      </c>
      <c r="D1546" s="224" t="s">
        <v>9</v>
      </c>
      <c r="E1546" s="224" t="s">
        <v>256</v>
      </c>
      <c r="F1546" s="224" t="s">
        <v>250</v>
      </c>
      <c r="G1546" s="223" t="str">
        <f>VLOOKUP($B1546,'FRS geographical categories'!$A$2:$C$45,2,FALSE)</f>
        <v>Predominantly Urban</v>
      </c>
      <c r="H1546" s="223" t="str">
        <f>VLOOKUP($B1546,'FRS geographical categories'!$A$2:$C$45,3,FALSE)</f>
        <v>Non-metropolitan</v>
      </c>
      <c r="I1546" s="224">
        <v>0</v>
      </c>
    </row>
    <row r="1547" spans="1:9" ht="15.5" x14ac:dyDescent="0.35">
      <c r="A1547" s="224" t="s">
        <v>56</v>
      </c>
      <c r="B1547" s="224" t="s">
        <v>12</v>
      </c>
      <c r="C1547" s="224" t="s">
        <v>89</v>
      </c>
      <c r="D1547" s="224" t="s">
        <v>9</v>
      </c>
      <c r="E1547" s="224" t="s">
        <v>256</v>
      </c>
      <c r="F1547" s="224" t="s">
        <v>10</v>
      </c>
      <c r="G1547" s="223" t="str">
        <f>VLOOKUP($B1547,'FRS geographical categories'!$A$2:$C$45,2,FALSE)</f>
        <v>Predominantly Urban</v>
      </c>
      <c r="H1547" s="223" t="str">
        <f>VLOOKUP($B1547,'FRS geographical categories'!$A$2:$C$45,3,FALSE)</f>
        <v>Non-metropolitan</v>
      </c>
      <c r="I1547" s="224">
        <v>0</v>
      </c>
    </row>
    <row r="1548" spans="1:9" ht="15.5" x14ac:dyDescent="0.35">
      <c r="A1548" s="224" t="s">
        <v>56</v>
      </c>
      <c r="B1548" s="224" t="s">
        <v>12</v>
      </c>
      <c r="C1548" s="224" t="s">
        <v>89</v>
      </c>
      <c r="D1548" s="224" t="s">
        <v>55</v>
      </c>
      <c r="E1548" s="224" t="s">
        <v>256</v>
      </c>
      <c r="F1548" s="224" t="s">
        <v>248</v>
      </c>
      <c r="G1548" s="223" t="str">
        <f>VLOOKUP($B1548,'FRS geographical categories'!$A$2:$C$45,2,FALSE)</f>
        <v>Predominantly Urban</v>
      </c>
      <c r="H1548" s="223" t="str">
        <f>VLOOKUP($B1548,'FRS geographical categories'!$A$2:$C$45,3,FALSE)</f>
        <v>Non-metropolitan</v>
      </c>
      <c r="I1548" s="224">
        <v>0</v>
      </c>
    </row>
    <row r="1549" spans="1:9" ht="15.5" x14ac:dyDescent="0.35">
      <c r="A1549" s="224" t="s">
        <v>56</v>
      </c>
      <c r="B1549" s="224" t="s">
        <v>12</v>
      </c>
      <c r="C1549" s="224" t="s">
        <v>89</v>
      </c>
      <c r="D1549" s="224" t="s">
        <v>55</v>
      </c>
      <c r="E1549" s="224" t="s">
        <v>256</v>
      </c>
      <c r="F1549" s="224" t="s">
        <v>249</v>
      </c>
      <c r="G1549" s="223" t="str">
        <f>VLOOKUP($B1549,'FRS geographical categories'!$A$2:$C$45,2,FALSE)</f>
        <v>Predominantly Urban</v>
      </c>
      <c r="H1549" s="223" t="str">
        <f>VLOOKUP($B1549,'FRS geographical categories'!$A$2:$C$45,3,FALSE)</f>
        <v>Non-metropolitan</v>
      </c>
      <c r="I1549" s="224">
        <v>0</v>
      </c>
    </row>
    <row r="1550" spans="1:9" ht="15.5" x14ac:dyDescent="0.35">
      <c r="A1550" s="224" t="s">
        <v>56</v>
      </c>
      <c r="B1550" s="224" t="s">
        <v>12</v>
      </c>
      <c r="C1550" s="224" t="s">
        <v>89</v>
      </c>
      <c r="D1550" s="224" t="s">
        <v>55</v>
      </c>
      <c r="E1550" s="224" t="s">
        <v>256</v>
      </c>
      <c r="F1550" s="224" t="s">
        <v>250</v>
      </c>
      <c r="G1550" s="223" t="str">
        <f>VLOOKUP($B1550,'FRS geographical categories'!$A$2:$C$45,2,FALSE)</f>
        <v>Predominantly Urban</v>
      </c>
      <c r="H1550" s="223" t="str">
        <f>VLOOKUP($B1550,'FRS geographical categories'!$A$2:$C$45,3,FALSE)</f>
        <v>Non-metropolitan</v>
      </c>
      <c r="I1550" s="224">
        <v>0</v>
      </c>
    </row>
    <row r="1551" spans="1:9" ht="15.5" x14ac:dyDescent="0.35">
      <c r="A1551" s="224" t="s">
        <v>56</v>
      </c>
      <c r="B1551" s="224" t="s">
        <v>12</v>
      </c>
      <c r="C1551" s="224" t="s">
        <v>89</v>
      </c>
      <c r="D1551" s="224" t="s">
        <v>55</v>
      </c>
      <c r="E1551" s="224" t="s">
        <v>256</v>
      </c>
      <c r="F1551" s="224" t="s">
        <v>10</v>
      </c>
      <c r="G1551" s="223" t="str">
        <f>VLOOKUP($B1551,'FRS geographical categories'!$A$2:$C$45,2,FALSE)</f>
        <v>Predominantly Urban</v>
      </c>
      <c r="H1551" s="223" t="str">
        <f>VLOOKUP($B1551,'FRS geographical categories'!$A$2:$C$45,3,FALSE)</f>
        <v>Non-metropolitan</v>
      </c>
      <c r="I1551" s="224">
        <v>0</v>
      </c>
    </row>
    <row r="1552" spans="1:9" ht="15.5" x14ac:dyDescent="0.35">
      <c r="A1552" s="224" t="s">
        <v>56</v>
      </c>
      <c r="B1552" s="224" t="s">
        <v>13</v>
      </c>
      <c r="C1552" s="224" t="s">
        <v>86</v>
      </c>
      <c r="D1552" s="224" t="s">
        <v>9</v>
      </c>
      <c r="E1552" s="224" t="s">
        <v>256</v>
      </c>
      <c r="F1552" s="224" t="s">
        <v>248</v>
      </c>
      <c r="G1552" s="223" t="str">
        <f>VLOOKUP($B1552,'FRS geographical categories'!$A$2:$C$45,2,FALSE)</f>
        <v>Significantly Rural</v>
      </c>
      <c r="H1552" s="223" t="str">
        <f>VLOOKUP($B1552,'FRS geographical categories'!$A$2:$C$45,3,FALSE)</f>
        <v>Non-metropolitan</v>
      </c>
      <c r="I1552" s="224">
        <v>447</v>
      </c>
    </row>
    <row r="1553" spans="1:9" ht="15.5" x14ac:dyDescent="0.35">
      <c r="A1553" s="224" t="s">
        <v>56</v>
      </c>
      <c r="B1553" s="224" t="s">
        <v>13</v>
      </c>
      <c r="C1553" s="224" t="s">
        <v>86</v>
      </c>
      <c r="D1553" s="224" t="s">
        <v>9</v>
      </c>
      <c r="E1553" s="224" t="s">
        <v>256</v>
      </c>
      <c r="F1553" s="224" t="s">
        <v>249</v>
      </c>
      <c r="G1553" s="223" t="str">
        <f>VLOOKUP($B1553,'FRS geographical categories'!$A$2:$C$45,2,FALSE)</f>
        <v>Significantly Rural</v>
      </c>
      <c r="H1553" s="223" t="str">
        <f>VLOOKUP($B1553,'FRS geographical categories'!$A$2:$C$45,3,FALSE)</f>
        <v>Non-metropolitan</v>
      </c>
      <c r="I1553" s="224">
        <v>409</v>
      </c>
    </row>
    <row r="1554" spans="1:9" ht="15.5" x14ac:dyDescent="0.35">
      <c r="A1554" s="224" t="s">
        <v>56</v>
      </c>
      <c r="B1554" s="224" t="s">
        <v>13</v>
      </c>
      <c r="C1554" s="224" t="s">
        <v>86</v>
      </c>
      <c r="D1554" s="224" t="s">
        <v>9</v>
      </c>
      <c r="E1554" s="224" t="s">
        <v>256</v>
      </c>
      <c r="F1554" s="224" t="s">
        <v>250</v>
      </c>
      <c r="G1554" s="223" t="str">
        <f>VLOOKUP($B1554,'FRS geographical categories'!$A$2:$C$45,2,FALSE)</f>
        <v>Significantly Rural</v>
      </c>
      <c r="H1554" s="223" t="str">
        <f>VLOOKUP($B1554,'FRS geographical categories'!$A$2:$C$45,3,FALSE)</f>
        <v>Non-metropolitan</v>
      </c>
      <c r="I1554" s="224">
        <v>410</v>
      </c>
    </row>
    <row r="1555" spans="1:9" ht="15.5" x14ac:dyDescent="0.35">
      <c r="A1555" s="224" t="s">
        <v>56</v>
      </c>
      <c r="B1555" s="224" t="s">
        <v>13</v>
      </c>
      <c r="C1555" s="224" t="s">
        <v>86</v>
      </c>
      <c r="D1555" s="224" t="s">
        <v>9</v>
      </c>
      <c r="E1555" s="224" t="s">
        <v>256</v>
      </c>
      <c r="F1555" s="224" t="s">
        <v>111</v>
      </c>
      <c r="G1555" s="223" t="str">
        <f>VLOOKUP($B1555,'FRS geographical categories'!$A$2:$C$45,2,FALSE)</f>
        <v>Significantly Rural</v>
      </c>
      <c r="H1555" s="223" t="str">
        <f>VLOOKUP($B1555,'FRS geographical categories'!$A$2:$C$45,3,FALSE)</f>
        <v>Non-metropolitan</v>
      </c>
      <c r="I1555" s="224">
        <v>1377</v>
      </c>
    </row>
    <row r="1556" spans="1:9" ht="15.5" x14ac:dyDescent="0.35">
      <c r="A1556" s="224" t="s">
        <v>56</v>
      </c>
      <c r="B1556" s="224" t="s">
        <v>13</v>
      </c>
      <c r="C1556" s="224" t="s">
        <v>86</v>
      </c>
      <c r="D1556" s="224" t="s">
        <v>9</v>
      </c>
      <c r="E1556" s="224" t="s">
        <v>256</v>
      </c>
      <c r="F1556" s="224" t="s">
        <v>10</v>
      </c>
      <c r="G1556" s="223" t="str">
        <f>VLOOKUP($B1556,'FRS geographical categories'!$A$2:$C$45,2,FALSE)</f>
        <v>Significantly Rural</v>
      </c>
      <c r="H1556" s="223" t="str">
        <f>VLOOKUP($B1556,'FRS geographical categories'!$A$2:$C$45,3,FALSE)</f>
        <v>Non-metropolitan</v>
      </c>
      <c r="I1556" s="224">
        <v>1524</v>
      </c>
    </row>
    <row r="1557" spans="1:9" ht="15.5" x14ac:dyDescent="0.35">
      <c r="A1557" s="224" t="s">
        <v>56</v>
      </c>
      <c r="B1557" s="224" t="s">
        <v>13</v>
      </c>
      <c r="C1557" s="224" t="s">
        <v>86</v>
      </c>
      <c r="D1557" s="224" t="s">
        <v>55</v>
      </c>
      <c r="E1557" s="224" t="s">
        <v>256</v>
      </c>
      <c r="F1557" s="224" t="s">
        <v>248</v>
      </c>
      <c r="G1557" s="223" t="str">
        <f>VLOOKUP($B1557,'FRS geographical categories'!$A$2:$C$45,2,FALSE)</f>
        <v>Significantly Rural</v>
      </c>
      <c r="H1557" s="223" t="str">
        <f>VLOOKUP($B1557,'FRS geographical categories'!$A$2:$C$45,3,FALSE)</f>
        <v>Non-metropolitan</v>
      </c>
      <c r="I1557" s="224">
        <v>76</v>
      </c>
    </row>
    <row r="1558" spans="1:9" ht="15.5" x14ac:dyDescent="0.35">
      <c r="A1558" s="224" t="s">
        <v>56</v>
      </c>
      <c r="B1558" s="224" t="s">
        <v>13</v>
      </c>
      <c r="C1558" s="224" t="s">
        <v>86</v>
      </c>
      <c r="D1558" s="224" t="s">
        <v>55</v>
      </c>
      <c r="E1558" s="224" t="s">
        <v>256</v>
      </c>
      <c r="F1558" s="224" t="s">
        <v>249</v>
      </c>
      <c r="G1558" s="223" t="str">
        <f>VLOOKUP($B1558,'FRS geographical categories'!$A$2:$C$45,2,FALSE)</f>
        <v>Significantly Rural</v>
      </c>
      <c r="H1558" s="223" t="str">
        <f>VLOOKUP($B1558,'FRS geographical categories'!$A$2:$C$45,3,FALSE)</f>
        <v>Non-metropolitan</v>
      </c>
      <c r="I1558" s="224">
        <v>0</v>
      </c>
    </row>
    <row r="1559" spans="1:9" ht="15.5" x14ac:dyDescent="0.35">
      <c r="A1559" s="224" t="s">
        <v>56</v>
      </c>
      <c r="B1559" s="224" t="s">
        <v>13</v>
      </c>
      <c r="C1559" s="224" t="s">
        <v>86</v>
      </c>
      <c r="D1559" s="224" t="s">
        <v>55</v>
      </c>
      <c r="E1559" s="224" t="s">
        <v>256</v>
      </c>
      <c r="F1559" s="224" t="s">
        <v>250</v>
      </c>
      <c r="G1559" s="223" t="str">
        <f>VLOOKUP($B1559,'FRS geographical categories'!$A$2:$C$45,2,FALSE)</f>
        <v>Significantly Rural</v>
      </c>
      <c r="H1559" s="223" t="str">
        <f>VLOOKUP($B1559,'FRS geographical categories'!$A$2:$C$45,3,FALSE)</f>
        <v>Non-metropolitan</v>
      </c>
      <c r="I1559" s="224">
        <v>10</v>
      </c>
    </row>
    <row r="1560" spans="1:9" ht="15.5" x14ac:dyDescent="0.35">
      <c r="A1560" s="224" t="s">
        <v>56</v>
      </c>
      <c r="B1560" s="224" t="s">
        <v>13</v>
      </c>
      <c r="C1560" s="224" t="s">
        <v>86</v>
      </c>
      <c r="D1560" s="224" t="s">
        <v>55</v>
      </c>
      <c r="E1560" s="224" t="s">
        <v>256</v>
      </c>
      <c r="F1560" s="224" t="s">
        <v>111</v>
      </c>
      <c r="G1560" s="223" t="str">
        <f>VLOOKUP($B1560,'FRS geographical categories'!$A$2:$C$45,2,FALSE)</f>
        <v>Significantly Rural</v>
      </c>
      <c r="H1560" s="223" t="str">
        <f>VLOOKUP($B1560,'FRS geographical categories'!$A$2:$C$45,3,FALSE)</f>
        <v>Non-metropolitan</v>
      </c>
      <c r="I1560" s="224">
        <v>30</v>
      </c>
    </row>
    <row r="1561" spans="1:9" ht="15.5" x14ac:dyDescent="0.35">
      <c r="A1561" s="224" t="s">
        <v>56</v>
      </c>
      <c r="B1561" s="224" t="s">
        <v>13</v>
      </c>
      <c r="C1561" s="224" t="s">
        <v>86</v>
      </c>
      <c r="D1561" s="224" t="s">
        <v>55</v>
      </c>
      <c r="E1561" s="224" t="s">
        <v>256</v>
      </c>
      <c r="F1561" s="224" t="s">
        <v>10</v>
      </c>
      <c r="G1561" s="223" t="str">
        <f>VLOOKUP($B1561,'FRS geographical categories'!$A$2:$C$45,2,FALSE)</f>
        <v>Significantly Rural</v>
      </c>
      <c r="H1561" s="223" t="str">
        <f>VLOOKUP($B1561,'FRS geographical categories'!$A$2:$C$45,3,FALSE)</f>
        <v>Non-metropolitan</v>
      </c>
      <c r="I1561" s="224">
        <v>86</v>
      </c>
    </row>
    <row r="1562" spans="1:9" ht="15.5" x14ac:dyDescent="0.35">
      <c r="A1562" s="224" t="s">
        <v>56</v>
      </c>
      <c r="B1562" s="224" t="s">
        <v>13</v>
      </c>
      <c r="C1562" s="224" t="s">
        <v>89</v>
      </c>
      <c r="D1562" s="224" t="s">
        <v>9</v>
      </c>
      <c r="E1562" s="224" t="s">
        <v>256</v>
      </c>
      <c r="F1562" s="224" t="s">
        <v>248</v>
      </c>
      <c r="G1562" s="223" t="str">
        <f>VLOOKUP($B1562,'FRS geographical categories'!$A$2:$C$45,2,FALSE)</f>
        <v>Significantly Rural</v>
      </c>
      <c r="H1562" s="223" t="str">
        <f>VLOOKUP($B1562,'FRS geographical categories'!$A$2:$C$45,3,FALSE)</f>
        <v>Non-metropolitan</v>
      </c>
      <c r="I1562" s="224">
        <v>0</v>
      </c>
    </row>
    <row r="1563" spans="1:9" ht="15.5" x14ac:dyDescent="0.35">
      <c r="A1563" s="224" t="s">
        <v>56</v>
      </c>
      <c r="B1563" s="224" t="s">
        <v>13</v>
      </c>
      <c r="C1563" s="224" t="s">
        <v>89</v>
      </c>
      <c r="D1563" s="224" t="s">
        <v>9</v>
      </c>
      <c r="E1563" s="224" t="s">
        <v>256</v>
      </c>
      <c r="F1563" s="224" t="s">
        <v>249</v>
      </c>
      <c r="G1563" s="223" t="str">
        <f>VLOOKUP($B1563,'FRS geographical categories'!$A$2:$C$45,2,FALSE)</f>
        <v>Significantly Rural</v>
      </c>
      <c r="H1563" s="223" t="str">
        <f>VLOOKUP($B1563,'FRS geographical categories'!$A$2:$C$45,3,FALSE)</f>
        <v>Non-metropolitan</v>
      </c>
      <c r="I1563" s="224">
        <v>0</v>
      </c>
    </row>
    <row r="1564" spans="1:9" ht="15.5" x14ac:dyDescent="0.35">
      <c r="A1564" s="224" t="s">
        <v>56</v>
      </c>
      <c r="B1564" s="224" t="s">
        <v>13</v>
      </c>
      <c r="C1564" s="224" t="s">
        <v>89</v>
      </c>
      <c r="D1564" s="224" t="s">
        <v>9</v>
      </c>
      <c r="E1564" s="224" t="s">
        <v>256</v>
      </c>
      <c r="F1564" s="224" t="s">
        <v>250</v>
      </c>
      <c r="G1564" s="223" t="str">
        <f>VLOOKUP($B1564,'FRS geographical categories'!$A$2:$C$45,2,FALSE)</f>
        <v>Significantly Rural</v>
      </c>
      <c r="H1564" s="223" t="str">
        <f>VLOOKUP($B1564,'FRS geographical categories'!$A$2:$C$45,3,FALSE)</f>
        <v>Non-metropolitan</v>
      </c>
      <c r="I1564" s="224">
        <v>0</v>
      </c>
    </row>
    <row r="1565" spans="1:9" ht="15.5" x14ac:dyDescent="0.35">
      <c r="A1565" s="224" t="s">
        <v>56</v>
      </c>
      <c r="B1565" s="224" t="s">
        <v>13</v>
      </c>
      <c r="C1565" s="224" t="s">
        <v>89</v>
      </c>
      <c r="D1565" s="224" t="s">
        <v>9</v>
      </c>
      <c r="E1565" s="224" t="s">
        <v>256</v>
      </c>
      <c r="F1565" s="224" t="s">
        <v>10</v>
      </c>
      <c r="G1565" s="223" t="str">
        <f>VLOOKUP($B1565,'FRS geographical categories'!$A$2:$C$45,2,FALSE)</f>
        <v>Significantly Rural</v>
      </c>
      <c r="H1565" s="223" t="str">
        <f>VLOOKUP($B1565,'FRS geographical categories'!$A$2:$C$45,3,FALSE)</f>
        <v>Non-metropolitan</v>
      </c>
      <c r="I1565" s="224">
        <v>0</v>
      </c>
    </row>
    <row r="1566" spans="1:9" ht="15.5" x14ac:dyDescent="0.35">
      <c r="A1566" s="224" t="s">
        <v>56</v>
      </c>
      <c r="B1566" s="224" t="s">
        <v>13</v>
      </c>
      <c r="C1566" s="224" t="s">
        <v>89</v>
      </c>
      <c r="D1566" s="224" t="s">
        <v>55</v>
      </c>
      <c r="E1566" s="224" t="s">
        <v>256</v>
      </c>
      <c r="F1566" s="224" t="s">
        <v>248</v>
      </c>
      <c r="G1566" s="223" t="str">
        <f>VLOOKUP($B1566,'FRS geographical categories'!$A$2:$C$45,2,FALSE)</f>
        <v>Significantly Rural</v>
      </c>
      <c r="H1566" s="223" t="str">
        <f>VLOOKUP($B1566,'FRS geographical categories'!$A$2:$C$45,3,FALSE)</f>
        <v>Non-metropolitan</v>
      </c>
      <c r="I1566" s="224">
        <v>0</v>
      </c>
    </row>
    <row r="1567" spans="1:9" ht="15.5" x14ac:dyDescent="0.35">
      <c r="A1567" s="224" t="s">
        <v>56</v>
      </c>
      <c r="B1567" s="224" t="s">
        <v>13</v>
      </c>
      <c r="C1567" s="224" t="s">
        <v>89</v>
      </c>
      <c r="D1567" s="224" t="s">
        <v>55</v>
      </c>
      <c r="E1567" s="224" t="s">
        <v>256</v>
      </c>
      <c r="F1567" s="224" t="s">
        <v>249</v>
      </c>
      <c r="G1567" s="223" t="str">
        <f>VLOOKUP($B1567,'FRS geographical categories'!$A$2:$C$45,2,FALSE)</f>
        <v>Significantly Rural</v>
      </c>
      <c r="H1567" s="223" t="str">
        <f>VLOOKUP($B1567,'FRS geographical categories'!$A$2:$C$45,3,FALSE)</f>
        <v>Non-metropolitan</v>
      </c>
      <c r="I1567" s="224">
        <v>0</v>
      </c>
    </row>
    <row r="1568" spans="1:9" ht="15.5" x14ac:dyDescent="0.35">
      <c r="A1568" s="224" t="s">
        <v>56</v>
      </c>
      <c r="B1568" s="224" t="s">
        <v>13</v>
      </c>
      <c r="C1568" s="224" t="s">
        <v>89</v>
      </c>
      <c r="D1568" s="224" t="s">
        <v>55</v>
      </c>
      <c r="E1568" s="224" t="s">
        <v>256</v>
      </c>
      <c r="F1568" s="224" t="s">
        <v>250</v>
      </c>
      <c r="G1568" s="223" t="str">
        <f>VLOOKUP($B1568,'FRS geographical categories'!$A$2:$C$45,2,FALSE)</f>
        <v>Significantly Rural</v>
      </c>
      <c r="H1568" s="223" t="str">
        <f>VLOOKUP($B1568,'FRS geographical categories'!$A$2:$C$45,3,FALSE)</f>
        <v>Non-metropolitan</v>
      </c>
      <c r="I1568" s="224">
        <v>0</v>
      </c>
    </row>
    <row r="1569" spans="1:9" ht="15.5" x14ac:dyDescent="0.35">
      <c r="A1569" s="224" t="s">
        <v>56</v>
      </c>
      <c r="B1569" s="224" t="s">
        <v>13</v>
      </c>
      <c r="C1569" s="224" t="s">
        <v>89</v>
      </c>
      <c r="D1569" s="224" t="s">
        <v>55</v>
      </c>
      <c r="E1569" s="224" t="s">
        <v>256</v>
      </c>
      <c r="F1569" s="224" t="s">
        <v>10</v>
      </c>
      <c r="G1569" s="223" t="str">
        <f>VLOOKUP($B1569,'FRS geographical categories'!$A$2:$C$45,2,FALSE)</f>
        <v>Significantly Rural</v>
      </c>
      <c r="H1569" s="223" t="str">
        <f>VLOOKUP($B1569,'FRS geographical categories'!$A$2:$C$45,3,FALSE)</f>
        <v>Non-metropolitan</v>
      </c>
      <c r="I1569" s="224">
        <v>0</v>
      </c>
    </row>
    <row r="1570" spans="1:9" ht="15.5" x14ac:dyDescent="0.35">
      <c r="A1570" s="224" t="s">
        <v>56</v>
      </c>
      <c r="B1570" s="224" t="s">
        <v>14</v>
      </c>
      <c r="C1570" s="224" t="s">
        <v>86</v>
      </c>
      <c r="D1570" s="224" t="s">
        <v>9</v>
      </c>
      <c r="E1570" s="224" t="s">
        <v>256</v>
      </c>
      <c r="F1570" s="224" t="s">
        <v>248</v>
      </c>
      <c r="G1570" s="223" t="str">
        <f>VLOOKUP($B1570,'FRS geographical categories'!$A$2:$C$45,2,FALSE)</f>
        <v>Predominantly Rural</v>
      </c>
      <c r="H1570" s="223" t="str">
        <f>VLOOKUP($B1570,'FRS geographical categories'!$A$2:$C$45,3,FALSE)</f>
        <v>Non-metropolitan</v>
      </c>
      <c r="I1570" s="224">
        <v>445</v>
      </c>
    </row>
    <row r="1571" spans="1:9" ht="15.5" x14ac:dyDescent="0.35">
      <c r="A1571" s="224" t="s">
        <v>56</v>
      </c>
      <c r="B1571" s="224" t="s">
        <v>14</v>
      </c>
      <c r="C1571" s="224" t="s">
        <v>86</v>
      </c>
      <c r="D1571" s="224" t="s">
        <v>9</v>
      </c>
      <c r="E1571" s="224" t="s">
        <v>256</v>
      </c>
      <c r="F1571" s="224" t="s">
        <v>249</v>
      </c>
      <c r="G1571" s="223" t="str">
        <f>VLOOKUP($B1571,'FRS geographical categories'!$A$2:$C$45,2,FALSE)</f>
        <v>Predominantly Rural</v>
      </c>
      <c r="H1571" s="223" t="str">
        <f>VLOOKUP($B1571,'FRS geographical categories'!$A$2:$C$45,3,FALSE)</f>
        <v>Non-metropolitan</v>
      </c>
      <c r="I1571" s="224">
        <v>1661</v>
      </c>
    </row>
    <row r="1572" spans="1:9" ht="15.5" x14ac:dyDescent="0.35">
      <c r="A1572" s="224" t="s">
        <v>56</v>
      </c>
      <c r="B1572" s="224" t="s">
        <v>14</v>
      </c>
      <c r="C1572" s="224" t="s">
        <v>86</v>
      </c>
      <c r="D1572" s="224" t="s">
        <v>9</v>
      </c>
      <c r="E1572" s="224" t="s">
        <v>256</v>
      </c>
      <c r="F1572" s="224" t="s">
        <v>250</v>
      </c>
      <c r="G1572" s="223" t="str">
        <f>VLOOKUP($B1572,'FRS geographical categories'!$A$2:$C$45,2,FALSE)</f>
        <v>Predominantly Rural</v>
      </c>
      <c r="H1572" s="223" t="str">
        <f>VLOOKUP($B1572,'FRS geographical categories'!$A$2:$C$45,3,FALSE)</f>
        <v>Non-metropolitan</v>
      </c>
      <c r="I1572" s="224">
        <v>2100</v>
      </c>
    </row>
    <row r="1573" spans="1:9" ht="15.5" x14ac:dyDescent="0.35">
      <c r="A1573" s="224" t="s">
        <v>56</v>
      </c>
      <c r="B1573" s="224" t="s">
        <v>14</v>
      </c>
      <c r="C1573" s="224" t="s">
        <v>86</v>
      </c>
      <c r="D1573" s="224" t="s">
        <v>9</v>
      </c>
      <c r="E1573" s="224" t="s">
        <v>256</v>
      </c>
      <c r="F1573" s="224" t="s">
        <v>111</v>
      </c>
      <c r="G1573" s="223" t="str">
        <f>VLOOKUP($B1573,'FRS geographical categories'!$A$2:$C$45,2,FALSE)</f>
        <v>Predominantly Rural</v>
      </c>
      <c r="H1573" s="223" t="str">
        <f>VLOOKUP($B1573,'FRS geographical categories'!$A$2:$C$45,3,FALSE)</f>
        <v>Non-metropolitan</v>
      </c>
      <c r="I1573" s="224">
        <v>4605</v>
      </c>
    </row>
    <row r="1574" spans="1:9" ht="15.5" x14ac:dyDescent="0.35">
      <c r="A1574" s="224" t="s">
        <v>56</v>
      </c>
      <c r="B1574" s="224" t="s">
        <v>14</v>
      </c>
      <c r="C1574" s="224" t="s">
        <v>86</v>
      </c>
      <c r="D1574" s="224" t="s">
        <v>9</v>
      </c>
      <c r="E1574" s="224" t="s">
        <v>256</v>
      </c>
      <c r="F1574" s="224" t="s">
        <v>10</v>
      </c>
      <c r="G1574" s="223" t="str">
        <f>VLOOKUP($B1574,'FRS geographical categories'!$A$2:$C$45,2,FALSE)</f>
        <v>Predominantly Rural</v>
      </c>
      <c r="H1574" s="223" t="str">
        <f>VLOOKUP($B1574,'FRS geographical categories'!$A$2:$C$45,3,FALSE)</f>
        <v>Non-metropolitan</v>
      </c>
      <c r="I1574" s="224">
        <v>4670</v>
      </c>
    </row>
    <row r="1575" spans="1:9" ht="15.5" x14ac:dyDescent="0.35">
      <c r="A1575" s="224" t="s">
        <v>56</v>
      </c>
      <c r="B1575" s="224" t="s">
        <v>14</v>
      </c>
      <c r="C1575" s="224" t="s">
        <v>86</v>
      </c>
      <c r="D1575" s="224" t="s">
        <v>55</v>
      </c>
      <c r="E1575" s="224" t="s">
        <v>256</v>
      </c>
      <c r="F1575" s="224" t="s">
        <v>248</v>
      </c>
      <c r="G1575" s="223" t="str">
        <f>VLOOKUP($B1575,'FRS geographical categories'!$A$2:$C$45,2,FALSE)</f>
        <v>Predominantly Rural</v>
      </c>
      <c r="H1575" s="223" t="str">
        <f>VLOOKUP($B1575,'FRS geographical categories'!$A$2:$C$45,3,FALSE)</f>
        <v>Non-metropolitan</v>
      </c>
      <c r="I1575" s="224">
        <v>0</v>
      </c>
    </row>
    <row r="1576" spans="1:9" ht="15.5" x14ac:dyDescent="0.35">
      <c r="A1576" s="224" t="s">
        <v>56</v>
      </c>
      <c r="B1576" s="224" t="s">
        <v>14</v>
      </c>
      <c r="C1576" s="224" t="s">
        <v>86</v>
      </c>
      <c r="D1576" s="224" t="s">
        <v>55</v>
      </c>
      <c r="E1576" s="224" t="s">
        <v>256</v>
      </c>
      <c r="F1576" s="224" t="s">
        <v>249</v>
      </c>
      <c r="G1576" s="223" t="str">
        <f>VLOOKUP($B1576,'FRS geographical categories'!$A$2:$C$45,2,FALSE)</f>
        <v>Predominantly Rural</v>
      </c>
      <c r="H1576" s="223" t="str">
        <f>VLOOKUP($B1576,'FRS geographical categories'!$A$2:$C$45,3,FALSE)</f>
        <v>Non-metropolitan</v>
      </c>
      <c r="I1576" s="224">
        <v>0</v>
      </c>
    </row>
    <row r="1577" spans="1:9" ht="15.5" x14ac:dyDescent="0.35">
      <c r="A1577" s="224" t="s">
        <v>56</v>
      </c>
      <c r="B1577" s="224" t="s">
        <v>14</v>
      </c>
      <c r="C1577" s="224" t="s">
        <v>86</v>
      </c>
      <c r="D1577" s="224" t="s">
        <v>55</v>
      </c>
      <c r="E1577" s="224" t="s">
        <v>256</v>
      </c>
      <c r="F1577" s="224" t="s">
        <v>250</v>
      </c>
      <c r="G1577" s="223" t="str">
        <f>VLOOKUP($B1577,'FRS geographical categories'!$A$2:$C$45,2,FALSE)</f>
        <v>Predominantly Rural</v>
      </c>
      <c r="H1577" s="223" t="str">
        <f>VLOOKUP($B1577,'FRS geographical categories'!$A$2:$C$45,3,FALSE)</f>
        <v>Non-metropolitan</v>
      </c>
      <c r="I1577" s="224">
        <v>0</v>
      </c>
    </row>
    <row r="1578" spans="1:9" ht="15.5" x14ac:dyDescent="0.35">
      <c r="A1578" s="224" t="s">
        <v>56</v>
      </c>
      <c r="B1578" s="224" t="s">
        <v>14</v>
      </c>
      <c r="C1578" s="224" t="s">
        <v>86</v>
      </c>
      <c r="D1578" s="224" t="s">
        <v>55</v>
      </c>
      <c r="E1578" s="224" t="s">
        <v>256</v>
      </c>
      <c r="F1578" s="224" t="s">
        <v>111</v>
      </c>
      <c r="G1578" s="223" t="str">
        <f>VLOOKUP($B1578,'FRS geographical categories'!$A$2:$C$45,2,FALSE)</f>
        <v>Predominantly Rural</v>
      </c>
      <c r="H1578" s="223" t="str">
        <f>VLOOKUP($B1578,'FRS geographical categories'!$A$2:$C$45,3,FALSE)</f>
        <v>Non-metropolitan</v>
      </c>
      <c r="I1578" s="224">
        <v>0</v>
      </c>
    </row>
    <row r="1579" spans="1:9" ht="15.5" x14ac:dyDescent="0.35">
      <c r="A1579" s="224" t="s">
        <v>56</v>
      </c>
      <c r="B1579" s="224" t="s">
        <v>14</v>
      </c>
      <c r="C1579" s="224" t="s">
        <v>86</v>
      </c>
      <c r="D1579" s="224" t="s">
        <v>55</v>
      </c>
      <c r="E1579" s="224" t="s">
        <v>256</v>
      </c>
      <c r="F1579" s="224" t="s">
        <v>10</v>
      </c>
      <c r="G1579" s="223" t="str">
        <f>VLOOKUP($B1579,'FRS geographical categories'!$A$2:$C$45,2,FALSE)</f>
        <v>Predominantly Rural</v>
      </c>
      <c r="H1579" s="223" t="str">
        <f>VLOOKUP($B1579,'FRS geographical categories'!$A$2:$C$45,3,FALSE)</f>
        <v>Non-metropolitan</v>
      </c>
      <c r="I1579" s="224">
        <v>0</v>
      </c>
    </row>
    <row r="1580" spans="1:9" ht="15.5" x14ac:dyDescent="0.35">
      <c r="A1580" s="224" t="s">
        <v>56</v>
      </c>
      <c r="B1580" s="224" t="s">
        <v>14</v>
      </c>
      <c r="C1580" s="224" t="s">
        <v>89</v>
      </c>
      <c r="D1580" s="224" t="s">
        <v>9</v>
      </c>
      <c r="E1580" s="224" t="s">
        <v>256</v>
      </c>
      <c r="F1580" s="224" t="s">
        <v>248</v>
      </c>
      <c r="G1580" s="223" t="str">
        <f>VLOOKUP($B1580,'FRS geographical categories'!$A$2:$C$45,2,FALSE)</f>
        <v>Predominantly Rural</v>
      </c>
      <c r="H1580" s="223" t="str">
        <f>VLOOKUP($B1580,'FRS geographical categories'!$A$2:$C$45,3,FALSE)</f>
        <v>Non-metropolitan</v>
      </c>
      <c r="I1580" s="224">
        <v>38</v>
      </c>
    </row>
    <row r="1581" spans="1:9" ht="15.5" x14ac:dyDescent="0.35">
      <c r="A1581" s="224" t="s">
        <v>56</v>
      </c>
      <c r="B1581" s="224" t="s">
        <v>14</v>
      </c>
      <c r="C1581" s="224" t="s">
        <v>89</v>
      </c>
      <c r="D1581" s="224" t="s">
        <v>9</v>
      </c>
      <c r="E1581" s="224" t="s">
        <v>256</v>
      </c>
      <c r="F1581" s="224" t="s">
        <v>249</v>
      </c>
      <c r="G1581" s="223" t="str">
        <f>VLOOKUP($B1581,'FRS geographical categories'!$A$2:$C$45,2,FALSE)</f>
        <v>Predominantly Rural</v>
      </c>
      <c r="H1581" s="223" t="str">
        <f>VLOOKUP($B1581,'FRS geographical categories'!$A$2:$C$45,3,FALSE)</f>
        <v>Non-metropolitan</v>
      </c>
      <c r="I1581" s="224">
        <v>132</v>
      </c>
    </row>
    <row r="1582" spans="1:9" ht="15.5" x14ac:dyDescent="0.35">
      <c r="A1582" s="224" t="s">
        <v>56</v>
      </c>
      <c r="B1582" s="224" t="s">
        <v>14</v>
      </c>
      <c r="C1582" s="224" t="s">
        <v>89</v>
      </c>
      <c r="D1582" s="224" t="s">
        <v>9</v>
      </c>
      <c r="E1582" s="224" t="s">
        <v>256</v>
      </c>
      <c r="F1582" s="224" t="s">
        <v>250</v>
      </c>
      <c r="G1582" s="223" t="str">
        <f>VLOOKUP($B1582,'FRS geographical categories'!$A$2:$C$45,2,FALSE)</f>
        <v>Predominantly Rural</v>
      </c>
      <c r="H1582" s="223" t="str">
        <f>VLOOKUP($B1582,'FRS geographical categories'!$A$2:$C$45,3,FALSE)</f>
        <v>Non-metropolitan</v>
      </c>
      <c r="I1582" s="224">
        <v>127</v>
      </c>
    </row>
    <row r="1583" spans="1:9" ht="15.5" x14ac:dyDescent="0.35">
      <c r="A1583" s="224" t="s">
        <v>56</v>
      </c>
      <c r="B1583" s="224" t="s">
        <v>14</v>
      </c>
      <c r="C1583" s="224" t="s">
        <v>89</v>
      </c>
      <c r="D1583" s="224" t="s">
        <v>9</v>
      </c>
      <c r="E1583" s="224" t="s">
        <v>256</v>
      </c>
      <c r="F1583" s="224" t="s">
        <v>10</v>
      </c>
      <c r="G1583" s="223" t="str">
        <f>VLOOKUP($B1583,'FRS geographical categories'!$A$2:$C$45,2,FALSE)</f>
        <v>Predominantly Rural</v>
      </c>
      <c r="H1583" s="223" t="str">
        <f>VLOOKUP($B1583,'FRS geographical categories'!$A$2:$C$45,3,FALSE)</f>
        <v>Non-metropolitan</v>
      </c>
      <c r="I1583" s="224">
        <v>468</v>
      </c>
    </row>
    <row r="1584" spans="1:9" ht="15.5" x14ac:dyDescent="0.35">
      <c r="A1584" s="224" t="s">
        <v>56</v>
      </c>
      <c r="B1584" s="224" t="s">
        <v>14</v>
      </c>
      <c r="C1584" s="224" t="s">
        <v>89</v>
      </c>
      <c r="D1584" s="224" t="s">
        <v>55</v>
      </c>
      <c r="E1584" s="224" t="s">
        <v>256</v>
      </c>
      <c r="F1584" s="224" t="s">
        <v>248</v>
      </c>
      <c r="G1584" s="223" t="str">
        <f>VLOOKUP($B1584,'FRS geographical categories'!$A$2:$C$45,2,FALSE)</f>
        <v>Predominantly Rural</v>
      </c>
      <c r="H1584" s="223" t="str">
        <f>VLOOKUP($B1584,'FRS geographical categories'!$A$2:$C$45,3,FALSE)</f>
        <v>Non-metropolitan</v>
      </c>
      <c r="I1584" s="224">
        <v>0</v>
      </c>
    </row>
    <row r="1585" spans="1:9" ht="15.5" x14ac:dyDescent="0.35">
      <c r="A1585" s="224" t="s">
        <v>56</v>
      </c>
      <c r="B1585" s="224" t="s">
        <v>14</v>
      </c>
      <c r="C1585" s="224" t="s">
        <v>89</v>
      </c>
      <c r="D1585" s="224" t="s">
        <v>55</v>
      </c>
      <c r="E1585" s="224" t="s">
        <v>256</v>
      </c>
      <c r="F1585" s="224" t="s">
        <v>249</v>
      </c>
      <c r="G1585" s="223" t="str">
        <f>VLOOKUP($B1585,'FRS geographical categories'!$A$2:$C$45,2,FALSE)</f>
        <v>Predominantly Rural</v>
      </c>
      <c r="H1585" s="223" t="str">
        <f>VLOOKUP($B1585,'FRS geographical categories'!$A$2:$C$45,3,FALSE)</f>
        <v>Non-metropolitan</v>
      </c>
      <c r="I1585" s="224">
        <v>0</v>
      </c>
    </row>
    <row r="1586" spans="1:9" ht="15.5" x14ac:dyDescent="0.35">
      <c r="A1586" s="224" t="s">
        <v>56</v>
      </c>
      <c r="B1586" s="224" t="s">
        <v>14</v>
      </c>
      <c r="C1586" s="224" t="s">
        <v>89</v>
      </c>
      <c r="D1586" s="224" t="s">
        <v>55</v>
      </c>
      <c r="E1586" s="224" t="s">
        <v>256</v>
      </c>
      <c r="F1586" s="224" t="s">
        <v>250</v>
      </c>
      <c r="G1586" s="223" t="str">
        <f>VLOOKUP($B1586,'FRS geographical categories'!$A$2:$C$45,2,FALSE)</f>
        <v>Predominantly Rural</v>
      </c>
      <c r="H1586" s="223" t="str">
        <f>VLOOKUP($B1586,'FRS geographical categories'!$A$2:$C$45,3,FALSE)</f>
        <v>Non-metropolitan</v>
      </c>
      <c r="I1586" s="224">
        <v>0</v>
      </c>
    </row>
    <row r="1587" spans="1:9" ht="15.5" x14ac:dyDescent="0.35">
      <c r="A1587" s="224" t="s">
        <v>56</v>
      </c>
      <c r="B1587" s="224" t="s">
        <v>14</v>
      </c>
      <c r="C1587" s="224" t="s">
        <v>89</v>
      </c>
      <c r="D1587" s="224" t="s">
        <v>55</v>
      </c>
      <c r="E1587" s="224" t="s">
        <v>256</v>
      </c>
      <c r="F1587" s="224" t="s">
        <v>10</v>
      </c>
      <c r="G1587" s="223" t="str">
        <f>VLOOKUP($B1587,'FRS geographical categories'!$A$2:$C$45,2,FALSE)</f>
        <v>Predominantly Rural</v>
      </c>
      <c r="H1587" s="223" t="str">
        <f>VLOOKUP($B1587,'FRS geographical categories'!$A$2:$C$45,3,FALSE)</f>
        <v>Non-metropolitan</v>
      </c>
      <c r="I1587" s="224">
        <v>0</v>
      </c>
    </row>
    <row r="1588" spans="1:9" ht="15.5" x14ac:dyDescent="0.35">
      <c r="A1588" s="224" t="s">
        <v>56</v>
      </c>
      <c r="B1588" s="224" t="s">
        <v>15</v>
      </c>
      <c r="C1588" s="224" t="s">
        <v>86</v>
      </c>
      <c r="D1588" s="224" t="s">
        <v>9</v>
      </c>
      <c r="E1588" s="224" t="s">
        <v>256</v>
      </c>
      <c r="F1588" s="224" t="s">
        <v>248</v>
      </c>
      <c r="G1588" s="223" t="str">
        <f>VLOOKUP($B1588,'FRS geographical categories'!$A$2:$C$45,2,FALSE)</f>
        <v>Significantly Rural</v>
      </c>
      <c r="H1588" s="223" t="str">
        <f>VLOOKUP($B1588,'FRS geographical categories'!$A$2:$C$45,3,FALSE)</f>
        <v>Non-metropolitan</v>
      </c>
      <c r="I1588" s="224">
        <v>265</v>
      </c>
    </row>
    <row r="1589" spans="1:9" ht="15.5" x14ac:dyDescent="0.35">
      <c r="A1589" s="224" t="s">
        <v>56</v>
      </c>
      <c r="B1589" s="224" t="s">
        <v>15</v>
      </c>
      <c r="C1589" s="224" t="s">
        <v>86</v>
      </c>
      <c r="D1589" s="224" t="s">
        <v>9</v>
      </c>
      <c r="E1589" s="224" t="s">
        <v>256</v>
      </c>
      <c r="F1589" s="224" t="s">
        <v>249</v>
      </c>
      <c r="G1589" s="223" t="str">
        <f>VLOOKUP($B1589,'FRS geographical categories'!$A$2:$C$45,2,FALSE)</f>
        <v>Significantly Rural</v>
      </c>
      <c r="H1589" s="223" t="str">
        <f>VLOOKUP($B1589,'FRS geographical categories'!$A$2:$C$45,3,FALSE)</f>
        <v>Non-metropolitan</v>
      </c>
      <c r="I1589" s="224">
        <v>1441</v>
      </c>
    </row>
    <row r="1590" spans="1:9" ht="15.5" x14ac:dyDescent="0.35">
      <c r="A1590" s="224" t="s">
        <v>56</v>
      </c>
      <c r="B1590" s="224" t="s">
        <v>15</v>
      </c>
      <c r="C1590" s="224" t="s">
        <v>86</v>
      </c>
      <c r="D1590" s="224" t="s">
        <v>9</v>
      </c>
      <c r="E1590" s="224" t="s">
        <v>256</v>
      </c>
      <c r="F1590" s="224" t="s">
        <v>250</v>
      </c>
      <c r="G1590" s="223" t="str">
        <f>VLOOKUP($B1590,'FRS geographical categories'!$A$2:$C$45,2,FALSE)</f>
        <v>Significantly Rural</v>
      </c>
      <c r="H1590" s="223" t="str">
        <f>VLOOKUP($B1590,'FRS geographical categories'!$A$2:$C$45,3,FALSE)</f>
        <v>Non-metropolitan</v>
      </c>
      <c r="I1590" s="224">
        <v>6286</v>
      </c>
    </row>
    <row r="1591" spans="1:9" ht="15.5" x14ac:dyDescent="0.35">
      <c r="A1591" s="224" t="s">
        <v>56</v>
      </c>
      <c r="B1591" s="224" t="s">
        <v>15</v>
      </c>
      <c r="C1591" s="224" t="s">
        <v>86</v>
      </c>
      <c r="D1591" s="224" t="s">
        <v>9</v>
      </c>
      <c r="E1591" s="224" t="s">
        <v>256</v>
      </c>
      <c r="F1591" s="224" t="s">
        <v>111</v>
      </c>
      <c r="G1591" s="223" t="str">
        <f>VLOOKUP($B1591,'FRS geographical categories'!$A$2:$C$45,2,FALSE)</f>
        <v>Significantly Rural</v>
      </c>
      <c r="H1591" s="223" t="str">
        <f>VLOOKUP($B1591,'FRS geographical categories'!$A$2:$C$45,3,FALSE)</f>
        <v>Non-metropolitan</v>
      </c>
      <c r="I1591" s="224">
        <v>9060</v>
      </c>
    </row>
    <row r="1592" spans="1:9" ht="15.5" x14ac:dyDescent="0.35">
      <c r="A1592" s="224" t="s">
        <v>56</v>
      </c>
      <c r="B1592" s="224" t="s">
        <v>15</v>
      </c>
      <c r="C1592" s="224" t="s">
        <v>86</v>
      </c>
      <c r="D1592" s="224" t="s">
        <v>9</v>
      </c>
      <c r="E1592" s="224" t="s">
        <v>256</v>
      </c>
      <c r="F1592" s="224" t="s">
        <v>10</v>
      </c>
      <c r="G1592" s="223" t="str">
        <f>VLOOKUP($B1592,'FRS geographical categories'!$A$2:$C$45,2,FALSE)</f>
        <v>Significantly Rural</v>
      </c>
      <c r="H1592" s="223" t="str">
        <f>VLOOKUP($B1592,'FRS geographical categories'!$A$2:$C$45,3,FALSE)</f>
        <v>Non-metropolitan</v>
      </c>
      <c r="I1592" s="224">
        <v>12222</v>
      </c>
    </row>
    <row r="1593" spans="1:9" ht="15.5" x14ac:dyDescent="0.35">
      <c r="A1593" s="224" t="s">
        <v>56</v>
      </c>
      <c r="B1593" s="224" t="s">
        <v>15</v>
      </c>
      <c r="C1593" s="224" t="s">
        <v>86</v>
      </c>
      <c r="D1593" s="224" t="s">
        <v>55</v>
      </c>
      <c r="E1593" s="224" t="s">
        <v>256</v>
      </c>
      <c r="F1593" s="224" t="s">
        <v>248</v>
      </c>
      <c r="G1593" s="223" t="str">
        <f>VLOOKUP($B1593,'FRS geographical categories'!$A$2:$C$45,2,FALSE)</f>
        <v>Significantly Rural</v>
      </c>
      <c r="H1593" s="223" t="str">
        <f>VLOOKUP($B1593,'FRS geographical categories'!$A$2:$C$45,3,FALSE)</f>
        <v>Non-metropolitan</v>
      </c>
      <c r="I1593" s="224">
        <v>8</v>
      </c>
    </row>
    <row r="1594" spans="1:9" ht="15.5" x14ac:dyDescent="0.35">
      <c r="A1594" s="224" t="s">
        <v>56</v>
      </c>
      <c r="B1594" s="224" t="s">
        <v>15</v>
      </c>
      <c r="C1594" s="224" t="s">
        <v>86</v>
      </c>
      <c r="D1594" s="224" t="s">
        <v>55</v>
      </c>
      <c r="E1594" s="224" t="s">
        <v>256</v>
      </c>
      <c r="F1594" s="224" t="s">
        <v>249</v>
      </c>
      <c r="G1594" s="223" t="str">
        <f>VLOOKUP($B1594,'FRS geographical categories'!$A$2:$C$45,2,FALSE)</f>
        <v>Significantly Rural</v>
      </c>
      <c r="H1594" s="223" t="str">
        <f>VLOOKUP($B1594,'FRS geographical categories'!$A$2:$C$45,3,FALSE)</f>
        <v>Non-metropolitan</v>
      </c>
      <c r="I1594" s="224">
        <v>39</v>
      </c>
    </row>
    <row r="1595" spans="1:9" ht="15.5" x14ac:dyDescent="0.35">
      <c r="A1595" s="224" t="s">
        <v>56</v>
      </c>
      <c r="B1595" s="224" t="s">
        <v>15</v>
      </c>
      <c r="C1595" s="224" t="s">
        <v>86</v>
      </c>
      <c r="D1595" s="224" t="s">
        <v>55</v>
      </c>
      <c r="E1595" s="224" t="s">
        <v>256</v>
      </c>
      <c r="F1595" s="224" t="s">
        <v>250</v>
      </c>
      <c r="G1595" s="223" t="str">
        <f>VLOOKUP($B1595,'FRS geographical categories'!$A$2:$C$45,2,FALSE)</f>
        <v>Significantly Rural</v>
      </c>
      <c r="H1595" s="223" t="str">
        <f>VLOOKUP($B1595,'FRS geographical categories'!$A$2:$C$45,3,FALSE)</f>
        <v>Non-metropolitan</v>
      </c>
      <c r="I1595" s="224">
        <v>169</v>
      </c>
    </row>
    <row r="1596" spans="1:9" ht="15.5" x14ac:dyDescent="0.35">
      <c r="A1596" s="224" t="s">
        <v>56</v>
      </c>
      <c r="B1596" s="224" t="s">
        <v>15</v>
      </c>
      <c r="C1596" s="224" t="s">
        <v>86</v>
      </c>
      <c r="D1596" s="224" t="s">
        <v>55</v>
      </c>
      <c r="E1596" s="224" t="s">
        <v>256</v>
      </c>
      <c r="F1596" s="224" t="s">
        <v>111</v>
      </c>
      <c r="G1596" s="223" t="str">
        <f>VLOOKUP($B1596,'FRS geographical categories'!$A$2:$C$45,2,FALSE)</f>
        <v>Significantly Rural</v>
      </c>
      <c r="H1596" s="223" t="str">
        <f>VLOOKUP($B1596,'FRS geographical categories'!$A$2:$C$45,3,FALSE)</f>
        <v>Non-metropolitan</v>
      </c>
      <c r="I1596" s="224">
        <v>229</v>
      </c>
    </row>
    <row r="1597" spans="1:9" ht="15.5" x14ac:dyDescent="0.35">
      <c r="A1597" s="224" t="s">
        <v>56</v>
      </c>
      <c r="B1597" s="224" t="s">
        <v>15</v>
      </c>
      <c r="C1597" s="224" t="s">
        <v>86</v>
      </c>
      <c r="D1597" s="224" t="s">
        <v>55</v>
      </c>
      <c r="E1597" s="224" t="s">
        <v>256</v>
      </c>
      <c r="F1597" s="224" t="s">
        <v>10</v>
      </c>
      <c r="G1597" s="223" t="str">
        <f>VLOOKUP($B1597,'FRS geographical categories'!$A$2:$C$45,2,FALSE)</f>
        <v>Significantly Rural</v>
      </c>
      <c r="H1597" s="223" t="str">
        <f>VLOOKUP($B1597,'FRS geographical categories'!$A$2:$C$45,3,FALSE)</f>
        <v>Non-metropolitan</v>
      </c>
      <c r="I1597" s="224">
        <v>307</v>
      </c>
    </row>
    <row r="1598" spans="1:9" ht="15.5" x14ac:dyDescent="0.35">
      <c r="A1598" s="224" t="s">
        <v>56</v>
      </c>
      <c r="B1598" s="224" t="s">
        <v>15</v>
      </c>
      <c r="C1598" s="224" t="s">
        <v>89</v>
      </c>
      <c r="D1598" s="224" t="s">
        <v>9</v>
      </c>
      <c r="E1598" s="224" t="s">
        <v>256</v>
      </c>
      <c r="F1598" s="224" t="s">
        <v>248</v>
      </c>
      <c r="G1598" s="223" t="str">
        <f>VLOOKUP($B1598,'FRS geographical categories'!$A$2:$C$45,2,FALSE)</f>
        <v>Significantly Rural</v>
      </c>
      <c r="H1598" s="223" t="str">
        <f>VLOOKUP($B1598,'FRS geographical categories'!$A$2:$C$45,3,FALSE)</f>
        <v>Non-metropolitan</v>
      </c>
      <c r="I1598" s="224">
        <v>0</v>
      </c>
    </row>
    <row r="1599" spans="1:9" ht="15.5" x14ac:dyDescent="0.35">
      <c r="A1599" s="224" t="s">
        <v>56</v>
      </c>
      <c r="B1599" s="224" t="s">
        <v>15</v>
      </c>
      <c r="C1599" s="224" t="s">
        <v>89</v>
      </c>
      <c r="D1599" s="224" t="s">
        <v>9</v>
      </c>
      <c r="E1599" s="224" t="s">
        <v>256</v>
      </c>
      <c r="F1599" s="224" t="s">
        <v>249</v>
      </c>
      <c r="G1599" s="223" t="str">
        <f>VLOOKUP($B1599,'FRS geographical categories'!$A$2:$C$45,2,FALSE)</f>
        <v>Significantly Rural</v>
      </c>
      <c r="H1599" s="223" t="str">
        <f>VLOOKUP($B1599,'FRS geographical categories'!$A$2:$C$45,3,FALSE)</f>
        <v>Non-metropolitan</v>
      </c>
      <c r="I1599" s="224">
        <v>0</v>
      </c>
    </row>
    <row r="1600" spans="1:9" ht="15.5" x14ac:dyDescent="0.35">
      <c r="A1600" s="224" t="s">
        <v>56</v>
      </c>
      <c r="B1600" s="224" t="s">
        <v>15</v>
      </c>
      <c r="C1600" s="224" t="s">
        <v>89</v>
      </c>
      <c r="D1600" s="224" t="s">
        <v>9</v>
      </c>
      <c r="E1600" s="224" t="s">
        <v>256</v>
      </c>
      <c r="F1600" s="224" t="s">
        <v>250</v>
      </c>
      <c r="G1600" s="223" t="str">
        <f>VLOOKUP($B1600,'FRS geographical categories'!$A$2:$C$45,2,FALSE)</f>
        <v>Significantly Rural</v>
      </c>
      <c r="H1600" s="223" t="str">
        <f>VLOOKUP($B1600,'FRS geographical categories'!$A$2:$C$45,3,FALSE)</f>
        <v>Non-metropolitan</v>
      </c>
      <c r="I1600" s="224">
        <v>0</v>
      </c>
    </row>
    <row r="1601" spans="1:9" ht="15.5" x14ac:dyDescent="0.35">
      <c r="A1601" s="224" t="s">
        <v>56</v>
      </c>
      <c r="B1601" s="224" t="s">
        <v>15</v>
      </c>
      <c r="C1601" s="224" t="s">
        <v>89</v>
      </c>
      <c r="D1601" s="224" t="s">
        <v>9</v>
      </c>
      <c r="E1601" s="224" t="s">
        <v>256</v>
      </c>
      <c r="F1601" s="224" t="s">
        <v>10</v>
      </c>
      <c r="G1601" s="223" t="str">
        <f>VLOOKUP($B1601,'FRS geographical categories'!$A$2:$C$45,2,FALSE)</f>
        <v>Significantly Rural</v>
      </c>
      <c r="H1601" s="223" t="str">
        <f>VLOOKUP($B1601,'FRS geographical categories'!$A$2:$C$45,3,FALSE)</f>
        <v>Non-metropolitan</v>
      </c>
      <c r="I1601" s="224">
        <v>0</v>
      </c>
    </row>
    <row r="1602" spans="1:9" ht="15.5" x14ac:dyDescent="0.35">
      <c r="A1602" s="224" t="s">
        <v>56</v>
      </c>
      <c r="B1602" s="224" t="s">
        <v>15</v>
      </c>
      <c r="C1602" s="224" t="s">
        <v>89</v>
      </c>
      <c r="D1602" s="224" t="s">
        <v>55</v>
      </c>
      <c r="E1602" s="224" t="s">
        <v>256</v>
      </c>
      <c r="F1602" s="224" t="s">
        <v>248</v>
      </c>
      <c r="G1602" s="223" t="str">
        <f>VLOOKUP($B1602,'FRS geographical categories'!$A$2:$C$45,2,FALSE)</f>
        <v>Significantly Rural</v>
      </c>
      <c r="H1602" s="223" t="str">
        <f>VLOOKUP($B1602,'FRS geographical categories'!$A$2:$C$45,3,FALSE)</f>
        <v>Non-metropolitan</v>
      </c>
      <c r="I1602" s="224">
        <v>0</v>
      </c>
    </row>
    <row r="1603" spans="1:9" ht="15.5" x14ac:dyDescent="0.35">
      <c r="A1603" s="224" t="s">
        <v>56</v>
      </c>
      <c r="B1603" s="224" t="s">
        <v>15</v>
      </c>
      <c r="C1603" s="224" t="s">
        <v>89</v>
      </c>
      <c r="D1603" s="224" t="s">
        <v>55</v>
      </c>
      <c r="E1603" s="224" t="s">
        <v>256</v>
      </c>
      <c r="F1603" s="224" t="s">
        <v>249</v>
      </c>
      <c r="G1603" s="223" t="str">
        <f>VLOOKUP($B1603,'FRS geographical categories'!$A$2:$C$45,2,FALSE)</f>
        <v>Significantly Rural</v>
      </c>
      <c r="H1603" s="223" t="str">
        <f>VLOOKUP($B1603,'FRS geographical categories'!$A$2:$C$45,3,FALSE)</f>
        <v>Non-metropolitan</v>
      </c>
      <c r="I1603" s="224">
        <v>0</v>
      </c>
    </row>
    <row r="1604" spans="1:9" ht="15.5" x14ac:dyDescent="0.35">
      <c r="A1604" s="224" t="s">
        <v>56</v>
      </c>
      <c r="B1604" s="224" t="s">
        <v>15</v>
      </c>
      <c r="C1604" s="224" t="s">
        <v>89</v>
      </c>
      <c r="D1604" s="224" t="s">
        <v>55</v>
      </c>
      <c r="E1604" s="224" t="s">
        <v>256</v>
      </c>
      <c r="F1604" s="224" t="s">
        <v>250</v>
      </c>
      <c r="G1604" s="223" t="str">
        <f>VLOOKUP($B1604,'FRS geographical categories'!$A$2:$C$45,2,FALSE)</f>
        <v>Significantly Rural</v>
      </c>
      <c r="H1604" s="223" t="str">
        <f>VLOOKUP($B1604,'FRS geographical categories'!$A$2:$C$45,3,FALSE)</f>
        <v>Non-metropolitan</v>
      </c>
      <c r="I1604" s="224">
        <v>0</v>
      </c>
    </row>
    <row r="1605" spans="1:9" ht="15.5" x14ac:dyDescent="0.35">
      <c r="A1605" s="224" t="s">
        <v>56</v>
      </c>
      <c r="B1605" s="224" t="s">
        <v>15</v>
      </c>
      <c r="C1605" s="224" t="s">
        <v>89</v>
      </c>
      <c r="D1605" s="224" t="s">
        <v>55</v>
      </c>
      <c r="E1605" s="224" t="s">
        <v>256</v>
      </c>
      <c r="F1605" s="224" t="s">
        <v>10</v>
      </c>
      <c r="G1605" s="223" t="str">
        <f>VLOOKUP($B1605,'FRS geographical categories'!$A$2:$C$45,2,FALSE)</f>
        <v>Significantly Rural</v>
      </c>
      <c r="H1605" s="223" t="str">
        <f>VLOOKUP($B1605,'FRS geographical categories'!$A$2:$C$45,3,FALSE)</f>
        <v>Non-metropolitan</v>
      </c>
      <c r="I1605" s="224">
        <v>0</v>
      </c>
    </row>
    <row r="1606" spans="1:9" ht="15.5" x14ac:dyDescent="0.35">
      <c r="A1606" s="224" t="s">
        <v>56</v>
      </c>
      <c r="B1606" s="224" t="s">
        <v>16</v>
      </c>
      <c r="C1606" s="224" t="s">
        <v>86</v>
      </c>
      <c r="D1606" s="224" t="s">
        <v>9</v>
      </c>
      <c r="E1606" s="224" t="s">
        <v>256</v>
      </c>
      <c r="F1606" s="224" t="s">
        <v>248</v>
      </c>
      <c r="G1606" s="223" t="str">
        <f>VLOOKUP($B1606,'FRS geographical categories'!$A$2:$C$45,2,FALSE)</f>
        <v>Predominantly Urban</v>
      </c>
      <c r="H1606" s="223" t="str">
        <f>VLOOKUP($B1606,'FRS geographical categories'!$A$2:$C$45,3,FALSE)</f>
        <v>Non-metropolitan</v>
      </c>
      <c r="I1606" s="224">
        <v>728</v>
      </c>
    </row>
    <row r="1607" spans="1:9" ht="15.5" x14ac:dyDescent="0.35">
      <c r="A1607" s="224" t="s">
        <v>56</v>
      </c>
      <c r="B1607" s="224" t="s">
        <v>16</v>
      </c>
      <c r="C1607" s="224" t="s">
        <v>86</v>
      </c>
      <c r="D1607" s="224" t="s">
        <v>9</v>
      </c>
      <c r="E1607" s="224" t="s">
        <v>256</v>
      </c>
      <c r="F1607" s="224" t="s">
        <v>249</v>
      </c>
      <c r="G1607" s="223" t="str">
        <f>VLOOKUP($B1607,'FRS geographical categories'!$A$2:$C$45,2,FALSE)</f>
        <v>Predominantly Urban</v>
      </c>
      <c r="H1607" s="223" t="str">
        <f>VLOOKUP($B1607,'FRS geographical categories'!$A$2:$C$45,3,FALSE)</f>
        <v>Non-metropolitan</v>
      </c>
      <c r="I1607" s="224">
        <v>1645</v>
      </c>
    </row>
    <row r="1608" spans="1:9" ht="15.5" x14ac:dyDescent="0.35">
      <c r="A1608" s="224" t="s">
        <v>56</v>
      </c>
      <c r="B1608" s="224" t="s">
        <v>16</v>
      </c>
      <c r="C1608" s="224" t="s">
        <v>86</v>
      </c>
      <c r="D1608" s="224" t="s">
        <v>9</v>
      </c>
      <c r="E1608" s="224" t="s">
        <v>256</v>
      </c>
      <c r="F1608" s="224" t="s">
        <v>250</v>
      </c>
      <c r="G1608" s="223" t="str">
        <f>VLOOKUP($B1608,'FRS geographical categories'!$A$2:$C$45,2,FALSE)</f>
        <v>Predominantly Urban</v>
      </c>
      <c r="H1608" s="223" t="str">
        <f>VLOOKUP($B1608,'FRS geographical categories'!$A$2:$C$45,3,FALSE)</f>
        <v>Non-metropolitan</v>
      </c>
      <c r="I1608" s="224">
        <v>4915</v>
      </c>
    </row>
    <row r="1609" spans="1:9" ht="15.5" x14ac:dyDescent="0.35">
      <c r="A1609" s="224" t="s">
        <v>56</v>
      </c>
      <c r="B1609" s="224" t="s">
        <v>16</v>
      </c>
      <c r="C1609" s="224" t="s">
        <v>86</v>
      </c>
      <c r="D1609" s="224" t="s">
        <v>9</v>
      </c>
      <c r="E1609" s="224" t="s">
        <v>256</v>
      </c>
      <c r="F1609" s="224" t="s">
        <v>111</v>
      </c>
      <c r="G1609" s="223" t="str">
        <f>VLOOKUP($B1609,'FRS geographical categories'!$A$2:$C$45,2,FALSE)</f>
        <v>Predominantly Urban</v>
      </c>
      <c r="H1609" s="223" t="str">
        <f>VLOOKUP($B1609,'FRS geographical categories'!$A$2:$C$45,3,FALSE)</f>
        <v>Non-metropolitan</v>
      </c>
      <c r="I1609" s="224">
        <v>7288</v>
      </c>
    </row>
    <row r="1610" spans="1:9" ht="15.5" x14ac:dyDescent="0.35">
      <c r="A1610" s="224" t="s">
        <v>56</v>
      </c>
      <c r="B1610" s="224" t="s">
        <v>16</v>
      </c>
      <c r="C1610" s="224" t="s">
        <v>86</v>
      </c>
      <c r="D1610" s="224" t="s">
        <v>9</v>
      </c>
      <c r="E1610" s="224" t="s">
        <v>256</v>
      </c>
      <c r="F1610" s="224" t="s">
        <v>10</v>
      </c>
      <c r="G1610" s="223" t="str">
        <f>VLOOKUP($B1610,'FRS geographical categories'!$A$2:$C$45,2,FALSE)</f>
        <v>Predominantly Urban</v>
      </c>
      <c r="H1610" s="223" t="str">
        <f>VLOOKUP($B1610,'FRS geographical categories'!$A$2:$C$45,3,FALSE)</f>
        <v>Non-metropolitan</v>
      </c>
      <c r="I1610" s="224">
        <v>19276</v>
      </c>
    </row>
    <row r="1611" spans="1:9" ht="15.5" x14ac:dyDescent="0.35">
      <c r="A1611" s="224" t="s">
        <v>56</v>
      </c>
      <c r="B1611" s="224" t="s">
        <v>16</v>
      </c>
      <c r="C1611" s="224" t="s">
        <v>86</v>
      </c>
      <c r="D1611" s="224" t="s">
        <v>55</v>
      </c>
      <c r="E1611" s="224" t="s">
        <v>256</v>
      </c>
      <c r="F1611" s="224" t="s">
        <v>248</v>
      </c>
      <c r="G1611" s="223" t="str">
        <f>VLOOKUP($B1611,'FRS geographical categories'!$A$2:$C$45,2,FALSE)</f>
        <v>Predominantly Urban</v>
      </c>
      <c r="H1611" s="223" t="str">
        <f>VLOOKUP($B1611,'FRS geographical categories'!$A$2:$C$45,3,FALSE)</f>
        <v>Non-metropolitan</v>
      </c>
      <c r="I1611" s="224">
        <v>19</v>
      </c>
    </row>
    <row r="1612" spans="1:9" ht="15.5" x14ac:dyDescent="0.35">
      <c r="A1612" s="224" t="s">
        <v>56</v>
      </c>
      <c r="B1612" s="224" t="s">
        <v>16</v>
      </c>
      <c r="C1612" s="224" t="s">
        <v>86</v>
      </c>
      <c r="D1612" s="224" t="s">
        <v>55</v>
      </c>
      <c r="E1612" s="224" t="s">
        <v>256</v>
      </c>
      <c r="F1612" s="224" t="s">
        <v>249</v>
      </c>
      <c r="G1612" s="223" t="str">
        <f>VLOOKUP($B1612,'FRS geographical categories'!$A$2:$C$45,2,FALSE)</f>
        <v>Predominantly Urban</v>
      </c>
      <c r="H1612" s="223" t="str">
        <f>VLOOKUP($B1612,'FRS geographical categories'!$A$2:$C$45,3,FALSE)</f>
        <v>Non-metropolitan</v>
      </c>
      <c r="I1612" s="224">
        <v>22</v>
      </c>
    </row>
    <row r="1613" spans="1:9" ht="15.5" x14ac:dyDescent="0.35">
      <c r="A1613" s="224" t="s">
        <v>56</v>
      </c>
      <c r="B1613" s="224" t="s">
        <v>16</v>
      </c>
      <c r="C1613" s="224" t="s">
        <v>86</v>
      </c>
      <c r="D1613" s="224" t="s">
        <v>55</v>
      </c>
      <c r="E1613" s="224" t="s">
        <v>256</v>
      </c>
      <c r="F1613" s="224" t="s">
        <v>250</v>
      </c>
      <c r="G1613" s="223" t="str">
        <f>VLOOKUP($B1613,'FRS geographical categories'!$A$2:$C$45,2,FALSE)</f>
        <v>Predominantly Urban</v>
      </c>
      <c r="H1613" s="223" t="str">
        <f>VLOOKUP($B1613,'FRS geographical categories'!$A$2:$C$45,3,FALSE)</f>
        <v>Non-metropolitan</v>
      </c>
      <c r="I1613" s="224">
        <v>205</v>
      </c>
    </row>
    <row r="1614" spans="1:9" ht="15.5" x14ac:dyDescent="0.35">
      <c r="A1614" s="224" t="s">
        <v>56</v>
      </c>
      <c r="B1614" s="224" t="s">
        <v>16</v>
      </c>
      <c r="C1614" s="224" t="s">
        <v>86</v>
      </c>
      <c r="D1614" s="224" t="s">
        <v>55</v>
      </c>
      <c r="E1614" s="224" t="s">
        <v>256</v>
      </c>
      <c r="F1614" s="224" t="s">
        <v>111</v>
      </c>
      <c r="G1614" s="223" t="str">
        <f>VLOOKUP($B1614,'FRS geographical categories'!$A$2:$C$45,2,FALSE)</f>
        <v>Predominantly Urban</v>
      </c>
      <c r="H1614" s="223" t="str">
        <f>VLOOKUP($B1614,'FRS geographical categories'!$A$2:$C$45,3,FALSE)</f>
        <v>Non-metropolitan</v>
      </c>
      <c r="I1614" s="224">
        <v>246</v>
      </c>
    </row>
    <row r="1615" spans="1:9" ht="15.5" x14ac:dyDescent="0.35">
      <c r="A1615" s="224" t="s">
        <v>56</v>
      </c>
      <c r="B1615" s="224" t="s">
        <v>16</v>
      </c>
      <c r="C1615" s="224" t="s">
        <v>86</v>
      </c>
      <c r="D1615" s="224" t="s">
        <v>55</v>
      </c>
      <c r="E1615" s="224" t="s">
        <v>256</v>
      </c>
      <c r="F1615" s="224" t="s">
        <v>10</v>
      </c>
      <c r="G1615" s="223" t="str">
        <f>VLOOKUP($B1615,'FRS geographical categories'!$A$2:$C$45,2,FALSE)</f>
        <v>Predominantly Urban</v>
      </c>
      <c r="H1615" s="223" t="str">
        <f>VLOOKUP($B1615,'FRS geographical categories'!$A$2:$C$45,3,FALSE)</f>
        <v>Non-metropolitan</v>
      </c>
      <c r="I1615" s="224">
        <v>1301</v>
      </c>
    </row>
    <row r="1616" spans="1:9" ht="15.5" x14ac:dyDescent="0.35">
      <c r="A1616" s="224" t="s">
        <v>56</v>
      </c>
      <c r="B1616" s="224" t="s">
        <v>16</v>
      </c>
      <c r="C1616" s="224" t="s">
        <v>89</v>
      </c>
      <c r="D1616" s="224" t="s">
        <v>9</v>
      </c>
      <c r="E1616" s="224" t="s">
        <v>256</v>
      </c>
      <c r="F1616" s="224" t="s">
        <v>248</v>
      </c>
      <c r="G1616" s="223" t="str">
        <f>VLOOKUP($B1616,'FRS geographical categories'!$A$2:$C$45,2,FALSE)</f>
        <v>Predominantly Urban</v>
      </c>
      <c r="H1616" s="223" t="str">
        <f>VLOOKUP($B1616,'FRS geographical categories'!$A$2:$C$45,3,FALSE)</f>
        <v>Non-metropolitan</v>
      </c>
      <c r="I1616" s="224">
        <v>0</v>
      </c>
    </row>
    <row r="1617" spans="1:9" ht="15.5" x14ac:dyDescent="0.35">
      <c r="A1617" s="224" t="s">
        <v>56</v>
      </c>
      <c r="B1617" s="224" t="s">
        <v>16</v>
      </c>
      <c r="C1617" s="224" t="s">
        <v>89</v>
      </c>
      <c r="D1617" s="224" t="s">
        <v>9</v>
      </c>
      <c r="E1617" s="224" t="s">
        <v>256</v>
      </c>
      <c r="F1617" s="224" t="s">
        <v>249</v>
      </c>
      <c r="G1617" s="223" t="str">
        <f>VLOOKUP($B1617,'FRS geographical categories'!$A$2:$C$45,2,FALSE)</f>
        <v>Predominantly Urban</v>
      </c>
      <c r="H1617" s="223" t="str">
        <f>VLOOKUP($B1617,'FRS geographical categories'!$A$2:$C$45,3,FALSE)</f>
        <v>Non-metropolitan</v>
      </c>
      <c r="I1617" s="224">
        <v>0</v>
      </c>
    </row>
    <row r="1618" spans="1:9" ht="15.5" x14ac:dyDescent="0.35">
      <c r="A1618" s="224" t="s">
        <v>56</v>
      </c>
      <c r="B1618" s="224" t="s">
        <v>16</v>
      </c>
      <c r="C1618" s="224" t="s">
        <v>89</v>
      </c>
      <c r="D1618" s="224" t="s">
        <v>9</v>
      </c>
      <c r="E1618" s="224" t="s">
        <v>256</v>
      </c>
      <c r="F1618" s="224" t="s">
        <v>250</v>
      </c>
      <c r="G1618" s="223" t="str">
        <f>VLOOKUP($B1618,'FRS geographical categories'!$A$2:$C$45,2,FALSE)</f>
        <v>Predominantly Urban</v>
      </c>
      <c r="H1618" s="223" t="str">
        <f>VLOOKUP($B1618,'FRS geographical categories'!$A$2:$C$45,3,FALSE)</f>
        <v>Non-metropolitan</v>
      </c>
      <c r="I1618" s="224">
        <v>0</v>
      </c>
    </row>
    <row r="1619" spans="1:9" ht="15.5" x14ac:dyDescent="0.35">
      <c r="A1619" s="224" t="s">
        <v>56</v>
      </c>
      <c r="B1619" s="224" t="s">
        <v>16</v>
      </c>
      <c r="C1619" s="224" t="s">
        <v>89</v>
      </c>
      <c r="D1619" s="224" t="s">
        <v>9</v>
      </c>
      <c r="E1619" s="224" t="s">
        <v>256</v>
      </c>
      <c r="F1619" s="224" t="s">
        <v>10</v>
      </c>
      <c r="G1619" s="223" t="str">
        <f>VLOOKUP($B1619,'FRS geographical categories'!$A$2:$C$45,2,FALSE)</f>
        <v>Predominantly Urban</v>
      </c>
      <c r="H1619" s="223" t="str">
        <f>VLOOKUP($B1619,'FRS geographical categories'!$A$2:$C$45,3,FALSE)</f>
        <v>Non-metropolitan</v>
      </c>
      <c r="I1619" s="224">
        <v>0</v>
      </c>
    </row>
    <row r="1620" spans="1:9" ht="15.5" x14ac:dyDescent="0.35">
      <c r="A1620" s="224" t="s">
        <v>56</v>
      </c>
      <c r="B1620" s="224" t="s">
        <v>16</v>
      </c>
      <c r="C1620" s="224" t="s">
        <v>89</v>
      </c>
      <c r="D1620" s="224" t="s">
        <v>55</v>
      </c>
      <c r="E1620" s="224" t="s">
        <v>256</v>
      </c>
      <c r="F1620" s="224" t="s">
        <v>248</v>
      </c>
      <c r="G1620" s="223" t="str">
        <f>VLOOKUP($B1620,'FRS geographical categories'!$A$2:$C$45,2,FALSE)</f>
        <v>Predominantly Urban</v>
      </c>
      <c r="H1620" s="223" t="str">
        <f>VLOOKUP($B1620,'FRS geographical categories'!$A$2:$C$45,3,FALSE)</f>
        <v>Non-metropolitan</v>
      </c>
      <c r="I1620" s="224">
        <v>0</v>
      </c>
    </row>
    <row r="1621" spans="1:9" ht="15.5" x14ac:dyDescent="0.35">
      <c r="A1621" s="224" t="s">
        <v>56</v>
      </c>
      <c r="B1621" s="224" t="s">
        <v>16</v>
      </c>
      <c r="C1621" s="224" t="s">
        <v>89</v>
      </c>
      <c r="D1621" s="224" t="s">
        <v>55</v>
      </c>
      <c r="E1621" s="224" t="s">
        <v>256</v>
      </c>
      <c r="F1621" s="224" t="s">
        <v>249</v>
      </c>
      <c r="G1621" s="223" t="str">
        <f>VLOOKUP($B1621,'FRS geographical categories'!$A$2:$C$45,2,FALSE)</f>
        <v>Predominantly Urban</v>
      </c>
      <c r="H1621" s="223" t="str">
        <f>VLOOKUP($B1621,'FRS geographical categories'!$A$2:$C$45,3,FALSE)</f>
        <v>Non-metropolitan</v>
      </c>
      <c r="I1621" s="224">
        <v>0</v>
      </c>
    </row>
    <row r="1622" spans="1:9" ht="15.5" x14ac:dyDescent="0.35">
      <c r="A1622" s="224" t="s">
        <v>56</v>
      </c>
      <c r="B1622" s="224" t="s">
        <v>16</v>
      </c>
      <c r="C1622" s="224" t="s">
        <v>89</v>
      </c>
      <c r="D1622" s="224" t="s">
        <v>55</v>
      </c>
      <c r="E1622" s="224" t="s">
        <v>256</v>
      </c>
      <c r="F1622" s="224" t="s">
        <v>250</v>
      </c>
      <c r="G1622" s="223" t="str">
        <f>VLOOKUP($B1622,'FRS geographical categories'!$A$2:$C$45,2,FALSE)</f>
        <v>Predominantly Urban</v>
      </c>
      <c r="H1622" s="223" t="str">
        <f>VLOOKUP($B1622,'FRS geographical categories'!$A$2:$C$45,3,FALSE)</f>
        <v>Non-metropolitan</v>
      </c>
      <c r="I1622" s="224">
        <v>0</v>
      </c>
    </row>
    <row r="1623" spans="1:9" ht="15.5" x14ac:dyDescent="0.35">
      <c r="A1623" s="224" t="s">
        <v>56</v>
      </c>
      <c r="B1623" s="224" t="s">
        <v>16</v>
      </c>
      <c r="C1623" s="224" t="s">
        <v>89</v>
      </c>
      <c r="D1623" s="224" t="s">
        <v>55</v>
      </c>
      <c r="E1623" s="224" t="s">
        <v>256</v>
      </c>
      <c r="F1623" s="224" t="s">
        <v>10</v>
      </c>
      <c r="G1623" s="223" t="str">
        <f>VLOOKUP($B1623,'FRS geographical categories'!$A$2:$C$45,2,FALSE)</f>
        <v>Predominantly Urban</v>
      </c>
      <c r="H1623" s="223" t="str">
        <f>VLOOKUP($B1623,'FRS geographical categories'!$A$2:$C$45,3,FALSE)</f>
        <v>Non-metropolitan</v>
      </c>
      <c r="I1623" s="224">
        <v>0</v>
      </c>
    </row>
    <row r="1624" spans="1:9" ht="15.5" x14ac:dyDescent="0.35">
      <c r="A1624" s="224" t="s">
        <v>56</v>
      </c>
      <c r="B1624" s="224" t="s">
        <v>17</v>
      </c>
      <c r="C1624" s="224" t="s">
        <v>86</v>
      </c>
      <c r="D1624" s="224" t="s">
        <v>9</v>
      </c>
      <c r="E1624" s="224" t="s">
        <v>256</v>
      </c>
      <c r="F1624" s="224" t="s">
        <v>248</v>
      </c>
      <c r="G1624" s="223" t="str">
        <f>VLOOKUP($B1624,'FRS geographical categories'!$A$2:$C$45,2,FALSE)</f>
        <v>Predominantly Rural</v>
      </c>
      <c r="H1624" s="223" t="str">
        <f>VLOOKUP($B1624,'FRS geographical categories'!$A$2:$C$45,3,FALSE)</f>
        <v>Non-metropolitan</v>
      </c>
      <c r="I1624" s="224">
        <v>111</v>
      </c>
    </row>
    <row r="1625" spans="1:9" ht="15.5" x14ac:dyDescent="0.35">
      <c r="A1625" s="224" t="s">
        <v>56</v>
      </c>
      <c r="B1625" s="224" t="s">
        <v>17</v>
      </c>
      <c r="C1625" s="224" t="s">
        <v>86</v>
      </c>
      <c r="D1625" s="224" t="s">
        <v>9</v>
      </c>
      <c r="E1625" s="224" t="s">
        <v>256</v>
      </c>
      <c r="F1625" s="224" t="s">
        <v>249</v>
      </c>
      <c r="G1625" s="223" t="str">
        <f>VLOOKUP($B1625,'FRS geographical categories'!$A$2:$C$45,2,FALSE)</f>
        <v>Predominantly Rural</v>
      </c>
      <c r="H1625" s="223" t="str">
        <f>VLOOKUP($B1625,'FRS geographical categories'!$A$2:$C$45,3,FALSE)</f>
        <v>Non-metropolitan</v>
      </c>
      <c r="I1625" s="224">
        <v>972</v>
      </c>
    </row>
    <row r="1626" spans="1:9" ht="15.5" x14ac:dyDescent="0.35">
      <c r="A1626" s="224" t="s">
        <v>56</v>
      </c>
      <c r="B1626" s="224" t="s">
        <v>17</v>
      </c>
      <c r="C1626" s="224" t="s">
        <v>86</v>
      </c>
      <c r="D1626" s="224" t="s">
        <v>9</v>
      </c>
      <c r="E1626" s="224" t="s">
        <v>256</v>
      </c>
      <c r="F1626" s="224" t="s">
        <v>250</v>
      </c>
      <c r="G1626" s="223" t="str">
        <f>VLOOKUP($B1626,'FRS geographical categories'!$A$2:$C$45,2,FALSE)</f>
        <v>Predominantly Rural</v>
      </c>
      <c r="H1626" s="223" t="str">
        <f>VLOOKUP($B1626,'FRS geographical categories'!$A$2:$C$45,3,FALSE)</f>
        <v>Non-metropolitan</v>
      </c>
      <c r="I1626" s="224">
        <v>774</v>
      </c>
    </row>
    <row r="1627" spans="1:9" ht="15.5" x14ac:dyDescent="0.35">
      <c r="A1627" s="224" t="s">
        <v>56</v>
      </c>
      <c r="B1627" s="224" t="s">
        <v>17</v>
      </c>
      <c r="C1627" s="224" t="s">
        <v>86</v>
      </c>
      <c r="D1627" s="224" t="s">
        <v>9</v>
      </c>
      <c r="E1627" s="224" t="s">
        <v>256</v>
      </c>
      <c r="F1627" s="224" t="s">
        <v>111</v>
      </c>
      <c r="G1627" s="223" t="str">
        <f>VLOOKUP($B1627,'FRS geographical categories'!$A$2:$C$45,2,FALSE)</f>
        <v>Predominantly Rural</v>
      </c>
      <c r="H1627" s="223" t="str">
        <f>VLOOKUP($B1627,'FRS geographical categories'!$A$2:$C$45,3,FALSE)</f>
        <v>Non-metropolitan</v>
      </c>
      <c r="I1627" s="224">
        <v>2155</v>
      </c>
    </row>
    <row r="1628" spans="1:9" ht="15.5" x14ac:dyDescent="0.35">
      <c r="A1628" s="224" t="s">
        <v>56</v>
      </c>
      <c r="B1628" s="224" t="s">
        <v>17</v>
      </c>
      <c r="C1628" s="224" t="s">
        <v>86</v>
      </c>
      <c r="D1628" s="224" t="s">
        <v>9</v>
      </c>
      <c r="E1628" s="224" t="s">
        <v>256</v>
      </c>
      <c r="F1628" s="224" t="s">
        <v>10</v>
      </c>
      <c r="G1628" s="223" t="str">
        <f>VLOOKUP($B1628,'FRS geographical categories'!$A$2:$C$45,2,FALSE)</f>
        <v>Predominantly Rural</v>
      </c>
      <c r="H1628" s="223" t="str">
        <f>VLOOKUP($B1628,'FRS geographical categories'!$A$2:$C$45,3,FALSE)</f>
        <v>Non-metropolitan</v>
      </c>
      <c r="I1628" s="224">
        <v>2447</v>
      </c>
    </row>
    <row r="1629" spans="1:9" ht="15.5" x14ac:dyDescent="0.35">
      <c r="A1629" s="224" t="s">
        <v>56</v>
      </c>
      <c r="B1629" s="224" t="s">
        <v>17</v>
      </c>
      <c r="C1629" s="224" t="s">
        <v>86</v>
      </c>
      <c r="D1629" s="224" t="s">
        <v>55</v>
      </c>
      <c r="E1629" s="224" t="s">
        <v>256</v>
      </c>
      <c r="F1629" s="224" t="s">
        <v>248</v>
      </c>
      <c r="G1629" s="223" t="str">
        <f>VLOOKUP($B1629,'FRS geographical categories'!$A$2:$C$45,2,FALSE)</f>
        <v>Predominantly Rural</v>
      </c>
      <c r="H1629" s="223" t="str">
        <f>VLOOKUP($B1629,'FRS geographical categories'!$A$2:$C$45,3,FALSE)</f>
        <v>Non-metropolitan</v>
      </c>
      <c r="I1629" s="224">
        <v>0</v>
      </c>
    </row>
    <row r="1630" spans="1:9" ht="15.5" x14ac:dyDescent="0.35">
      <c r="A1630" s="224" t="s">
        <v>56</v>
      </c>
      <c r="B1630" s="224" t="s">
        <v>17</v>
      </c>
      <c r="C1630" s="224" t="s">
        <v>86</v>
      </c>
      <c r="D1630" s="224" t="s">
        <v>55</v>
      </c>
      <c r="E1630" s="224" t="s">
        <v>256</v>
      </c>
      <c r="F1630" s="224" t="s">
        <v>249</v>
      </c>
      <c r="G1630" s="223" t="str">
        <f>VLOOKUP($B1630,'FRS geographical categories'!$A$2:$C$45,2,FALSE)</f>
        <v>Predominantly Rural</v>
      </c>
      <c r="H1630" s="223" t="str">
        <f>VLOOKUP($B1630,'FRS geographical categories'!$A$2:$C$45,3,FALSE)</f>
        <v>Non-metropolitan</v>
      </c>
      <c r="I1630" s="224">
        <v>3</v>
      </c>
    </row>
    <row r="1631" spans="1:9" ht="15.5" x14ac:dyDescent="0.35">
      <c r="A1631" s="224" t="s">
        <v>56</v>
      </c>
      <c r="B1631" s="224" t="s">
        <v>17</v>
      </c>
      <c r="C1631" s="224" t="s">
        <v>86</v>
      </c>
      <c r="D1631" s="224" t="s">
        <v>55</v>
      </c>
      <c r="E1631" s="224" t="s">
        <v>256</v>
      </c>
      <c r="F1631" s="224" t="s">
        <v>250</v>
      </c>
      <c r="G1631" s="223" t="str">
        <f>VLOOKUP($B1631,'FRS geographical categories'!$A$2:$C$45,2,FALSE)</f>
        <v>Predominantly Rural</v>
      </c>
      <c r="H1631" s="223" t="str">
        <f>VLOOKUP($B1631,'FRS geographical categories'!$A$2:$C$45,3,FALSE)</f>
        <v>Non-metropolitan</v>
      </c>
      <c r="I1631" s="224">
        <v>4</v>
      </c>
    </row>
    <row r="1632" spans="1:9" ht="15.5" x14ac:dyDescent="0.35">
      <c r="A1632" s="224" t="s">
        <v>56</v>
      </c>
      <c r="B1632" s="224" t="s">
        <v>17</v>
      </c>
      <c r="C1632" s="224" t="s">
        <v>86</v>
      </c>
      <c r="D1632" s="224" t="s">
        <v>55</v>
      </c>
      <c r="E1632" s="224" t="s">
        <v>256</v>
      </c>
      <c r="F1632" s="224" t="s">
        <v>111</v>
      </c>
      <c r="G1632" s="223" t="str">
        <f>VLOOKUP($B1632,'FRS geographical categories'!$A$2:$C$45,2,FALSE)</f>
        <v>Predominantly Rural</v>
      </c>
      <c r="H1632" s="223" t="str">
        <f>VLOOKUP($B1632,'FRS geographical categories'!$A$2:$C$45,3,FALSE)</f>
        <v>Non-metropolitan</v>
      </c>
      <c r="I1632" s="224">
        <v>8</v>
      </c>
    </row>
    <row r="1633" spans="1:9" ht="15.5" x14ac:dyDescent="0.35">
      <c r="A1633" s="224" t="s">
        <v>56</v>
      </c>
      <c r="B1633" s="224" t="s">
        <v>17</v>
      </c>
      <c r="C1633" s="224" t="s">
        <v>86</v>
      </c>
      <c r="D1633" s="224" t="s">
        <v>55</v>
      </c>
      <c r="E1633" s="224" t="s">
        <v>256</v>
      </c>
      <c r="F1633" s="224" t="s">
        <v>10</v>
      </c>
      <c r="G1633" s="223" t="str">
        <f>VLOOKUP($B1633,'FRS geographical categories'!$A$2:$C$45,2,FALSE)</f>
        <v>Predominantly Rural</v>
      </c>
      <c r="H1633" s="223" t="str">
        <f>VLOOKUP($B1633,'FRS geographical categories'!$A$2:$C$45,3,FALSE)</f>
        <v>Non-metropolitan</v>
      </c>
      <c r="I1633" s="224">
        <v>8</v>
      </c>
    </row>
    <row r="1634" spans="1:9" ht="15.5" x14ac:dyDescent="0.35">
      <c r="A1634" s="224" t="s">
        <v>56</v>
      </c>
      <c r="B1634" s="224" t="s">
        <v>17</v>
      </c>
      <c r="C1634" s="224" t="s">
        <v>89</v>
      </c>
      <c r="D1634" s="224" t="s">
        <v>9</v>
      </c>
      <c r="E1634" s="224" t="s">
        <v>256</v>
      </c>
      <c r="F1634" s="224" t="s">
        <v>248</v>
      </c>
      <c r="G1634" s="223" t="str">
        <f>VLOOKUP($B1634,'FRS geographical categories'!$A$2:$C$45,2,FALSE)</f>
        <v>Predominantly Rural</v>
      </c>
      <c r="H1634" s="223" t="str">
        <f>VLOOKUP($B1634,'FRS geographical categories'!$A$2:$C$45,3,FALSE)</f>
        <v>Non-metropolitan</v>
      </c>
      <c r="I1634" s="224">
        <v>7</v>
      </c>
    </row>
    <row r="1635" spans="1:9" ht="15.5" x14ac:dyDescent="0.35">
      <c r="A1635" s="224" t="s">
        <v>56</v>
      </c>
      <c r="B1635" s="224" t="s">
        <v>17</v>
      </c>
      <c r="C1635" s="224" t="s">
        <v>89</v>
      </c>
      <c r="D1635" s="224" t="s">
        <v>9</v>
      </c>
      <c r="E1635" s="224" t="s">
        <v>256</v>
      </c>
      <c r="F1635" s="224" t="s">
        <v>249</v>
      </c>
      <c r="G1635" s="223" t="str">
        <f>VLOOKUP($B1635,'FRS geographical categories'!$A$2:$C$45,2,FALSE)</f>
        <v>Predominantly Rural</v>
      </c>
      <c r="H1635" s="223" t="str">
        <f>VLOOKUP($B1635,'FRS geographical categories'!$A$2:$C$45,3,FALSE)</f>
        <v>Non-metropolitan</v>
      </c>
      <c r="I1635" s="224">
        <v>411</v>
      </c>
    </row>
    <row r="1636" spans="1:9" ht="15.5" x14ac:dyDescent="0.35">
      <c r="A1636" s="224" t="s">
        <v>56</v>
      </c>
      <c r="B1636" s="224" t="s">
        <v>17</v>
      </c>
      <c r="C1636" s="224" t="s">
        <v>89</v>
      </c>
      <c r="D1636" s="224" t="s">
        <v>9</v>
      </c>
      <c r="E1636" s="224" t="s">
        <v>256</v>
      </c>
      <c r="F1636" s="224" t="s">
        <v>250</v>
      </c>
      <c r="G1636" s="223" t="str">
        <f>VLOOKUP($B1636,'FRS geographical categories'!$A$2:$C$45,2,FALSE)</f>
        <v>Predominantly Rural</v>
      </c>
      <c r="H1636" s="223" t="str">
        <f>VLOOKUP($B1636,'FRS geographical categories'!$A$2:$C$45,3,FALSE)</f>
        <v>Non-metropolitan</v>
      </c>
      <c r="I1636" s="224">
        <v>42</v>
      </c>
    </row>
    <row r="1637" spans="1:9" ht="15.5" x14ac:dyDescent="0.35">
      <c r="A1637" s="224" t="s">
        <v>56</v>
      </c>
      <c r="B1637" s="224" t="s">
        <v>17</v>
      </c>
      <c r="C1637" s="224" t="s">
        <v>89</v>
      </c>
      <c r="D1637" s="224" t="s">
        <v>9</v>
      </c>
      <c r="E1637" s="224" t="s">
        <v>256</v>
      </c>
      <c r="F1637" s="224" t="s">
        <v>10</v>
      </c>
      <c r="G1637" s="223" t="str">
        <f>VLOOKUP($B1637,'FRS geographical categories'!$A$2:$C$45,2,FALSE)</f>
        <v>Predominantly Rural</v>
      </c>
      <c r="H1637" s="223" t="str">
        <f>VLOOKUP($B1637,'FRS geographical categories'!$A$2:$C$45,3,FALSE)</f>
        <v>Non-metropolitan</v>
      </c>
      <c r="I1637" s="224">
        <v>462</v>
      </c>
    </row>
    <row r="1638" spans="1:9" ht="15.5" x14ac:dyDescent="0.35">
      <c r="A1638" s="224" t="s">
        <v>56</v>
      </c>
      <c r="B1638" s="224" t="s">
        <v>17</v>
      </c>
      <c r="C1638" s="224" t="s">
        <v>89</v>
      </c>
      <c r="D1638" s="224" t="s">
        <v>55</v>
      </c>
      <c r="E1638" s="224" t="s">
        <v>256</v>
      </c>
      <c r="F1638" s="224" t="s">
        <v>248</v>
      </c>
      <c r="G1638" s="223" t="str">
        <f>VLOOKUP($B1638,'FRS geographical categories'!$A$2:$C$45,2,FALSE)</f>
        <v>Predominantly Rural</v>
      </c>
      <c r="H1638" s="223" t="str">
        <f>VLOOKUP($B1638,'FRS geographical categories'!$A$2:$C$45,3,FALSE)</f>
        <v>Non-metropolitan</v>
      </c>
      <c r="I1638" s="224">
        <v>0</v>
      </c>
    </row>
    <row r="1639" spans="1:9" ht="15.5" x14ac:dyDescent="0.35">
      <c r="A1639" s="224" t="s">
        <v>56</v>
      </c>
      <c r="B1639" s="224" t="s">
        <v>17</v>
      </c>
      <c r="C1639" s="224" t="s">
        <v>89</v>
      </c>
      <c r="D1639" s="224" t="s">
        <v>55</v>
      </c>
      <c r="E1639" s="224" t="s">
        <v>256</v>
      </c>
      <c r="F1639" s="224" t="s">
        <v>249</v>
      </c>
      <c r="G1639" s="223" t="str">
        <f>VLOOKUP($B1639,'FRS geographical categories'!$A$2:$C$45,2,FALSE)</f>
        <v>Predominantly Rural</v>
      </c>
      <c r="H1639" s="223" t="str">
        <f>VLOOKUP($B1639,'FRS geographical categories'!$A$2:$C$45,3,FALSE)</f>
        <v>Non-metropolitan</v>
      </c>
      <c r="I1639" s="224">
        <v>0</v>
      </c>
    </row>
    <row r="1640" spans="1:9" ht="15.5" x14ac:dyDescent="0.35">
      <c r="A1640" s="224" t="s">
        <v>56</v>
      </c>
      <c r="B1640" s="224" t="s">
        <v>17</v>
      </c>
      <c r="C1640" s="224" t="s">
        <v>89</v>
      </c>
      <c r="D1640" s="224" t="s">
        <v>55</v>
      </c>
      <c r="E1640" s="224" t="s">
        <v>256</v>
      </c>
      <c r="F1640" s="224" t="s">
        <v>250</v>
      </c>
      <c r="G1640" s="223" t="str">
        <f>VLOOKUP($B1640,'FRS geographical categories'!$A$2:$C$45,2,FALSE)</f>
        <v>Predominantly Rural</v>
      </c>
      <c r="H1640" s="223" t="str">
        <f>VLOOKUP($B1640,'FRS geographical categories'!$A$2:$C$45,3,FALSE)</f>
        <v>Non-metropolitan</v>
      </c>
      <c r="I1640" s="224">
        <v>0</v>
      </c>
    </row>
    <row r="1641" spans="1:9" ht="15.5" x14ac:dyDescent="0.35">
      <c r="A1641" s="224" t="s">
        <v>56</v>
      </c>
      <c r="B1641" s="224" t="s">
        <v>17</v>
      </c>
      <c r="C1641" s="224" t="s">
        <v>89</v>
      </c>
      <c r="D1641" s="224" t="s">
        <v>55</v>
      </c>
      <c r="E1641" s="224" t="s">
        <v>256</v>
      </c>
      <c r="F1641" s="224" t="s">
        <v>10</v>
      </c>
      <c r="G1641" s="223" t="str">
        <f>VLOOKUP($B1641,'FRS geographical categories'!$A$2:$C$45,2,FALSE)</f>
        <v>Predominantly Rural</v>
      </c>
      <c r="H1641" s="223" t="str">
        <f>VLOOKUP($B1641,'FRS geographical categories'!$A$2:$C$45,3,FALSE)</f>
        <v>Non-metropolitan</v>
      </c>
      <c r="I1641" s="224">
        <v>0</v>
      </c>
    </row>
    <row r="1642" spans="1:9" ht="15.5" x14ac:dyDescent="0.35">
      <c r="A1642" s="224" t="s">
        <v>56</v>
      </c>
      <c r="B1642" s="224" t="s">
        <v>18</v>
      </c>
      <c r="C1642" s="224" t="s">
        <v>86</v>
      </c>
      <c r="D1642" s="224" t="s">
        <v>9</v>
      </c>
      <c r="E1642" s="224" t="s">
        <v>256</v>
      </c>
      <c r="F1642" s="224" t="s">
        <v>248</v>
      </c>
      <c r="G1642" s="223" t="str">
        <f>VLOOKUP($B1642,'FRS geographical categories'!$A$2:$C$45,2,FALSE)</f>
        <v>Predominantly Rural</v>
      </c>
      <c r="H1642" s="223" t="str">
        <f>VLOOKUP($B1642,'FRS geographical categories'!$A$2:$C$45,3,FALSE)</f>
        <v>Non-metropolitan</v>
      </c>
      <c r="I1642" s="224">
        <v>901</v>
      </c>
    </row>
    <row r="1643" spans="1:9" ht="15.5" x14ac:dyDescent="0.35">
      <c r="A1643" s="224" t="s">
        <v>56</v>
      </c>
      <c r="B1643" s="224" t="s">
        <v>18</v>
      </c>
      <c r="C1643" s="224" t="s">
        <v>86</v>
      </c>
      <c r="D1643" s="224" t="s">
        <v>9</v>
      </c>
      <c r="E1643" s="224" t="s">
        <v>256</v>
      </c>
      <c r="F1643" s="224" t="s">
        <v>249</v>
      </c>
      <c r="G1643" s="223" t="str">
        <f>VLOOKUP($B1643,'FRS geographical categories'!$A$2:$C$45,2,FALSE)</f>
        <v>Predominantly Rural</v>
      </c>
      <c r="H1643" s="223" t="str">
        <f>VLOOKUP($B1643,'FRS geographical categories'!$A$2:$C$45,3,FALSE)</f>
        <v>Non-metropolitan</v>
      </c>
      <c r="I1643" s="224">
        <v>3148</v>
      </c>
    </row>
    <row r="1644" spans="1:9" ht="15.5" x14ac:dyDescent="0.35">
      <c r="A1644" s="224" t="s">
        <v>56</v>
      </c>
      <c r="B1644" s="224" t="s">
        <v>18</v>
      </c>
      <c r="C1644" s="224" t="s">
        <v>86</v>
      </c>
      <c r="D1644" s="224" t="s">
        <v>9</v>
      </c>
      <c r="E1644" s="224" t="s">
        <v>256</v>
      </c>
      <c r="F1644" s="224" t="s">
        <v>250</v>
      </c>
      <c r="G1644" s="223" t="str">
        <f>VLOOKUP($B1644,'FRS geographical categories'!$A$2:$C$45,2,FALSE)</f>
        <v>Predominantly Rural</v>
      </c>
      <c r="H1644" s="223" t="str">
        <f>VLOOKUP($B1644,'FRS geographical categories'!$A$2:$C$45,3,FALSE)</f>
        <v>Non-metropolitan</v>
      </c>
      <c r="I1644" s="224">
        <v>2428</v>
      </c>
    </row>
    <row r="1645" spans="1:9" ht="15.5" x14ac:dyDescent="0.35">
      <c r="A1645" s="224" t="s">
        <v>56</v>
      </c>
      <c r="B1645" s="224" t="s">
        <v>18</v>
      </c>
      <c r="C1645" s="224" t="s">
        <v>86</v>
      </c>
      <c r="D1645" s="224" t="s">
        <v>9</v>
      </c>
      <c r="E1645" s="224" t="s">
        <v>256</v>
      </c>
      <c r="F1645" s="224" t="s">
        <v>111</v>
      </c>
      <c r="G1645" s="223" t="str">
        <f>VLOOKUP($B1645,'FRS geographical categories'!$A$2:$C$45,2,FALSE)</f>
        <v>Predominantly Rural</v>
      </c>
      <c r="H1645" s="223" t="str">
        <f>VLOOKUP($B1645,'FRS geographical categories'!$A$2:$C$45,3,FALSE)</f>
        <v>Non-metropolitan</v>
      </c>
      <c r="I1645" s="224">
        <v>7015</v>
      </c>
    </row>
    <row r="1646" spans="1:9" ht="15.5" x14ac:dyDescent="0.35">
      <c r="A1646" s="224" t="s">
        <v>56</v>
      </c>
      <c r="B1646" s="224" t="s">
        <v>18</v>
      </c>
      <c r="C1646" s="224" t="s">
        <v>86</v>
      </c>
      <c r="D1646" s="224" t="s">
        <v>9</v>
      </c>
      <c r="E1646" s="224" t="s">
        <v>256</v>
      </c>
      <c r="F1646" s="224" t="s">
        <v>10</v>
      </c>
      <c r="G1646" s="223" t="str">
        <f>VLOOKUP($B1646,'FRS geographical categories'!$A$2:$C$45,2,FALSE)</f>
        <v>Predominantly Rural</v>
      </c>
      <c r="H1646" s="223" t="str">
        <f>VLOOKUP($B1646,'FRS geographical categories'!$A$2:$C$45,3,FALSE)</f>
        <v>Non-metropolitan</v>
      </c>
      <c r="I1646" s="224">
        <v>8561</v>
      </c>
    </row>
    <row r="1647" spans="1:9" ht="15.5" x14ac:dyDescent="0.35">
      <c r="A1647" s="224" t="s">
        <v>56</v>
      </c>
      <c r="B1647" s="224" t="s">
        <v>18</v>
      </c>
      <c r="C1647" s="224" t="s">
        <v>86</v>
      </c>
      <c r="D1647" s="224" t="s">
        <v>55</v>
      </c>
      <c r="E1647" s="224" t="s">
        <v>256</v>
      </c>
      <c r="F1647" s="224" t="s">
        <v>248</v>
      </c>
      <c r="G1647" s="223" t="str">
        <f>VLOOKUP($B1647,'FRS geographical categories'!$A$2:$C$45,2,FALSE)</f>
        <v>Predominantly Rural</v>
      </c>
      <c r="H1647" s="223" t="str">
        <f>VLOOKUP($B1647,'FRS geographical categories'!$A$2:$C$45,3,FALSE)</f>
        <v>Non-metropolitan</v>
      </c>
      <c r="I1647" s="224">
        <v>51</v>
      </c>
    </row>
    <row r="1648" spans="1:9" ht="15.5" x14ac:dyDescent="0.35">
      <c r="A1648" s="224" t="s">
        <v>56</v>
      </c>
      <c r="B1648" s="224" t="s">
        <v>18</v>
      </c>
      <c r="C1648" s="224" t="s">
        <v>86</v>
      </c>
      <c r="D1648" s="224" t="s">
        <v>55</v>
      </c>
      <c r="E1648" s="224" t="s">
        <v>256</v>
      </c>
      <c r="F1648" s="224" t="s">
        <v>249</v>
      </c>
      <c r="G1648" s="223" t="str">
        <f>VLOOKUP($B1648,'FRS geographical categories'!$A$2:$C$45,2,FALSE)</f>
        <v>Predominantly Rural</v>
      </c>
      <c r="H1648" s="223" t="str">
        <f>VLOOKUP($B1648,'FRS geographical categories'!$A$2:$C$45,3,FALSE)</f>
        <v>Non-metropolitan</v>
      </c>
      <c r="I1648" s="224">
        <v>114</v>
      </c>
    </row>
    <row r="1649" spans="1:9" ht="15.5" x14ac:dyDescent="0.35">
      <c r="A1649" s="224" t="s">
        <v>56</v>
      </c>
      <c r="B1649" s="224" t="s">
        <v>18</v>
      </c>
      <c r="C1649" s="224" t="s">
        <v>86</v>
      </c>
      <c r="D1649" s="224" t="s">
        <v>55</v>
      </c>
      <c r="E1649" s="224" t="s">
        <v>256</v>
      </c>
      <c r="F1649" s="224" t="s">
        <v>250</v>
      </c>
      <c r="G1649" s="223" t="str">
        <f>VLOOKUP($B1649,'FRS geographical categories'!$A$2:$C$45,2,FALSE)</f>
        <v>Predominantly Rural</v>
      </c>
      <c r="H1649" s="223" t="str">
        <f>VLOOKUP($B1649,'FRS geographical categories'!$A$2:$C$45,3,FALSE)</f>
        <v>Non-metropolitan</v>
      </c>
      <c r="I1649" s="224">
        <v>86</v>
      </c>
    </row>
    <row r="1650" spans="1:9" ht="15.5" x14ac:dyDescent="0.35">
      <c r="A1650" s="224" t="s">
        <v>56</v>
      </c>
      <c r="B1650" s="224" t="s">
        <v>18</v>
      </c>
      <c r="C1650" s="224" t="s">
        <v>86</v>
      </c>
      <c r="D1650" s="224" t="s">
        <v>55</v>
      </c>
      <c r="E1650" s="224" t="s">
        <v>256</v>
      </c>
      <c r="F1650" s="224" t="s">
        <v>111</v>
      </c>
      <c r="G1650" s="223" t="str">
        <f>VLOOKUP($B1650,'FRS geographical categories'!$A$2:$C$45,2,FALSE)</f>
        <v>Predominantly Rural</v>
      </c>
      <c r="H1650" s="223" t="str">
        <f>VLOOKUP($B1650,'FRS geographical categories'!$A$2:$C$45,3,FALSE)</f>
        <v>Non-metropolitan</v>
      </c>
      <c r="I1650" s="224">
        <v>222</v>
      </c>
    </row>
    <row r="1651" spans="1:9" ht="15.5" x14ac:dyDescent="0.35">
      <c r="A1651" s="224" t="s">
        <v>56</v>
      </c>
      <c r="B1651" s="224" t="s">
        <v>18</v>
      </c>
      <c r="C1651" s="224" t="s">
        <v>86</v>
      </c>
      <c r="D1651" s="224" t="s">
        <v>55</v>
      </c>
      <c r="E1651" s="224" t="s">
        <v>256</v>
      </c>
      <c r="F1651" s="224" t="s">
        <v>10</v>
      </c>
      <c r="G1651" s="223" t="str">
        <f>VLOOKUP($B1651,'FRS geographical categories'!$A$2:$C$45,2,FALSE)</f>
        <v>Predominantly Rural</v>
      </c>
      <c r="H1651" s="223" t="str">
        <f>VLOOKUP($B1651,'FRS geographical categories'!$A$2:$C$45,3,FALSE)</f>
        <v>Non-metropolitan</v>
      </c>
      <c r="I1651" s="224">
        <v>497</v>
      </c>
    </row>
    <row r="1652" spans="1:9" ht="15.5" x14ac:dyDescent="0.35">
      <c r="A1652" s="224" t="s">
        <v>56</v>
      </c>
      <c r="B1652" s="224" t="s">
        <v>18</v>
      </c>
      <c r="C1652" s="224" t="s">
        <v>89</v>
      </c>
      <c r="D1652" s="224" t="s">
        <v>9</v>
      </c>
      <c r="E1652" s="224" t="s">
        <v>256</v>
      </c>
      <c r="F1652" s="224" t="s">
        <v>248</v>
      </c>
      <c r="G1652" s="223" t="str">
        <f>VLOOKUP($B1652,'FRS geographical categories'!$A$2:$C$45,2,FALSE)</f>
        <v>Predominantly Rural</v>
      </c>
      <c r="H1652" s="223" t="str">
        <f>VLOOKUP($B1652,'FRS geographical categories'!$A$2:$C$45,3,FALSE)</f>
        <v>Non-metropolitan</v>
      </c>
      <c r="I1652" s="224">
        <v>0</v>
      </c>
    </row>
    <row r="1653" spans="1:9" ht="15.5" x14ac:dyDescent="0.35">
      <c r="A1653" s="224" t="s">
        <v>56</v>
      </c>
      <c r="B1653" s="224" t="s">
        <v>18</v>
      </c>
      <c r="C1653" s="224" t="s">
        <v>89</v>
      </c>
      <c r="D1653" s="224" t="s">
        <v>9</v>
      </c>
      <c r="E1653" s="224" t="s">
        <v>256</v>
      </c>
      <c r="F1653" s="224" t="s">
        <v>249</v>
      </c>
      <c r="G1653" s="223" t="str">
        <f>VLOOKUP($B1653,'FRS geographical categories'!$A$2:$C$45,2,FALSE)</f>
        <v>Predominantly Rural</v>
      </c>
      <c r="H1653" s="223" t="str">
        <f>VLOOKUP($B1653,'FRS geographical categories'!$A$2:$C$45,3,FALSE)</f>
        <v>Non-metropolitan</v>
      </c>
      <c r="I1653" s="224">
        <v>0</v>
      </c>
    </row>
    <row r="1654" spans="1:9" ht="15.5" x14ac:dyDescent="0.35">
      <c r="A1654" s="224" t="s">
        <v>56</v>
      </c>
      <c r="B1654" s="224" t="s">
        <v>18</v>
      </c>
      <c r="C1654" s="224" t="s">
        <v>89</v>
      </c>
      <c r="D1654" s="224" t="s">
        <v>9</v>
      </c>
      <c r="E1654" s="224" t="s">
        <v>256</v>
      </c>
      <c r="F1654" s="224" t="s">
        <v>250</v>
      </c>
      <c r="G1654" s="223" t="str">
        <f>VLOOKUP($B1654,'FRS geographical categories'!$A$2:$C$45,2,FALSE)</f>
        <v>Predominantly Rural</v>
      </c>
      <c r="H1654" s="223" t="str">
        <f>VLOOKUP($B1654,'FRS geographical categories'!$A$2:$C$45,3,FALSE)</f>
        <v>Non-metropolitan</v>
      </c>
      <c r="I1654" s="224">
        <v>0</v>
      </c>
    </row>
    <row r="1655" spans="1:9" ht="15.5" x14ac:dyDescent="0.35">
      <c r="A1655" s="224" t="s">
        <v>56</v>
      </c>
      <c r="B1655" s="224" t="s">
        <v>18</v>
      </c>
      <c r="C1655" s="224" t="s">
        <v>89</v>
      </c>
      <c r="D1655" s="224" t="s">
        <v>9</v>
      </c>
      <c r="E1655" s="224" t="s">
        <v>256</v>
      </c>
      <c r="F1655" s="224" t="s">
        <v>10</v>
      </c>
      <c r="G1655" s="223" t="str">
        <f>VLOOKUP($B1655,'FRS geographical categories'!$A$2:$C$45,2,FALSE)</f>
        <v>Predominantly Rural</v>
      </c>
      <c r="H1655" s="223" t="str">
        <f>VLOOKUP($B1655,'FRS geographical categories'!$A$2:$C$45,3,FALSE)</f>
        <v>Non-metropolitan</v>
      </c>
      <c r="I1655" s="224">
        <v>0</v>
      </c>
    </row>
    <row r="1656" spans="1:9" ht="15.5" x14ac:dyDescent="0.35">
      <c r="A1656" s="224" t="s">
        <v>56</v>
      </c>
      <c r="B1656" s="224" t="s">
        <v>18</v>
      </c>
      <c r="C1656" s="224" t="s">
        <v>89</v>
      </c>
      <c r="D1656" s="224" t="s">
        <v>55</v>
      </c>
      <c r="E1656" s="224" t="s">
        <v>256</v>
      </c>
      <c r="F1656" s="224" t="s">
        <v>248</v>
      </c>
      <c r="G1656" s="223" t="str">
        <f>VLOOKUP($B1656,'FRS geographical categories'!$A$2:$C$45,2,FALSE)</f>
        <v>Predominantly Rural</v>
      </c>
      <c r="H1656" s="223" t="str">
        <f>VLOOKUP($B1656,'FRS geographical categories'!$A$2:$C$45,3,FALSE)</f>
        <v>Non-metropolitan</v>
      </c>
      <c r="I1656" s="224">
        <v>0</v>
      </c>
    </row>
    <row r="1657" spans="1:9" ht="15.5" x14ac:dyDescent="0.35">
      <c r="A1657" s="224" t="s">
        <v>56</v>
      </c>
      <c r="B1657" s="224" t="s">
        <v>18</v>
      </c>
      <c r="C1657" s="224" t="s">
        <v>89</v>
      </c>
      <c r="D1657" s="224" t="s">
        <v>55</v>
      </c>
      <c r="E1657" s="224" t="s">
        <v>256</v>
      </c>
      <c r="F1657" s="224" t="s">
        <v>249</v>
      </c>
      <c r="G1657" s="223" t="str">
        <f>VLOOKUP($B1657,'FRS geographical categories'!$A$2:$C$45,2,FALSE)</f>
        <v>Predominantly Rural</v>
      </c>
      <c r="H1657" s="223" t="str">
        <f>VLOOKUP($B1657,'FRS geographical categories'!$A$2:$C$45,3,FALSE)</f>
        <v>Non-metropolitan</v>
      </c>
      <c r="I1657" s="224">
        <v>0</v>
      </c>
    </row>
    <row r="1658" spans="1:9" ht="15.5" x14ac:dyDescent="0.35">
      <c r="A1658" s="224" t="s">
        <v>56</v>
      </c>
      <c r="B1658" s="224" t="s">
        <v>18</v>
      </c>
      <c r="C1658" s="224" t="s">
        <v>89</v>
      </c>
      <c r="D1658" s="224" t="s">
        <v>55</v>
      </c>
      <c r="E1658" s="224" t="s">
        <v>256</v>
      </c>
      <c r="F1658" s="224" t="s">
        <v>250</v>
      </c>
      <c r="G1658" s="223" t="str">
        <f>VLOOKUP($B1658,'FRS geographical categories'!$A$2:$C$45,2,FALSE)</f>
        <v>Predominantly Rural</v>
      </c>
      <c r="H1658" s="223" t="str">
        <f>VLOOKUP($B1658,'FRS geographical categories'!$A$2:$C$45,3,FALSE)</f>
        <v>Non-metropolitan</v>
      </c>
      <c r="I1658" s="224">
        <v>0</v>
      </c>
    </row>
    <row r="1659" spans="1:9" ht="15.5" x14ac:dyDescent="0.35">
      <c r="A1659" s="224" t="s">
        <v>56</v>
      </c>
      <c r="B1659" s="224" t="s">
        <v>18</v>
      </c>
      <c r="C1659" s="224" t="s">
        <v>89</v>
      </c>
      <c r="D1659" s="224" t="s">
        <v>55</v>
      </c>
      <c r="E1659" s="224" t="s">
        <v>256</v>
      </c>
      <c r="F1659" s="224" t="s">
        <v>10</v>
      </c>
      <c r="G1659" s="223" t="str">
        <f>VLOOKUP($B1659,'FRS geographical categories'!$A$2:$C$45,2,FALSE)</f>
        <v>Predominantly Rural</v>
      </c>
      <c r="H1659" s="223" t="str">
        <f>VLOOKUP($B1659,'FRS geographical categories'!$A$2:$C$45,3,FALSE)</f>
        <v>Non-metropolitan</v>
      </c>
      <c r="I1659" s="224">
        <v>0</v>
      </c>
    </row>
    <row r="1660" spans="1:9" ht="15.5" x14ac:dyDescent="0.35">
      <c r="A1660" s="224" t="s">
        <v>56</v>
      </c>
      <c r="B1660" s="224" t="s">
        <v>19</v>
      </c>
      <c r="C1660" s="224" t="s">
        <v>86</v>
      </c>
      <c r="D1660" s="224" t="s">
        <v>9</v>
      </c>
      <c r="E1660" s="224" t="s">
        <v>256</v>
      </c>
      <c r="F1660" s="224" t="s">
        <v>248</v>
      </c>
      <c r="G1660" s="223" t="str">
        <f>VLOOKUP($B1660,'FRS geographical categories'!$A$2:$C$45,2,FALSE)</f>
        <v>Significantly Rural</v>
      </c>
      <c r="H1660" s="223" t="str">
        <f>VLOOKUP($B1660,'FRS geographical categories'!$A$2:$C$45,3,FALSE)</f>
        <v>Non-metropolitan</v>
      </c>
      <c r="I1660" s="224">
        <v>1206</v>
      </c>
    </row>
    <row r="1661" spans="1:9" ht="15.5" x14ac:dyDescent="0.35">
      <c r="A1661" s="224" t="s">
        <v>56</v>
      </c>
      <c r="B1661" s="224" t="s">
        <v>19</v>
      </c>
      <c r="C1661" s="224" t="s">
        <v>86</v>
      </c>
      <c r="D1661" s="224" t="s">
        <v>9</v>
      </c>
      <c r="E1661" s="224" t="s">
        <v>256</v>
      </c>
      <c r="F1661" s="224" t="s">
        <v>249</v>
      </c>
      <c r="G1661" s="223" t="str">
        <f>VLOOKUP($B1661,'FRS geographical categories'!$A$2:$C$45,2,FALSE)</f>
        <v>Significantly Rural</v>
      </c>
      <c r="H1661" s="223" t="str">
        <f>VLOOKUP($B1661,'FRS geographical categories'!$A$2:$C$45,3,FALSE)</f>
        <v>Non-metropolitan</v>
      </c>
      <c r="I1661" s="224">
        <v>2496</v>
      </c>
    </row>
    <row r="1662" spans="1:9" ht="15.5" x14ac:dyDescent="0.35">
      <c r="A1662" s="224" t="s">
        <v>56</v>
      </c>
      <c r="B1662" s="224" t="s">
        <v>19</v>
      </c>
      <c r="C1662" s="224" t="s">
        <v>86</v>
      </c>
      <c r="D1662" s="224" t="s">
        <v>9</v>
      </c>
      <c r="E1662" s="224" t="s">
        <v>256</v>
      </c>
      <c r="F1662" s="224" t="s">
        <v>250</v>
      </c>
      <c r="G1662" s="223" t="str">
        <f>VLOOKUP($B1662,'FRS geographical categories'!$A$2:$C$45,2,FALSE)</f>
        <v>Significantly Rural</v>
      </c>
      <c r="H1662" s="223" t="str">
        <f>VLOOKUP($B1662,'FRS geographical categories'!$A$2:$C$45,3,FALSE)</f>
        <v>Non-metropolitan</v>
      </c>
      <c r="I1662" s="224">
        <v>3315</v>
      </c>
    </row>
    <row r="1663" spans="1:9" ht="15.5" x14ac:dyDescent="0.35">
      <c r="A1663" s="224" t="s">
        <v>56</v>
      </c>
      <c r="B1663" s="224" t="s">
        <v>19</v>
      </c>
      <c r="C1663" s="224" t="s">
        <v>86</v>
      </c>
      <c r="D1663" s="224" t="s">
        <v>9</v>
      </c>
      <c r="E1663" s="224" t="s">
        <v>256</v>
      </c>
      <c r="F1663" s="224" t="s">
        <v>111</v>
      </c>
      <c r="G1663" s="223" t="str">
        <f>VLOOKUP($B1663,'FRS geographical categories'!$A$2:$C$45,2,FALSE)</f>
        <v>Significantly Rural</v>
      </c>
      <c r="H1663" s="223" t="str">
        <f>VLOOKUP($B1663,'FRS geographical categories'!$A$2:$C$45,3,FALSE)</f>
        <v>Non-metropolitan</v>
      </c>
      <c r="I1663" s="224">
        <v>11514</v>
      </c>
    </row>
    <row r="1664" spans="1:9" ht="15.5" x14ac:dyDescent="0.35">
      <c r="A1664" s="224" t="s">
        <v>56</v>
      </c>
      <c r="B1664" s="224" t="s">
        <v>19</v>
      </c>
      <c r="C1664" s="224" t="s">
        <v>86</v>
      </c>
      <c r="D1664" s="224" t="s">
        <v>9</v>
      </c>
      <c r="E1664" s="224" t="s">
        <v>256</v>
      </c>
      <c r="F1664" s="224" t="s">
        <v>10</v>
      </c>
      <c r="G1664" s="223" t="str">
        <f>VLOOKUP($B1664,'FRS geographical categories'!$A$2:$C$45,2,FALSE)</f>
        <v>Significantly Rural</v>
      </c>
      <c r="H1664" s="223" t="str">
        <f>VLOOKUP($B1664,'FRS geographical categories'!$A$2:$C$45,3,FALSE)</f>
        <v>Non-metropolitan</v>
      </c>
      <c r="I1664" s="224">
        <v>11865</v>
      </c>
    </row>
    <row r="1665" spans="1:9" ht="15.5" x14ac:dyDescent="0.35">
      <c r="A1665" s="224" t="s">
        <v>56</v>
      </c>
      <c r="B1665" s="224" t="s">
        <v>19</v>
      </c>
      <c r="C1665" s="224" t="s">
        <v>86</v>
      </c>
      <c r="D1665" s="224" t="s">
        <v>55</v>
      </c>
      <c r="E1665" s="224" t="s">
        <v>256</v>
      </c>
      <c r="F1665" s="224" t="s">
        <v>248</v>
      </c>
      <c r="G1665" s="223" t="str">
        <f>VLOOKUP($B1665,'FRS geographical categories'!$A$2:$C$45,2,FALSE)</f>
        <v>Significantly Rural</v>
      </c>
      <c r="H1665" s="223" t="str">
        <f>VLOOKUP($B1665,'FRS geographical categories'!$A$2:$C$45,3,FALSE)</f>
        <v>Non-metropolitan</v>
      </c>
      <c r="I1665" s="224">
        <v>0</v>
      </c>
    </row>
    <row r="1666" spans="1:9" ht="15.5" x14ac:dyDescent="0.35">
      <c r="A1666" s="224" t="s">
        <v>56</v>
      </c>
      <c r="B1666" s="224" t="s">
        <v>19</v>
      </c>
      <c r="C1666" s="224" t="s">
        <v>86</v>
      </c>
      <c r="D1666" s="224" t="s">
        <v>55</v>
      </c>
      <c r="E1666" s="224" t="s">
        <v>256</v>
      </c>
      <c r="F1666" s="224" t="s">
        <v>249</v>
      </c>
      <c r="G1666" s="223" t="str">
        <f>VLOOKUP($B1666,'FRS geographical categories'!$A$2:$C$45,2,FALSE)</f>
        <v>Significantly Rural</v>
      </c>
      <c r="H1666" s="223" t="str">
        <f>VLOOKUP($B1666,'FRS geographical categories'!$A$2:$C$45,3,FALSE)</f>
        <v>Non-metropolitan</v>
      </c>
      <c r="I1666" s="224">
        <v>0</v>
      </c>
    </row>
    <row r="1667" spans="1:9" ht="15.5" x14ac:dyDescent="0.35">
      <c r="A1667" s="224" t="s">
        <v>56</v>
      </c>
      <c r="B1667" s="224" t="s">
        <v>19</v>
      </c>
      <c r="C1667" s="224" t="s">
        <v>86</v>
      </c>
      <c r="D1667" s="224" t="s">
        <v>55</v>
      </c>
      <c r="E1667" s="224" t="s">
        <v>256</v>
      </c>
      <c r="F1667" s="224" t="s">
        <v>250</v>
      </c>
      <c r="G1667" s="223" t="str">
        <f>VLOOKUP($B1667,'FRS geographical categories'!$A$2:$C$45,2,FALSE)</f>
        <v>Significantly Rural</v>
      </c>
      <c r="H1667" s="223" t="str">
        <f>VLOOKUP($B1667,'FRS geographical categories'!$A$2:$C$45,3,FALSE)</f>
        <v>Non-metropolitan</v>
      </c>
      <c r="I1667" s="224">
        <v>0</v>
      </c>
    </row>
    <row r="1668" spans="1:9" ht="15.5" x14ac:dyDescent="0.35">
      <c r="A1668" s="224" t="s">
        <v>56</v>
      </c>
      <c r="B1668" s="224" t="s">
        <v>19</v>
      </c>
      <c r="C1668" s="224" t="s">
        <v>86</v>
      </c>
      <c r="D1668" s="224" t="s">
        <v>55</v>
      </c>
      <c r="E1668" s="224" t="s">
        <v>256</v>
      </c>
      <c r="F1668" s="224" t="s">
        <v>111</v>
      </c>
      <c r="G1668" s="223" t="str">
        <f>VLOOKUP($B1668,'FRS geographical categories'!$A$2:$C$45,2,FALSE)</f>
        <v>Significantly Rural</v>
      </c>
      <c r="H1668" s="223" t="str">
        <f>VLOOKUP($B1668,'FRS geographical categories'!$A$2:$C$45,3,FALSE)</f>
        <v>Non-metropolitan</v>
      </c>
      <c r="I1668" s="224">
        <v>0</v>
      </c>
    </row>
    <row r="1669" spans="1:9" ht="15.5" x14ac:dyDescent="0.35">
      <c r="A1669" s="224" t="s">
        <v>56</v>
      </c>
      <c r="B1669" s="224" t="s">
        <v>19</v>
      </c>
      <c r="C1669" s="224" t="s">
        <v>86</v>
      </c>
      <c r="D1669" s="224" t="s">
        <v>55</v>
      </c>
      <c r="E1669" s="224" t="s">
        <v>256</v>
      </c>
      <c r="F1669" s="224" t="s">
        <v>10</v>
      </c>
      <c r="G1669" s="223" t="str">
        <f>VLOOKUP($B1669,'FRS geographical categories'!$A$2:$C$45,2,FALSE)</f>
        <v>Significantly Rural</v>
      </c>
      <c r="H1669" s="223" t="str">
        <f>VLOOKUP($B1669,'FRS geographical categories'!$A$2:$C$45,3,FALSE)</f>
        <v>Non-metropolitan</v>
      </c>
      <c r="I1669" s="224">
        <v>3</v>
      </c>
    </row>
    <row r="1670" spans="1:9" ht="15.5" x14ac:dyDescent="0.35">
      <c r="A1670" s="224" t="s">
        <v>56</v>
      </c>
      <c r="B1670" s="224" t="s">
        <v>19</v>
      </c>
      <c r="C1670" s="224" t="s">
        <v>89</v>
      </c>
      <c r="D1670" s="224" t="s">
        <v>9</v>
      </c>
      <c r="E1670" s="224" t="s">
        <v>256</v>
      </c>
      <c r="F1670" s="224" t="s">
        <v>248</v>
      </c>
      <c r="G1670" s="223" t="str">
        <f>VLOOKUP($B1670,'FRS geographical categories'!$A$2:$C$45,2,FALSE)</f>
        <v>Significantly Rural</v>
      </c>
      <c r="H1670" s="223" t="str">
        <f>VLOOKUP($B1670,'FRS geographical categories'!$A$2:$C$45,3,FALSE)</f>
        <v>Non-metropolitan</v>
      </c>
      <c r="I1670" s="224">
        <v>292</v>
      </c>
    </row>
    <row r="1671" spans="1:9" ht="15.5" x14ac:dyDescent="0.35">
      <c r="A1671" s="224" t="s">
        <v>56</v>
      </c>
      <c r="B1671" s="224" t="s">
        <v>19</v>
      </c>
      <c r="C1671" s="224" t="s">
        <v>89</v>
      </c>
      <c r="D1671" s="224" t="s">
        <v>9</v>
      </c>
      <c r="E1671" s="224" t="s">
        <v>256</v>
      </c>
      <c r="F1671" s="224" t="s">
        <v>249</v>
      </c>
      <c r="G1671" s="223" t="str">
        <f>VLOOKUP($B1671,'FRS geographical categories'!$A$2:$C$45,2,FALSE)</f>
        <v>Significantly Rural</v>
      </c>
      <c r="H1671" s="223" t="str">
        <f>VLOOKUP($B1671,'FRS geographical categories'!$A$2:$C$45,3,FALSE)</f>
        <v>Non-metropolitan</v>
      </c>
      <c r="I1671" s="224">
        <v>695</v>
      </c>
    </row>
    <row r="1672" spans="1:9" ht="15.5" x14ac:dyDescent="0.35">
      <c r="A1672" s="224" t="s">
        <v>56</v>
      </c>
      <c r="B1672" s="224" t="s">
        <v>19</v>
      </c>
      <c r="C1672" s="224" t="s">
        <v>89</v>
      </c>
      <c r="D1672" s="224" t="s">
        <v>9</v>
      </c>
      <c r="E1672" s="224" t="s">
        <v>256</v>
      </c>
      <c r="F1672" s="224" t="s">
        <v>250</v>
      </c>
      <c r="G1672" s="223" t="str">
        <f>VLOOKUP($B1672,'FRS geographical categories'!$A$2:$C$45,2,FALSE)</f>
        <v>Significantly Rural</v>
      </c>
      <c r="H1672" s="223" t="str">
        <f>VLOOKUP($B1672,'FRS geographical categories'!$A$2:$C$45,3,FALSE)</f>
        <v>Non-metropolitan</v>
      </c>
      <c r="I1672" s="224">
        <v>652</v>
      </c>
    </row>
    <row r="1673" spans="1:9" ht="15.5" x14ac:dyDescent="0.35">
      <c r="A1673" s="224" t="s">
        <v>56</v>
      </c>
      <c r="B1673" s="224" t="s">
        <v>19</v>
      </c>
      <c r="C1673" s="224" t="s">
        <v>89</v>
      </c>
      <c r="D1673" s="224" t="s">
        <v>9</v>
      </c>
      <c r="E1673" s="224" t="s">
        <v>256</v>
      </c>
      <c r="F1673" s="224" t="s">
        <v>10</v>
      </c>
      <c r="G1673" s="223" t="str">
        <f>VLOOKUP($B1673,'FRS geographical categories'!$A$2:$C$45,2,FALSE)</f>
        <v>Significantly Rural</v>
      </c>
      <c r="H1673" s="223" t="str">
        <f>VLOOKUP($B1673,'FRS geographical categories'!$A$2:$C$45,3,FALSE)</f>
        <v>Non-metropolitan</v>
      </c>
      <c r="I1673" s="224">
        <v>2301</v>
      </c>
    </row>
    <row r="1674" spans="1:9" ht="15.5" x14ac:dyDescent="0.35">
      <c r="A1674" s="224" t="s">
        <v>56</v>
      </c>
      <c r="B1674" s="224" t="s">
        <v>19</v>
      </c>
      <c r="C1674" s="224" t="s">
        <v>89</v>
      </c>
      <c r="D1674" s="224" t="s">
        <v>55</v>
      </c>
      <c r="E1674" s="224" t="s">
        <v>256</v>
      </c>
      <c r="F1674" s="224" t="s">
        <v>248</v>
      </c>
      <c r="G1674" s="223" t="str">
        <f>VLOOKUP($B1674,'FRS geographical categories'!$A$2:$C$45,2,FALSE)</f>
        <v>Significantly Rural</v>
      </c>
      <c r="H1674" s="223" t="str">
        <f>VLOOKUP($B1674,'FRS geographical categories'!$A$2:$C$45,3,FALSE)</f>
        <v>Non-metropolitan</v>
      </c>
      <c r="I1674" s="224">
        <v>0</v>
      </c>
    </row>
    <row r="1675" spans="1:9" ht="15.5" x14ac:dyDescent="0.35">
      <c r="A1675" s="224" t="s">
        <v>56</v>
      </c>
      <c r="B1675" s="224" t="s">
        <v>19</v>
      </c>
      <c r="C1675" s="224" t="s">
        <v>89</v>
      </c>
      <c r="D1675" s="224" t="s">
        <v>55</v>
      </c>
      <c r="E1675" s="224" t="s">
        <v>256</v>
      </c>
      <c r="F1675" s="224" t="s">
        <v>249</v>
      </c>
      <c r="G1675" s="223" t="str">
        <f>VLOOKUP($B1675,'FRS geographical categories'!$A$2:$C$45,2,FALSE)</f>
        <v>Significantly Rural</v>
      </c>
      <c r="H1675" s="223" t="str">
        <f>VLOOKUP($B1675,'FRS geographical categories'!$A$2:$C$45,3,FALSE)</f>
        <v>Non-metropolitan</v>
      </c>
      <c r="I1675" s="224">
        <v>0</v>
      </c>
    </row>
    <row r="1676" spans="1:9" ht="15.5" x14ac:dyDescent="0.35">
      <c r="A1676" s="224" t="s">
        <v>56</v>
      </c>
      <c r="B1676" s="224" t="s">
        <v>19</v>
      </c>
      <c r="C1676" s="224" t="s">
        <v>89</v>
      </c>
      <c r="D1676" s="224" t="s">
        <v>55</v>
      </c>
      <c r="E1676" s="224" t="s">
        <v>256</v>
      </c>
      <c r="F1676" s="224" t="s">
        <v>250</v>
      </c>
      <c r="G1676" s="223" t="str">
        <f>VLOOKUP($B1676,'FRS geographical categories'!$A$2:$C$45,2,FALSE)</f>
        <v>Significantly Rural</v>
      </c>
      <c r="H1676" s="223" t="str">
        <f>VLOOKUP($B1676,'FRS geographical categories'!$A$2:$C$45,3,FALSE)</f>
        <v>Non-metropolitan</v>
      </c>
      <c r="I1676" s="224">
        <v>0</v>
      </c>
    </row>
    <row r="1677" spans="1:9" ht="15.5" x14ac:dyDescent="0.35">
      <c r="A1677" s="224" t="s">
        <v>56</v>
      </c>
      <c r="B1677" s="224" t="s">
        <v>19</v>
      </c>
      <c r="C1677" s="224" t="s">
        <v>89</v>
      </c>
      <c r="D1677" s="224" t="s">
        <v>55</v>
      </c>
      <c r="E1677" s="224" t="s">
        <v>256</v>
      </c>
      <c r="F1677" s="224" t="s">
        <v>10</v>
      </c>
      <c r="G1677" s="223" t="str">
        <f>VLOOKUP($B1677,'FRS geographical categories'!$A$2:$C$45,2,FALSE)</f>
        <v>Significantly Rural</v>
      </c>
      <c r="H1677" s="223" t="str">
        <f>VLOOKUP($B1677,'FRS geographical categories'!$A$2:$C$45,3,FALSE)</f>
        <v>Non-metropolitan</v>
      </c>
      <c r="I1677" s="224">
        <v>0</v>
      </c>
    </row>
    <row r="1678" spans="1:9" ht="15.5" x14ac:dyDescent="0.35">
      <c r="A1678" s="224" t="s">
        <v>56</v>
      </c>
      <c r="B1678" s="224" t="s">
        <v>20</v>
      </c>
      <c r="C1678" s="224" t="s">
        <v>86</v>
      </c>
      <c r="D1678" s="224" t="s">
        <v>9</v>
      </c>
      <c r="E1678" s="224" t="s">
        <v>256</v>
      </c>
      <c r="F1678" s="224" t="s">
        <v>248</v>
      </c>
      <c r="G1678" s="223" t="str">
        <f>VLOOKUP($B1678,'FRS geographical categories'!$A$2:$C$45,2,FALSE)</f>
        <v>Predominantly Rural</v>
      </c>
      <c r="H1678" s="223" t="str">
        <f>VLOOKUP($B1678,'FRS geographical categories'!$A$2:$C$45,3,FALSE)</f>
        <v>Non-metropolitan</v>
      </c>
      <c r="I1678" s="224">
        <v>1185</v>
      </c>
    </row>
    <row r="1679" spans="1:9" ht="15.5" x14ac:dyDescent="0.35">
      <c r="A1679" s="224" t="s">
        <v>56</v>
      </c>
      <c r="B1679" s="224" t="s">
        <v>20</v>
      </c>
      <c r="C1679" s="224" t="s">
        <v>86</v>
      </c>
      <c r="D1679" s="224" t="s">
        <v>9</v>
      </c>
      <c r="E1679" s="224" t="s">
        <v>256</v>
      </c>
      <c r="F1679" s="224" t="s">
        <v>249</v>
      </c>
      <c r="G1679" s="223" t="str">
        <f>VLOOKUP($B1679,'FRS geographical categories'!$A$2:$C$45,2,FALSE)</f>
        <v>Predominantly Rural</v>
      </c>
      <c r="H1679" s="223" t="str">
        <f>VLOOKUP($B1679,'FRS geographical categories'!$A$2:$C$45,3,FALSE)</f>
        <v>Non-metropolitan</v>
      </c>
      <c r="I1679" s="224">
        <v>5598</v>
      </c>
    </row>
    <row r="1680" spans="1:9" ht="15.5" x14ac:dyDescent="0.35">
      <c r="A1680" s="224" t="s">
        <v>56</v>
      </c>
      <c r="B1680" s="224" t="s">
        <v>20</v>
      </c>
      <c r="C1680" s="224" t="s">
        <v>86</v>
      </c>
      <c r="D1680" s="224" t="s">
        <v>9</v>
      </c>
      <c r="E1680" s="224" t="s">
        <v>256</v>
      </c>
      <c r="F1680" s="224" t="s">
        <v>250</v>
      </c>
      <c r="G1680" s="223" t="str">
        <f>VLOOKUP($B1680,'FRS geographical categories'!$A$2:$C$45,2,FALSE)</f>
        <v>Predominantly Rural</v>
      </c>
      <c r="H1680" s="223" t="str">
        <f>VLOOKUP($B1680,'FRS geographical categories'!$A$2:$C$45,3,FALSE)</f>
        <v>Non-metropolitan</v>
      </c>
      <c r="I1680" s="224">
        <v>3335</v>
      </c>
    </row>
    <row r="1681" spans="1:9" ht="15.5" x14ac:dyDescent="0.35">
      <c r="A1681" s="224" t="s">
        <v>56</v>
      </c>
      <c r="B1681" s="224" t="s">
        <v>20</v>
      </c>
      <c r="C1681" s="224" t="s">
        <v>86</v>
      </c>
      <c r="D1681" s="224" t="s">
        <v>9</v>
      </c>
      <c r="E1681" s="224" t="s">
        <v>256</v>
      </c>
      <c r="F1681" s="224" t="s">
        <v>111</v>
      </c>
      <c r="G1681" s="223" t="str">
        <f>VLOOKUP($B1681,'FRS geographical categories'!$A$2:$C$45,2,FALSE)</f>
        <v>Predominantly Rural</v>
      </c>
      <c r="H1681" s="223" t="str">
        <f>VLOOKUP($B1681,'FRS geographical categories'!$A$2:$C$45,3,FALSE)</f>
        <v>Non-metropolitan</v>
      </c>
      <c r="I1681" s="224">
        <v>12000</v>
      </c>
    </row>
    <row r="1682" spans="1:9" ht="15.5" x14ac:dyDescent="0.35">
      <c r="A1682" s="224" t="s">
        <v>56</v>
      </c>
      <c r="B1682" s="224" t="s">
        <v>20</v>
      </c>
      <c r="C1682" s="224" t="s">
        <v>86</v>
      </c>
      <c r="D1682" s="224" t="s">
        <v>9</v>
      </c>
      <c r="E1682" s="224" t="s">
        <v>256</v>
      </c>
      <c r="F1682" s="224" t="s">
        <v>10</v>
      </c>
      <c r="G1682" s="223" t="str">
        <f>VLOOKUP($B1682,'FRS geographical categories'!$A$2:$C$45,2,FALSE)</f>
        <v>Predominantly Rural</v>
      </c>
      <c r="H1682" s="223" t="str">
        <f>VLOOKUP($B1682,'FRS geographical categories'!$A$2:$C$45,3,FALSE)</f>
        <v>Non-metropolitan</v>
      </c>
      <c r="I1682" s="224">
        <v>14008</v>
      </c>
    </row>
    <row r="1683" spans="1:9" ht="15.5" x14ac:dyDescent="0.35">
      <c r="A1683" s="224" t="s">
        <v>56</v>
      </c>
      <c r="B1683" s="224" t="s">
        <v>20</v>
      </c>
      <c r="C1683" s="224" t="s">
        <v>86</v>
      </c>
      <c r="D1683" s="224" t="s">
        <v>55</v>
      </c>
      <c r="E1683" s="224" t="s">
        <v>256</v>
      </c>
      <c r="F1683" s="224" t="s">
        <v>248</v>
      </c>
      <c r="G1683" s="223" t="str">
        <f>VLOOKUP($B1683,'FRS geographical categories'!$A$2:$C$45,2,FALSE)</f>
        <v>Predominantly Rural</v>
      </c>
      <c r="H1683" s="223" t="str">
        <f>VLOOKUP($B1683,'FRS geographical categories'!$A$2:$C$45,3,FALSE)</f>
        <v>Non-metropolitan</v>
      </c>
      <c r="I1683" s="224">
        <v>57</v>
      </c>
    </row>
    <row r="1684" spans="1:9" ht="15.5" x14ac:dyDescent="0.35">
      <c r="A1684" s="224" t="s">
        <v>56</v>
      </c>
      <c r="B1684" s="224" t="s">
        <v>20</v>
      </c>
      <c r="C1684" s="224" t="s">
        <v>86</v>
      </c>
      <c r="D1684" s="224" t="s">
        <v>55</v>
      </c>
      <c r="E1684" s="224" t="s">
        <v>256</v>
      </c>
      <c r="F1684" s="224" t="s">
        <v>249</v>
      </c>
      <c r="G1684" s="223" t="str">
        <f>VLOOKUP($B1684,'FRS geographical categories'!$A$2:$C$45,2,FALSE)</f>
        <v>Predominantly Rural</v>
      </c>
      <c r="H1684" s="223" t="str">
        <f>VLOOKUP($B1684,'FRS geographical categories'!$A$2:$C$45,3,FALSE)</f>
        <v>Non-metropolitan</v>
      </c>
      <c r="I1684" s="224">
        <v>318</v>
      </c>
    </row>
    <row r="1685" spans="1:9" ht="15.5" x14ac:dyDescent="0.35">
      <c r="A1685" s="224" t="s">
        <v>56</v>
      </c>
      <c r="B1685" s="224" t="s">
        <v>20</v>
      </c>
      <c r="C1685" s="224" t="s">
        <v>86</v>
      </c>
      <c r="D1685" s="224" t="s">
        <v>55</v>
      </c>
      <c r="E1685" s="224" t="s">
        <v>256</v>
      </c>
      <c r="F1685" s="224" t="s">
        <v>250</v>
      </c>
      <c r="G1685" s="223" t="str">
        <f>VLOOKUP($B1685,'FRS geographical categories'!$A$2:$C$45,2,FALSE)</f>
        <v>Predominantly Rural</v>
      </c>
      <c r="H1685" s="223" t="str">
        <f>VLOOKUP($B1685,'FRS geographical categories'!$A$2:$C$45,3,FALSE)</f>
        <v>Non-metropolitan</v>
      </c>
      <c r="I1685" s="224">
        <v>255</v>
      </c>
    </row>
    <row r="1686" spans="1:9" ht="15.5" x14ac:dyDescent="0.35">
      <c r="A1686" s="224" t="s">
        <v>56</v>
      </c>
      <c r="B1686" s="224" t="s">
        <v>20</v>
      </c>
      <c r="C1686" s="224" t="s">
        <v>86</v>
      </c>
      <c r="D1686" s="224" t="s">
        <v>55</v>
      </c>
      <c r="E1686" s="224" t="s">
        <v>256</v>
      </c>
      <c r="F1686" s="224" t="s">
        <v>111</v>
      </c>
      <c r="G1686" s="223" t="str">
        <f>VLOOKUP($B1686,'FRS geographical categories'!$A$2:$C$45,2,FALSE)</f>
        <v>Predominantly Rural</v>
      </c>
      <c r="H1686" s="223" t="str">
        <f>VLOOKUP($B1686,'FRS geographical categories'!$A$2:$C$45,3,FALSE)</f>
        <v>Non-metropolitan</v>
      </c>
      <c r="I1686" s="224">
        <v>713</v>
      </c>
    </row>
    <row r="1687" spans="1:9" ht="15.5" x14ac:dyDescent="0.35">
      <c r="A1687" s="224" t="s">
        <v>56</v>
      </c>
      <c r="B1687" s="224" t="s">
        <v>20</v>
      </c>
      <c r="C1687" s="224" t="s">
        <v>86</v>
      </c>
      <c r="D1687" s="224" t="s">
        <v>55</v>
      </c>
      <c r="E1687" s="224" t="s">
        <v>256</v>
      </c>
      <c r="F1687" s="224" t="s">
        <v>10</v>
      </c>
      <c r="G1687" s="223" t="str">
        <f>VLOOKUP($B1687,'FRS geographical categories'!$A$2:$C$45,2,FALSE)</f>
        <v>Predominantly Rural</v>
      </c>
      <c r="H1687" s="223" t="str">
        <f>VLOOKUP($B1687,'FRS geographical categories'!$A$2:$C$45,3,FALSE)</f>
        <v>Non-metropolitan</v>
      </c>
      <c r="I1687" s="224">
        <v>776</v>
      </c>
    </row>
    <row r="1688" spans="1:9" ht="15.5" x14ac:dyDescent="0.35">
      <c r="A1688" s="224" t="s">
        <v>56</v>
      </c>
      <c r="B1688" s="224" t="s">
        <v>20</v>
      </c>
      <c r="C1688" s="224" t="s">
        <v>89</v>
      </c>
      <c r="D1688" s="224" t="s">
        <v>9</v>
      </c>
      <c r="E1688" s="224" t="s">
        <v>256</v>
      </c>
      <c r="F1688" s="224" t="s">
        <v>248</v>
      </c>
      <c r="G1688" s="223" t="str">
        <f>VLOOKUP($B1688,'FRS geographical categories'!$A$2:$C$45,2,FALSE)</f>
        <v>Predominantly Rural</v>
      </c>
      <c r="H1688" s="223" t="str">
        <f>VLOOKUP($B1688,'FRS geographical categories'!$A$2:$C$45,3,FALSE)</f>
        <v>Non-metropolitan</v>
      </c>
      <c r="I1688" s="224">
        <v>0</v>
      </c>
    </row>
    <row r="1689" spans="1:9" ht="15.5" x14ac:dyDescent="0.35">
      <c r="A1689" s="224" t="s">
        <v>56</v>
      </c>
      <c r="B1689" s="224" t="s">
        <v>20</v>
      </c>
      <c r="C1689" s="224" t="s">
        <v>89</v>
      </c>
      <c r="D1689" s="224" t="s">
        <v>9</v>
      </c>
      <c r="E1689" s="224" t="s">
        <v>256</v>
      </c>
      <c r="F1689" s="224" t="s">
        <v>249</v>
      </c>
      <c r="G1689" s="223" t="str">
        <f>VLOOKUP($B1689,'FRS geographical categories'!$A$2:$C$45,2,FALSE)</f>
        <v>Predominantly Rural</v>
      </c>
      <c r="H1689" s="223" t="str">
        <f>VLOOKUP($B1689,'FRS geographical categories'!$A$2:$C$45,3,FALSE)</f>
        <v>Non-metropolitan</v>
      </c>
      <c r="I1689" s="224">
        <v>0</v>
      </c>
    </row>
    <row r="1690" spans="1:9" ht="15.5" x14ac:dyDescent="0.35">
      <c r="A1690" s="224" t="s">
        <v>56</v>
      </c>
      <c r="B1690" s="224" t="s">
        <v>20</v>
      </c>
      <c r="C1690" s="224" t="s">
        <v>89</v>
      </c>
      <c r="D1690" s="224" t="s">
        <v>9</v>
      </c>
      <c r="E1690" s="224" t="s">
        <v>256</v>
      </c>
      <c r="F1690" s="224" t="s">
        <v>250</v>
      </c>
      <c r="G1690" s="223" t="str">
        <f>VLOOKUP($B1690,'FRS geographical categories'!$A$2:$C$45,2,FALSE)</f>
        <v>Predominantly Rural</v>
      </c>
      <c r="H1690" s="223" t="str">
        <f>VLOOKUP($B1690,'FRS geographical categories'!$A$2:$C$45,3,FALSE)</f>
        <v>Non-metropolitan</v>
      </c>
      <c r="I1690" s="224">
        <v>0</v>
      </c>
    </row>
    <row r="1691" spans="1:9" ht="15.5" x14ac:dyDescent="0.35">
      <c r="A1691" s="224" t="s">
        <v>56</v>
      </c>
      <c r="B1691" s="224" t="s">
        <v>20</v>
      </c>
      <c r="C1691" s="224" t="s">
        <v>89</v>
      </c>
      <c r="D1691" s="224" t="s">
        <v>9</v>
      </c>
      <c r="E1691" s="224" t="s">
        <v>256</v>
      </c>
      <c r="F1691" s="224" t="s">
        <v>10</v>
      </c>
      <c r="G1691" s="223" t="str">
        <f>VLOOKUP($B1691,'FRS geographical categories'!$A$2:$C$45,2,FALSE)</f>
        <v>Predominantly Rural</v>
      </c>
      <c r="H1691" s="223" t="str">
        <f>VLOOKUP($B1691,'FRS geographical categories'!$A$2:$C$45,3,FALSE)</f>
        <v>Non-metropolitan</v>
      </c>
      <c r="I1691" s="224">
        <v>0</v>
      </c>
    </row>
    <row r="1692" spans="1:9" ht="15.5" x14ac:dyDescent="0.35">
      <c r="A1692" s="224" t="s">
        <v>56</v>
      </c>
      <c r="B1692" s="224" t="s">
        <v>20</v>
      </c>
      <c r="C1692" s="224" t="s">
        <v>89</v>
      </c>
      <c r="D1692" s="224" t="s">
        <v>55</v>
      </c>
      <c r="E1692" s="224" t="s">
        <v>256</v>
      </c>
      <c r="F1692" s="224" t="s">
        <v>248</v>
      </c>
      <c r="G1692" s="223" t="str">
        <f>VLOOKUP($B1692,'FRS geographical categories'!$A$2:$C$45,2,FALSE)</f>
        <v>Predominantly Rural</v>
      </c>
      <c r="H1692" s="223" t="str">
        <f>VLOOKUP($B1692,'FRS geographical categories'!$A$2:$C$45,3,FALSE)</f>
        <v>Non-metropolitan</v>
      </c>
      <c r="I1692" s="224">
        <v>0</v>
      </c>
    </row>
    <row r="1693" spans="1:9" ht="15.5" x14ac:dyDescent="0.35">
      <c r="A1693" s="224" t="s">
        <v>56</v>
      </c>
      <c r="B1693" s="224" t="s">
        <v>20</v>
      </c>
      <c r="C1693" s="224" t="s">
        <v>89</v>
      </c>
      <c r="D1693" s="224" t="s">
        <v>55</v>
      </c>
      <c r="E1693" s="224" t="s">
        <v>256</v>
      </c>
      <c r="F1693" s="224" t="s">
        <v>249</v>
      </c>
      <c r="G1693" s="223" t="str">
        <f>VLOOKUP($B1693,'FRS geographical categories'!$A$2:$C$45,2,FALSE)</f>
        <v>Predominantly Rural</v>
      </c>
      <c r="H1693" s="223" t="str">
        <f>VLOOKUP($B1693,'FRS geographical categories'!$A$2:$C$45,3,FALSE)</f>
        <v>Non-metropolitan</v>
      </c>
      <c r="I1693" s="224">
        <v>0</v>
      </c>
    </row>
    <row r="1694" spans="1:9" ht="15.5" x14ac:dyDescent="0.35">
      <c r="A1694" s="224" t="s">
        <v>56</v>
      </c>
      <c r="B1694" s="224" t="s">
        <v>20</v>
      </c>
      <c r="C1694" s="224" t="s">
        <v>89</v>
      </c>
      <c r="D1694" s="224" t="s">
        <v>55</v>
      </c>
      <c r="E1694" s="224" t="s">
        <v>256</v>
      </c>
      <c r="F1694" s="224" t="s">
        <v>250</v>
      </c>
      <c r="G1694" s="223" t="str">
        <f>VLOOKUP($B1694,'FRS geographical categories'!$A$2:$C$45,2,FALSE)</f>
        <v>Predominantly Rural</v>
      </c>
      <c r="H1694" s="223" t="str">
        <f>VLOOKUP($B1694,'FRS geographical categories'!$A$2:$C$45,3,FALSE)</f>
        <v>Non-metropolitan</v>
      </c>
      <c r="I1694" s="224">
        <v>0</v>
      </c>
    </row>
    <row r="1695" spans="1:9" ht="15.5" x14ac:dyDescent="0.35">
      <c r="A1695" s="224" t="s">
        <v>56</v>
      </c>
      <c r="B1695" s="224" t="s">
        <v>20</v>
      </c>
      <c r="C1695" s="224" t="s">
        <v>89</v>
      </c>
      <c r="D1695" s="224" t="s">
        <v>55</v>
      </c>
      <c r="E1695" s="224" t="s">
        <v>256</v>
      </c>
      <c r="F1695" s="224" t="s">
        <v>10</v>
      </c>
      <c r="G1695" s="223" t="str">
        <f>VLOOKUP($B1695,'FRS geographical categories'!$A$2:$C$45,2,FALSE)</f>
        <v>Predominantly Rural</v>
      </c>
      <c r="H1695" s="223" t="str">
        <f>VLOOKUP($B1695,'FRS geographical categories'!$A$2:$C$45,3,FALSE)</f>
        <v>Non-metropolitan</v>
      </c>
      <c r="I1695" s="224">
        <v>0</v>
      </c>
    </row>
    <row r="1696" spans="1:9" ht="15.5" x14ac:dyDescent="0.35">
      <c r="A1696" s="224" t="s">
        <v>56</v>
      </c>
      <c r="B1696" s="224" t="s">
        <v>21</v>
      </c>
      <c r="C1696" s="224" t="s">
        <v>86</v>
      </c>
      <c r="D1696" s="224" t="s">
        <v>9</v>
      </c>
      <c r="E1696" s="224" t="s">
        <v>256</v>
      </c>
      <c r="F1696" s="224" t="s">
        <v>248</v>
      </c>
      <c r="G1696" s="223" t="str">
        <f>VLOOKUP($B1696,'FRS geographical categories'!$A$2:$C$45,2,FALSE)</f>
        <v>Significantly Rural</v>
      </c>
      <c r="H1696" s="223" t="str">
        <f>VLOOKUP($B1696,'FRS geographical categories'!$A$2:$C$45,3,FALSE)</f>
        <v>Non-metropolitan</v>
      </c>
      <c r="I1696" s="224">
        <v>418</v>
      </c>
    </row>
    <row r="1697" spans="1:9" ht="15.5" x14ac:dyDescent="0.35">
      <c r="A1697" s="224" t="s">
        <v>56</v>
      </c>
      <c r="B1697" s="224" t="s">
        <v>21</v>
      </c>
      <c r="C1697" s="224" t="s">
        <v>86</v>
      </c>
      <c r="D1697" s="224" t="s">
        <v>9</v>
      </c>
      <c r="E1697" s="224" t="s">
        <v>256</v>
      </c>
      <c r="F1697" s="224" t="s">
        <v>249</v>
      </c>
      <c r="G1697" s="223" t="str">
        <f>VLOOKUP($B1697,'FRS geographical categories'!$A$2:$C$45,2,FALSE)</f>
        <v>Significantly Rural</v>
      </c>
      <c r="H1697" s="223" t="str">
        <f>VLOOKUP($B1697,'FRS geographical categories'!$A$2:$C$45,3,FALSE)</f>
        <v>Non-metropolitan</v>
      </c>
      <c r="I1697" s="224">
        <v>2585</v>
      </c>
    </row>
    <row r="1698" spans="1:9" ht="15.5" x14ac:dyDescent="0.35">
      <c r="A1698" s="224" t="s">
        <v>56</v>
      </c>
      <c r="B1698" s="224" t="s">
        <v>21</v>
      </c>
      <c r="C1698" s="224" t="s">
        <v>86</v>
      </c>
      <c r="D1698" s="224" t="s">
        <v>9</v>
      </c>
      <c r="E1698" s="224" t="s">
        <v>256</v>
      </c>
      <c r="F1698" s="224" t="s">
        <v>250</v>
      </c>
      <c r="G1698" s="223" t="str">
        <f>VLOOKUP($B1698,'FRS geographical categories'!$A$2:$C$45,2,FALSE)</f>
        <v>Significantly Rural</v>
      </c>
      <c r="H1698" s="223" t="str">
        <f>VLOOKUP($B1698,'FRS geographical categories'!$A$2:$C$45,3,FALSE)</f>
        <v>Non-metropolitan</v>
      </c>
      <c r="I1698" s="224">
        <v>2407</v>
      </c>
    </row>
    <row r="1699" spans="1:9" ht="15.5" x14ac:dyDescent="0.35">
      <c r="A1699" s="224" t="s">
        <v>56</v>
      </c>
      <c r="B1699" s="224" t="s">
        <v>21</v>
      </c>
      <c r="C1699" s="224" t="s">
        <v>86</v>
      </c>
      <c r="D1699" s="224" t="s">
        <v>9</v>
      </c>
      <c r="E1699" s="224" t="s">
        <v>256</v>
      </c>
      <c r="F1699" s="224" t="s">
        <v>111</v>
      </c>
      <c r="G1699" s="223" t="str">
        <f>VLOOKUP($B1699,'FRS geographical categories'!$A$2:$C$45,2,FALSE)</f>
        <v>Significantly Rural</v>
      </c>
      <c r="H1699" s="223" t="str">
        <f>VLOOKUP($B1699,'FRS geographical categories'!$A$2:$C$45,3,FALSE)</f>
        <v>Non-metropolitan</v>
      </c>
      <c r="I1699" s="224">
        <v>6750</v>
      </c>
    </row>
    <row r="1700" spans="1:9" ht="15.5" x14ac:dyDescent="0.35">
      <c r="A1700" s="224" t="s">
        <v>56</v>
      </c>
      <c r="B1700" s="224" t="s">
        <v>21</v>
      </c>
      <c r="C1700" s="224" t="s">
        <v>86</v>
      </c>
      <c r="D1700" s="224" t="s">
        <v>9</v>
      </c>
      <c r="E1700" s="224" t="s">
        <v>256</v>
      </c>
      <c r="F1700" s="224" t="s">
        <v>10</v>
      </c>
      <c r="G1700" s="223" t="str">
        <f>VLOOKUP($B1700,'FRS geographical categories'!$A$2:$C$45,2,FALSE)</f>
        <v>Significantly Rural</v>
      </c>
      <c r="H1700" s="223" t="str">
        <f>VLOOKUP($B1700,'FRS geographical categories'!$A$2:$C$45,3,FALSE)</f>
        <v>Non-metropolitan</v>
      </c>
      <c r="I1700" s="224">
        <v>6902</v>
      </c>
    </row>
    <row r="1701" spans="1:9" ht="15.5" x14ac:dyDescent="0.35">
      <c r="A1701" s="224" t="s">
        <v>56</v>
      </c>
      <c r="B1701" s="224" t="s">
        <v>21</v>
      </c>
      <c r="C1701" s="224" t="s">
        <v>86</v>
      </c>
      <c r="D1701" s="224" t="s">
        <v>55</v>
      </c>
      <c r="E1701" s="224" t="s">
        <v>256</v>
      </c>
      <c r="F1701" s="224" t="s">
        <v>248</v>
      </c>
      <c r="G1701" s="223" t="str">
        <f>VLOOKUP($B1701,'FRS geographical categories'!$A$2:$C$45,2,FALSE)</f>
        <v>Significantly Rural</v>
      </c>
      <c r="H1701" s="223" t="str">
        <f>VLOOKUP($B1701,'FRS geographical categories'!$A$2:$C$45,3,FALSE)</f>
        <v>Non-metropolitan</v>
      </c>
      <c r="I1701" s="224">
        <v>31</v>
      </c>
    </row>
    <row r="1702" spans="1:9" ht="15.5" x14ac:dyDescent="0.35">
      <c r="A1702" s="224" t="s">
        <v>56</v>
      </c>
      <c r="B1702" s="224" t="s">
        <v>21</v>
      </c>
      <c r="C1702" s="224" t="s">
        <v>86</v>
      </c>
      <c r="D1702" s="224" t="s">
        <v>55</v>
      </c>
      <c r="E1702" s="224" t="s">
        <v>256</v>
      </c>
      <c r="F1702" s="224" t="s">
        <v>249</v>
      </c>
      <c r="G1702" s="223" t="str">
        <f>VLOOKUP($B1702,'FRS geographical categories'!$A$2:$C$45,2,FALSE)</f>
        <v>Significantly Rural</v>
      </c>
      <c r="H1702" s="223" t="str">
        <f>VLOOKUP($B1702,'FRS geographical categories'!$A$2:$C$45,3,FALSE)</f>
        <v>Non-metropolitan</v>
      </c>
      <c r="I1702" s="224">
        <v>143</v>
      </c>
    </row>
    <row r="1703" spans="1:9" ht="15.5" x14ac:dyDescent="0.35">
      <c r="A1703" s="224" t="s">
        <v>56</v>
      </c>
      <c r="B1703" s="224" t="s">
        <v>21</v>
      </c>
      <c r="C1703" s="224" t="s">
        <v>86</v>
      </c>
      <c r="D1703" s="224" t="s">
        <v>55</v>
      </c>
      <c r="E1703" s="224" t="s">
        <v>256</v>
      </c>
      <c r="F1703" s="224" t="s">
        <v>250</v>
      </c>
      <c r="G1703" s="223" t="str">
        <f>VLOOKUP($B1703,'FRS geographical categories'!$A$2:$C$45,2,FALSE)</f>
        <v>Significantly Rural</v>
      </c>
      <c r="H1703" s="223" t="str">
        <f>VLOOKUP($B1703,'FRS geographical categories'!$A$2:$C$45,3,FALSE)</f>
        <v>Non-metropolitan</v>
      </c>
      <c r="I1703" s="224">
        <v>198</v>
      </c>
    </row>
    <row r="1704" spans="1:9" ht="15.5" x14ac:dyDescent="0.35">
      <c r="A1704" s="224" t="s">
        <v>56</v>
      </c>
      <c r="B1704" s="224" t="s">
        <v>21</v>
      </c>
      <c r="C1704" s="224" t="s">
        <v>86</v>
      </c>
      <c r="D1704" s="224" t="s">
        <v>55</v>
      </c>
      <c r="E1704" s="224" t="s">
        <v>256</v>
      </c>
      <c r="F1704" s="224" t="s">
        <v>111</v>
      </c>
      <c r="G1704" s="223" t="str">
        <f>VLOOKUP($B1704,'FRS geographical categories'!$A$2:$C$45,2,FALSE)</f>
        <v>Significantly Rural</v>
      </c>
      <c r="H1704" s="223" t="str">
        <f>VLOOKUP($B1704,'FRS geographical categories'!$A$2:$C$45,3,FALSE)</f>
        <v>Non-metropolitan</v>
      </c>
      <c r="I1704" s="224">
        <v>501</v>
      </c>
    </row>
    <row r="1705" spans="1:9" ht="15.5" x14ac:dyDescent="0.35">
      <c r="A1705" s="224" t="s">
        <v>56</v>
      </c>
      <c r="B1705" s="224" t="s">
        <v>21</v>
      </c>
      <c r="C1705" s="224" t="s">
        <v>86</v>
      </c>
      <c r="D1705" s="224" t="s">
        <v>55</v>
      </c>
      <c r="E1705" s="224" t="s">
        <v>256</v>
      </c>
      <c r="F1705" s="224" t="s">
        <v>10</v>
      </c>
      <c r="G1705" s="223" t="str">
        <f>VLOOKUP($B1705,'FRS geographical categories'!$A$2:$C$45,2,FALSE)</f>
        <v>Significantly Rural</v>
      </c>
      <c r="H1705" s="223" t="str">
        <f>VLOOKUP($B1705,'FRS geographical categories'!$A$2:$C$45,3,FALSE)</f>
        <v>Non-metropolitan</v>
      </c>
      <c r="I1705" s="224">
        <v>534</v>
      </c>
    </row>
    <row r="1706" spans="1:9" ht="15.5" x14ac:dyDescent="0.35">
      <c r="A1706" s="224" t="s">
        <v>56</v>
      </c>
      <c r="B1706" s="224" t="s">
        <v>21</v>
      </c>
      <c r="C1706" s="224" t="s">
        <v>89</v>
      </c>
      <c r="D1706" s="224" t="s">
        <v>9</v>
      </c>
      <c r="E1706" s="224" t="s">
        <v>256</v>
      </c>
      <c r="F1706" s="224" t="s">
        <v>248</v>
      </c>
      <c r="G1706" s="223" t="str">
        <f>VLOOKUP($B1706,'FRS geographical categories'!$A$2:$C$45,2,FALSE)</f>
        <v>Significantly Rural</v>
      </c>
      <c r="H1706" s="223" t="str">
        <f>VLOOKUP($B1706,'FRS geographical categories'!$A$2:$C$45,3,FALSE)</f>
        <v>Non-metropolitan</v>
      </c>
      <c r="I1706" s="224">
        <v>5</v>
      </c>
    </row>
    <row r="1707" spans="1:9" ht="15.5" x14ac:dyDescent="0.35">
      <c r="A1707" s="224" t="s">
        <v>56</v>
      </c>
      <c r="B1707" s="224" t="s">
        <v>21</v>
      </c>
      <c r="C1707" s="224" t="s">
        <v>89</v>
      </c>
      <c r="D1707" s="224" t="s">
        <v>9</v>
      </c>
      <c r="E1707" s="224" t="s">
        <v>256</v>
      </c>
      <c r="F1707" s="224" t="s">
        <v>249</v>
      </c>
      <c r="G1707" s="223" t="str">
        <f>VLOOKUP($B1707,'FRS geographical categories'!$A$2:$C$45,2,FALSE)</f>
        <v>Significantly Rural</v>
      </c>
      <c r="H1707" s="223" t="str">
        <f>VLOOKUP($B1707,'FRS geographical categories'!$A$2:$C$45,3,FALSE)</f>
        <v>Non-metropolitan</v>
      </c>
      <c r="I1707" s="224">
        <v>32</v>
      </c>
    </row>
    <row r="1708" spans="1:9" ht="15.5" x14ac:dyDescent="0.35">
      <c r="A1708" s="224" t="s">
        <v>56</v>
      </c>
      <c r="B1708" s="224" t="s">
        <v>21</v>
      </c>
      <c r="C1708" s="224" t="s">
        <v>89</v>
      </c>
      <c r="D1708" s="224" t="s">
        <v>9</v>
      </c>
      <c r="E1708" s="224" t="s">
        <v>256</v>
      </c>
      <c r="F1708" s="224" t="s">
        <v>250</v>
      </c>
      <c r="G1708" s="223" t="str">
        <f>VLOOKUP($B1708,'FRS geographical categories'!$A$2:$C$45,2,FALSE)</f>
        <v>Significantly Rural</v>
      </c>
      <c r="H1708" s="223" t="str">
        <f>VLOOKUP($B1708,'FRS geographical categories'!$A$2:$C$45,3,FALSE)</f>
        <v>Non-metropolitan</v>
      </c>
      <c r="I1708" s="224">
        <v>229</v>
      </c>
    </row>
    <row r="1709" spans="1:9" ht="15.5" x14ac:dyDescent="0.35">
      <c r="A1709" s="224" t="s">
        <v>56</v>
      </c>
      <c r="B1709" s="224" t="s">
        <v>21</v>
      </c>
      <c r="C1709" s="224" t="s">
        <v>89</v>
      </c>
      <c r="D1709" s="224" t="s">
        <v>9</v>
      </c>
      <c r="E1709" s="224" t="s">
        <v>256</v>
      </c>
      <c r="F1709" s="224" t="s">
        <v>10</v>
      </c>
      <c r="G1709" s="223" t="str">
        <f>VLOOKUP($B1709,'FRS geographical categories'!$A$2:$C$45,2,FALSE)</f>
        <v>Significantly Rural</v>
      </c>
      <c r="H1709" s="223" t="str">
        <f>VLOOKUP($B1709,'FRS geographical categories'!$A$2:$C$45,3,FALSE)</f>
        <v>Non-metropolitan</v>
      </c>
      <c r="I1709" s="224">
        <v>303</v>
      </c>
    </row>
    <row r="1710" spans="1:9" ht="15.5" x14ac:dyDescent="0.35">
      <c r="A1710" s="224" t="s">
        <v>56</v>
      </c>
      <c r="B1710" s="224" t="s">
        <v>21</v>
      </c>
      <c r="C1710" s="224" t="s">
        <v>89</v>
      </c>
      <c r="D1710" s="224" t="s">
        <v>55</v>
      </c>
      <c r="E1710" s="224" t="s">
        <v>256</v>
      </c>
      <c r="F1710" s="224" t="s">
        <v>248</v>
      </c>
      <c r="G1710" s="223" t="str">
        <f>VLOOKUP($B1710,'FRS geographical categories'!$A$2:$C$45,2,FALSE)</f>
        <v>Significantly Rural</v>
      </c>
      <c r="H1710" s="223" t="str">
        <f>VLOOKUP($B1710,'FRS geographical categories'!$A$2:$C$45,3,FALSE)</f>
        <v>Non-metropolitan</v>
      </c>
      <c r="I1710" s="224">
        <v>0</v>
      </c>
    </row>
    <row r="1711" spans="1:9" ht="15.5" x14ac:dyDescent="0.35">
      <c r="A1711" s="224" t="s">
        <v>56</v>
      </c>
      <c r="B1711" s="224" t="s">
        <v>21</v>
      </c>
      <c r="C1711" s="224" t="s">
        <v>89</v>
      </c>
      <c r="D1711" s="224" t="s">
        <v>55</v>
      </c>
      <c r="E1711" s="224" t="s">
        <v>256</v>
      </c>
      <c r="F1711" s="224" t="s">
        <v>249</v>
      </c>
      <c r="G1711" s="223" t="str">
        <f>VLOOKUP($B1711,'FRS geographical categories'!$A$2:$C$45,2,FALSE)</f>
        <v>Significantly Rural</v>
      </c>
      <c r="H1711" s="223" t="str">
        <f>VLOOKUP($B1711,'FRS geographical categories'!$A$2:$C$45,3,FALSE)</f>
        <v>Non-metropolitan</v>
      </c>
      <c r="I1711" s="224">
        <v>0</v>
      </c>
    </row>
    <row r="1712" spans="1:9" ht="15.5" x14ac:dyDescent="0.35">
      <c r="A1712" s="224" t="s">
        <v>56</v>
      </c>
      <c r="B1712" s="224" t="s">
        <v>21</v>
      </c>
      <c r="C1712" s="224" t="s">
        <v>89</v>
      </c>
      <c r="D1712" s="224" t="s">
        <v>55</v>
      </c>
      <c r="E1712" s="224" t="s">
        <v>256</v>
      </c>
      <c r="F1712" s="224" t="s">
        <v>250</v>
      </c>
      <c r="G1712" s="223" t="str">
        <f>VLOOKUP($B1712,'FRS geographical categories'!$A$2:$C$45,2,FALSE)</f>
        <v>Significantly Rural</v>
      </c>
      <c r="H1712" s="223" t="str">
        <f>VLOOKUP($B1712,'FRS geographical categories'!$A$2:$C$45,3,FALSE)</f>
        <v>Non-metropolitan</v>
      </c>
      <c r="I1712" s="224">
        <v>0</v>
      </c>
    </row>
    <row r="1713" spans="1:9" ht="15.5" x14ac:dyDescent="0.35">
      <c r="A1713" s="224" t="s">
        <v>56</v>
      </c>
      <c r="B1713" s="224" t="s">
        <v>21</v>
      </c>
      <c r="C1713" s="224" t="s">
        <v>89</v>
      </c>
      <c r="D1713" s="224" t="s">
        <v>55</v>
      </c>
      <c r="E1713" s="224" t="s">
        <v>256</v>
      </c>
      <c r="F1713" s="224" t="s">
        <v>10</v>
      </c>
      <c r="G1713" s="223" t="str">
        <f>VLOOKUP($B1713,'FRS geographical categories'!$A$2:$C$45,2,FALSE)</f>
        <v>Significantly Rural</v>
      </c>
      <c r="H1713" s="223" t="str">
        <f>VLOOKUP($B1713,'FRS geographical categories'!$A$2:$C$45,3,FALSE)</f>
        <v>Non-metropolitan</v>
      </c>
      <c r="I1713" s="224">
        <v>0</v>
      </c>
    </row>
    <row r="1714" spans="1:9" ht="15.5" x14ac:dyDescent="0.35">
      <c r="A1714" s="224" t="s">
        <v>56</v>
      </c>
      <c r="B1714" s="224" t="s">
        <v>22</v>
      </c>
      <c r="C1714" s="224" t="s">
        <v>86</v>
      </c>
      <c r="D1714" s="224" t="s">
        <v>9</v>
      </c>
      <c r="E1714" s="224" t="s">
        <v>256</v>
      </c>
      <c r="F1714" s="224" t="s">
        <v>248</v>
      </c>
      <c r="G1714" s="223" t="str">
        <f>VLOOKUP($B1714,'FRS geographical categories'!$A$2:$C$45,2,FALSE)</f>
        <v>Predominantly Rural</v>
      </c>
      <c r="H1714" s="223" t="str">
        <f>VLOOKUP($B1714,'FRS geographical categories'!$A$2:$C$45,3,FALSE)</f>
        <v>Non-metropolitan</v>
      </c>
      <c r="I1714" s="224">
        <v>565</v>
      </c>
    </row>
    <row r="1715" spans="1:9" ht="15.5" x14ac:dyDescent="0.35">
      <c r="A1715" s="224" t="s">
        <v>56</v>
      </c>
      <c r="B1715" s="224" t="s">
        <v>22</v>
      </c>
      <c r="C1715" s="224" t="s">
        <v>86</v>
      </c>
      <c r="D1715" s="224" t="s">
        <v>9</v>
      </c>
      <c r="E1715" s="224" t="s">
        <v>256</v>
      </c>
      <c r="F1715" s="224" t="s">
        <v>249</v>
      </c>
      <c r="G1715" s="223" t="str">
        <f>VLOOKUP($B1715,'FRS geographical categories'!$A$2:$C$45,2,FALSE)</f>
        <v>Predominantly Rural</v>
      </c>
      <c r="H1715" s="223" t="str">
        <f>VLOOKUP($B1715,'FRS geographical categories'!$A$2:$C$45,3,FALSE)</f>
        <v>Non-metropolitan</v>
      </c>
      <c r="I1715" s="224">
        <v>809</v>
      </c>
    </row>
    <row r="1716" spans="1:9" ht="15.5" x14ac:dyDescent="0.35">
      <c r="A1716" s="224" t="s">
        <v>56</v>
      </c>
      <c r="B1716" s="224" t="s">
        <v>22</v>
      </c>
      <c r="C1716" s="224" t="s">
        <v>86</v>
      </c>
      <c r="D1716" s="224" t="s">
        <v>9</v>
      </c>
      <c r="E1716" s="224" t="s">
        <v>256</v>
      </c>
      <c r="F1716" s="224" t="s">
        <v>250</v>
      </c>
      <c r="G1716" s="223" t="str">
        <f>VLOOKUP($B1716,'FRS geographical categories'!$A$2:$C$45,2,FALSE)</f>
        <v>Predominantly Rural</v>
      </c>
      <c r="H1716" s="223" t="str">
        <f>VLOOKUP($B1716,'FRS geographical categories'!$A$2:$C$45,3,FALSE)</f>
        <v>Non-metropolitan</v>
      </c>
      <c r="I1716" s="224">
        <v>6031</v>
      </c>
    </row>
    <row r="1717" spans="1:9" ht="15.5" x14ac:dyDescent="0.35">
      <c r="A1717" s="224" t="s">
        <v>56</v>
      </c>
      <c r="B1717" s="224" t="s">
        <v>22</v>
      </c>
      <c r="C1717" s="224" t="s">
        <v>86</v>
      </c>
      <c r="D1717" s="224" t="s">
        <v>9</v>
      </c>
      <c r="E1717" s="224" t="s">
        <v>256</v>
      </c>
      <c r="F1717" s="224" t="s">
        <v>111</v>
      </c>
      <c r="G1717" s="223" t="str">
        <f>VLOOKUP($B1717,'FRS geographical categories'!$A$2:$C$45,2,FALSE)</f>
        <v>Predominantly Rural</v>
      </c>
      <c r="H1717" s="223" t="str">
        <f>VLOOKUP($B1717,'FRS geographical categories'!$A$2:$C$45,3,FALSE)</f>
        <v>Non-metropolitan</v>
      </c>
      <c r="I1717" s="224">
        <v>12891</v>
      </c>
    </row>
    <row r="1718" spans="1:9" ht="15.5" x14ac:dyDescent="0.35">
      <c r="A1718" s="224" t="s">
        <v>56</v>
      </c>
      <c r="B1718" s="224" t="s">
        <v>22</v>
      </c>
      <c r="C1718" s="224" t="s">
        <v>86</v>
      </c>
      <c r="D1718" s="224" t="s">
        <v>9</v>
      </c>
      <c r="E1718" s="224" t="s">
        <v>256</v>
      </c>
      <c r="F1718" s="224" t="s">
        <v>10</v>
      </c>
      <c r="G1718" s="223" t="str">
        <f>VLOOKUP($B1718,'FRS geographical categories'!$A$2:$C$45,2,FALSE)</f>
        <v>Predominantly Rural</v>
      </c>
      <c r="H1718" s="223" t="str">
        <f>VLOOKUP($B1718,'FRS geographical categories'!$A$2:$C$45,3,FALSE)</f>
        <v>Non-metropolitan</v>
      </c>
      <c r="I1718" s="224">
        <v>18832</v>
      </c>
    </row>
    <row r="1719" spans="1:9" ht="15.5" x14ac:dyDescent="0.35">
      <c r="A1719" s="224" t="s">
        <v>56</v>
      </c>
      <c r="B1719" s="224" t="s">
        <v>22</v>
      </c>
      <c r="C1719" s="224" t="s">
        <v>86</v>
      </c>
      <c r="D1719" s="224" t="s">
        <v>55</v>
      </c>
      <c r="E1719" s="224" t="s">
        <v>256</v>
      </c>
      <c r="F1719" s="224" t="s">
        <v>248</v>
      </c>
      <c r="G1719" s="223" t="str">
        <f>VLOOKUP($B1719,'FRS geographical categories'!$A$2:$C$45,2,FALSE)</f>
        <v>Predominantly Rural</v>
      </c>
      <c r="H1719" s="223" t="str">
        <f>VLOOKUP($B1719,'FRS geographical categories'!$A$2:$C$45,3,FALSE)</f>
        <v>Non-metropolitan</v>
      </c>
      <c r="I1719" s="224">
        <v>17</v>
      </c>
    </row>
    <row r="1720" spans="1:9" ht="15.5" x14ac:dyDescent="0.35">
      <c r="A1720" s="224" t="s">
        <v>56</v>
      </c>
      <c r="B1720" s="224" t="s">
        <v>22</v>
      </c>
      <c r="C1720" s="224" t="s">
        <v>86</v>
      </c>
      <c r="D1720" s="224" t="s">
        <v>55</v>
      </c>
      <c r="E1720" s="224" t="s">
        <v>256</v>
      </c>
      <c r="F1720" s="224" t="s">
        <v>249</v>
      </c>
      <c r="G1720" s="223" t="str">
        <f>VLOOKUP($B1720,'FRS geographical categories'!$A$2:$C$45,2,FALSE)</f>
        <v>Predominantly Rural</v>
      </c>
      <c r="H1720" s="223" t="str">
        <f>VLOOKUP($B1720,'FRS geographical categories'!$A$2:$C$45,3,FALSE)</f>
        <v>Non-metropolitan</v>
      </c>
      <c r="I1720" s="224">
        <v>15</v>
      </c>
    </row>
    <row r="1721" spans="1:9" ht="15.5" x14ac:dyDescent="0.35">
      <c r="A1721" s="224" t="s">
        <v>56</v>
      </c>
      <c r="B1721" s="224" t="s">
        <v>22</v>
      </c>
      <c r="C1721" s="224" t="s">
        <v>86</v>
      </c>
      <c r="D1721" s="224" t="s">
        <v>55</v>
      </c>
      <c r="E1721" s="224" t="s">
        <v>256</v>
      </c>
      <c r="F1721" s="224" t="s">
        <v>250</v>
      </c>
      <c r="G1721" s="223" t="str">
        <f>VLOOKUP($B1721,'FRS geographical categories'!$A$2:$C$45,2,FALSE)</f>
        <v>Predominantly Rural</v>
      </c>
      <c r="H1721" s="223" t="str">
        <f>VLOOKUP($B1721,'FRS geographical categories'!$A$2:$C$45,3,FALSE)</f>
        <v>Non-metropolitan</v>
      </c>
      <c r="I1721" s="224">
        <v>73</v>
      </c>
    </row>
    <row r="1722" spans="1:9" ht="15.5" x14ac:dyDescent="0.35">
      <c r="A1722" s="224" t="s">
        <v>56</v>
      </c>
      <c r="B1722" s="224" t="s">
        <v>22</v>
      </c>
      <c r="C1722" s="224" t="s">
        <v>86</v>
      </c>
      <c r="D1722" s="224" t="s">
        <v>55</v>
      </c>
      <c r="E1722" s="224" t="s">
        <v>256</v>
      </c>
      <c r="F1722" s="224" t="s">
        <v>111</v>
      </c>
      <c r="G1722" s="223" t="str">
        <f>VLOOKUP($B1722,'FRS geographical categories'!$A$2:$C$45,2,FALSE)</f>
        <v>Predominantly Rural</v>
      </c>
      <c r="H1722" s="223" t="str">
        <f>VLOOKUP($B1722,'FRS geographical categories'!$A$2:$C$45,3,FALSE)</f>
        <v>Non-metropolitan</v>
      </c>
      <c r="I1722" s="224">
        <v>171</v>
      </c>
    </row>
    <row r="1723" spans="1:9" ht="15.5" x14ac:dyDescent="0.35">
      <c r="A1723" s="224" t="s">
        <v>56</v>
      </c>
      <c r="B1723" s="224" t="s">
        <v>22</v>
      </c>
      <c r="C1723" s="224" t="s">
        <v>86</v>
      </c>
      <c r="D1723" s="224" t="s">
        <v>55</v>
      </c>
      <c r="E1723" s="224" t="s">
        <v>256</v>
      </c>
      <c r="F1723" s="224" t="s">
        <v>10</v>
      </c>
      <c r="G1723" s="223" t="str">
        <f>VLOOKUP($B1723,'FRS geographical categories'!$A$2:$C$45,2,FALSE)</f>
        <v>Predominantly Rural</v>
      </c>
      <c r="H1723" s="223" t="str">
        <f>VLOOKUP($B1723,'FRS geographical categories'!$A$2:$C$45,3,FALSE)</f>
        <v>Non-metropolitan</v>
      </c>
      <c r="I1723" s="224">
        <v>227</v>
      </c>
    </row>
    <row r="1724" spans="1:9" ht="15.5" x14ac:dyDescent="0.35">
      <c r="A1724" s="224" t="s">
        <v>56</v>
      </c>
      <c r="B1724" s="224" t="s">
        <v>22</v>
      </c>
      <c r="C1724" s="224" t="s">
        <v>89</v>
      </c>
      <c r="D1724" s="224" t="s">
        <v>9</v>
      </c>
      <c r="E1724" s="224" t="s">
        <v>256</v>
      </c>
      <c r="F1724" s="224" t="s">
        <v>248</v>
      </c>
      <c r="G1724" s="223" t="str">
        <f>VLOOKUP($B1724,'FRS geographical categories'!$A$2:$C$45,2,FALSE)</f>
        <v>Predominantly Rural</v>
      </c>
      <c r="H1724" s="223" t="str">
        <f>VLOOKUP($B1724,'FRS geographical categories'!$A$2:$C$45,3,FALSE)</f>
        <v>Non-metropolitan</v>
      </c>
      <c r="I1724" s="224">
        <v>0</v>
      </c>
    </row>
    <row r="1725" spans="1:9" ht="15.5" x14ac:dyDescent="0.35">
      <c r="A1725" s="224" t="s">
        <v>56</v>
      </c>
      <c r="B1725" s="224" t="s">
        <v>22</v>
      </c>
      <c r="C1725" s="224" t="s">
        <v>89</v>
      </c>
      <c r="D1725" s="224" t="s">
        <v>9</v>
      </c>
      <c r="E1725" s="224" t="s">
        <v>256</v>
      </c>
      <c r="F1725" s="224" t="s">
        <v>249</v>
      </c>
      <c r="G1725" s="223" t="str">
        <f>VLOOKUP($B1725,'FRS geographical categories'!$A$2:$C$45,2,FALSE)</f>
        <v>Predominantly Rural</v>
      </c>
      <c r="H1725" s="223" t="str">
        <f>VLOOKUP($B1725,'FRS geographical categories'!$A$2:$C$45,3,FALSE)</f>
        <v>Non-metropolitan</v>
      </c>
      <c r="I1725" s="224">
        <v>0</v>
      </c>
    </row>
    <row r="1726" spans="1:9" ht="15.5" x14ac:dyDescent="0.35">
      <c r="A1726" s="224" t="s">
        <v>56</v>
      </c>
      <c r="B1726" s="224" t="s">
        <v>22</v>
      </c>
      <c r="C1726" s="224" t="s">
        <v>89</v>
      </c>
      <c r="D1726" s="224" t="s">
        <v>9</v>
      </c>
      <c r="E1726" s="224" t="s">
        <v>256</v>
      </c>
      <c r="F1726" s="224" t="s">
        <v>250</v>
      </c>
      <c r="G1726" s="223" t="str">
        <f>VLOOKUP($B1726,'FRS geographical categories'!$A$2:$C$45,2,FALSE)</f>
        <v>Predominantly Rural</v>
      </c>
      <c r="H1726" s="223" t="str">
        <f>VLOOKUP($B1726,'FRS geographical categories'!$A$2:$C$45,3,FALSE)</f>
        <v>Non-metropolitan</v>
      </c>
      <c r="I1726" s="224">
        <v>0</v>
      </c>
    </row>
    <row r="1727" spans="1:9" ht="15.5" x14ac:dyDescent="0.35">
      <c r="A1727" s="224" t="s">
        <v>56</v>
      </c>
      <c r="B1727" s="224" t="s">
        <v>22</v>
      </c>
      <c r="C1727" s="224" t="s">
        <v>89</v>
      </c>
      <c r="D1727" s="224" t="s">
        <v>9</v>
      </c>
      <c r="E1727" s="224" t="s">
        <v>256</v>
      </c>
      <c r="F1727" s="224" t="s">
        <v>10</v>
      </c>
      <c r="G1727" s="223" t="str">
        <f>VLOOKUP($B1727,'FRS geographical categories'!$A$2:$C$45,2,FALSE)</f>
        <v>Predominantly Rural</v>
      </c>
      <c r="H1727" s="223" t="str">
        <f>VLOOKUP($B1727,'FRS geographical categories'!$A$2:$C$45,3,FALSE)</f>
        <v>Non-metropolitan</v>
      </c>
      <c r="I1727" s="224">
        <v>0</v>
      </c>
    </row>
    <row r="1728" spans="1:9" ht="15.5" x14ac:dyDescent="0.35">
      <c r="A1728" s="224" t="s">
        <v>56</v>
      </c>
      <c r="B1728" s="224" t="s">
        <v>22</v>
      </c>
      <c r="C1728" s="224" t="s">
        <v>89</v>
      </c>
      <c r="D1728" s="224" t="s">
        <v>55</v>
      </c>
      <c r="E1728" s="224" t="s">
        <v>256</v>
      </c>
      <c r="F1728" s="224" t="s">
        <v>248</v>
      </c>
      <c r="G1728" s="223" t="str">
        <f>VLOOKUP($B1728,'FRS geographical categories'!$A$2:$C$45,2,FALSE)</f>
        <v>Predominantly Rural</v>
      </c>
      <c r="H1728" s="223" t="str">
        <f>VLOOKUP($B1728,'FRS geographical categories'!$A$2:$C$45,3,FALSE)</f>
        <v>Non-metropolitan</v>
      </c>
      <c r="I1728" s="224">
        <v>0</v>
      </c>
    </row>
    <row r="1729" spans="1:9" ht="15.5" x14ac:dyDescent="0.35">
      <c r="A1729" s="224" t="s">
        <v>56</v>
      </c>
      <c r="B1729" s="224" t="s">
        <v>22</v>
      </c>
      <c r="C1729" s="224" t="s">
        <v>89</v>
      </c>
      <c r="D1729" s="224" t="s">
        <v>55</v>
      </c>
      <c r="E1729" s="224" t="s">
        <v>256</v>
      </c>
      <c r="F1729" s="224" t="s">
        <v>249</v>
      </c>
      <c r="G1729" s="223" t="str">
        <f>VLOOKUP($B1729,'FRS geographical categories'!$A$2:$C$45,2,FALSE)</f>
        <v>Predominantly Rural</v>
      </c>
      <c r="H1729" s="223" t="str">
        <f>VLOOKUP($B1729,'FRS geographical categories'!$A$2:$C$45,3,FALSE)</f>
        <v>Non-metropolitan</v>
      </c>
      <c r="I1729" s="224">
        <v>0</v>
      </c>
    </row>
    <row r="1730" spans="1:9" ht="15.5" x14ac:dyDescent="0.35">
      <c r="A1730" s="224" t="s">
        <v>56</v>
      </c>
      <c r="B1730" s="224" t="s">
        <v>22</v>
      </c>
      <c r="C1730" s="224" t="s">
        <v>89</v>
      </c>
      <c r="D1730" s="224" t="s">
        <v>55</v>
      </c>
      <c r="E1730" s="224" t="s">
        <v>256</v>
      </c>
      <c r="F1730" s="224" t="s">
        <v>250</v>
      </c>
      <c r="G1730" s="223" t="str">
        <f>VLOOKUP($B1730,'FRS geographical categories'!$A$2:$C$45,2,FALSE)</f>
        <v>Predominantly Rural</v>
      </c>
      <c r="H1730" s="223" t="str">
        <f>VLOOKUP($B1730,'FRS geographical categories'!$A$2:$C$45,3,FALSE)</f>
        <v>Non-metropolitan</v>
      </c>
      <c r="I1730" s="224">
        <v>0</v>
      </c>
    </row>
    <row r="1731" spans="1:9" ht="15.5" x14ac:dyDescent="0.35">
      <c r="A1731" s="224" t="s">
        <v>56</v>
      </c>
      <c r="B1731" s="224" t="s">
        <v>22</v>
      </c>
      <c r="C1731" s="224" t="s">
        <v>89</v>
      </c>
      <c r="D1731" s="224" t="s">
        <v>55</v>
      </c>
      <c r="E1731" s="224" t="s">
        <v>256</v>
      </c>
      <c r="F1731" s="224" t="s">
        <v>10</v>
      </c>
      <c r="G1731" s="223" t="str">
        <f>VLOOKUP($B1731,'FRS geographical categories'!$A$2:$C$45,2,FALSE)</f>
        <v>Predominantly Rural</v>
      </c>
      <c r="H1731" s="223" t="str">
        <f>VLOOKUP($B1731,'FRS geographical categories'!$A$2:$C$45,3,FALSE)</f>
        <v>Non-metropolitan</v>
      </c>
      <c r="I1731" s="224">
        <v>0</v>
      </c>
    </row>
    <row r="1732" spans="1:9" ht="15.5" x14ac:dyDescent="0.35">
      <c r="A1732" s="224" t="s">
        <v>56</v>
      </c>
      <c r="B1732" s="224" t="s">
        <v>23</v>
      </c>
      <c r="C1732" s="224" t="s">
        <v>86</v>
      </c>
      <c r="D1732" s="224" t="s">
        <v>9</v>
      </c>
      <c r="E1732" s="224" t="s">
        <v>256</v>
      </c>
      <c r="F1732" s="224" t="s">
        <v>248</v>
      </c>
      <c r="G1732" s="223" t="str">
        <f>VLOOKUP($B1732,'FRS geographical categories'!$A$2:$C$45,2,FALSE)</f>
        <v>Significantly Rural</v>
      </c>
      <c r="H1732" s="223" t="str">
        <f>VLOOKUP($B1732,'FRS geographical categories'!$A$2:$C$45,3,FALSE)</f>
        <v>Non-metropolitan</v>
      </c>
      <c r="I1732" s="224">
        <v>582</v>
      </c>
    </row>
    <row r="1733" spans="1:9" ht="15.5" x14ac:dyDescent="0.35">
      <c r="A1733" s="224" t="s">
        <v>56</v>
      </c>
      <c r="B1733" s="224" t="s">
        <v>23</v>
      </c>
      <c r="C1733" s="224" t="s">
        <v>86</v>
      </c>
      <c r="D1733" s="224" t="s">
        <v>9</v>
      </c>
      <c r="E1733" s="224" t="s">
        <v>256</v>
      </c>
      <c r="F1733" s="224" t="s">
        <v>249</v>
      </c>
      <c r="G1733" s="223" t="str">
        <f>VLOOKUP($B1733,'FRS geographical categories'!$A$2:$C$45,2,FALSE)</f>
        <v>Significantly Rural</v>
      </c>
      <c r="H1733" s="223" t="str">
        <f>VLOOKUP($B1733,'FRS geographical categories'!$A$2:$C$45,3,FALSE)</f>
        <v>Non-metropolitan</v>
      </c>
      <c r="I1733" s="224">
        <v>2267</v>
      </c>
    </row>
    <row r="1734" spans="1:9" ht="15.5" x14ac:dyDescent="0.35">
      <c r="A1734" s="224" t="s">
        <v>56</v>
      </c>
      <c r="B1734" s="224" t="s">
        <v>23</v>
      </c>
      <c r="C1734" s="224" t="s">
        <v>86</v>
      </c>
      <c r="D1734" s="224" t="s">
        <v>9</v>
      </c>
      <c r="E1734" s="224" t="s">
        <v>256</v>
      </c>
      <c r="F1734" s="224" t="s">
        <v>250</v>
      </c>
      <c r="G1734" s="223" t="str">
        <f>VLOOKUP($B1734,'FRS geographical categories'!$A$2:$C$45,2,FALSE)</f>
        <v>Significantly Rural</v>
      </c>
      <c r="H1734" s="223" t="str">
        <f>VLOOKUP($B1734,'FRS geographical categories'!$A$2:$C$45,3,FALSE)</f>
        <v>Non-metropolitan</v>
      </c>
      <c r="I1734" s="224">
        <v>1808</v>
      </c>
    </row>
    <row r="1735" spans="1:9" ht="15.5" x14ac:dyDescent="0.35">
      <c r="A1735" s="224" t="s">
        <v>56</v>
      </c>
      <c r="B1735" s="224" t="s">
        <v>23</v>
      </c>
      <c r="C1735" s="224" t="s">
        <v>86</v>
      </c>
      <c r="D1735" s="224" t="s">
        <v>9</v>
      </c>
      <c r="E1735" s="224" t="s">
        <v>256</v>
      </c>
      <c r="F1735" s="224" t="s">
        <v>111</v>
      </c>
      <c r="G1735" s="223" t="str">
        <f>VLOOKUP($B1735,'FRS geographical categories'!$A$2:$C$45,2,FALSE)</f>
        <v>Significantly Rural</v>
      </c>
      <c r="H1735" s="223" t="str">
        <f>VLOOKUP($B1735,'FRS geographical categories'!$A$2:$C$45,3,FALSE)</f>
        <v>Non-metropolitan</v>
      </c>
      <c r="I1735" s="224">
        <v>6436</v>
      </c>
    </row>
    <row r="1736" spans="1:9" ht="15.5" x14ac:dyDescent="0.35">
      <c r="A1736" s="224" t="s">
        <v>56</v>
      </c>
      <c r="B1736" s="224" t="s">
        <v>23</v>
      </c>
      <c r="C1736" s="224" t="s">
        <v>86</v>
      </c>
      <c r="D1736" s="224" t="s">
        <v>9</v>
      </c>
      <c r="E1736" s="224" t="s">
        <v>256</v>
      </c>
      <c r="F1736" s="224" t="s">
        <v>10</v>
      </c>
      <c r="G1736" s="223" t="str">
        <f>VLOOKUP($B1736,'FRS geographical categories'!$A$2:$C$45,2,FALSE)</f>
        <v>Significantly Rural</v>
      </c>
      <c r="H1736" s="223" t="str">
        <f>VLOOKUP($B1736,'FRS geographical categories'!$A$2:$C$45,3,FALSE)</f>
        <v>Non-metropolitan</v>
      </c>
      <c r="I1736" s="224">
        <v>6788</v>
      </c>
    </row>
    <row r="1737" spans="1:9" ht="15.5" x14ac:dyDescent="0.35">
      <c r="A1737" s="224" t="s">
        <v>56</v>
      </c>
      <c r="B1737" s="224" t="s">
        <v>23</v>
      </c>
      <c r="C1737" s="224" t="s">
        <v>86</v>
      </c>
      <c r="D1737" s="224" t="s">
        <v>55</v>
      </c>
      <c r="E1737" s="224" t="s">
        <v>256</v>
      </c>
      <c r="F1737" s="224" t="s">
        <v>248</v>
      </c>
      <c r="G1737" s="223" t="str">
        <f>VLOOKUP($B1737,'FRS geographical categories'!$A$2:$C$45,2,FALSE)</f>
        <v>Significantly Rural</v>
      </c>
      <c r="H1737" s="223" t="str">
        <f>VLOOKUP($B1737,'FRS geographical categories'!$A$2:$C$45,3,FALSE)</f>
        <v>Non-metropolitan</v>
      </c>
      <c r="I1737" s="224">
        <v>229</v>
      </c>
    </row>
    <row r="1738" spans="1:9" ht="15.5" x14ac:dyDescent="0.35">
      <c r="A1738" s="224" t="s">
        <v>56</v>
      </c>
      <c r="B1738" s="224" t="s">
        <v>23</v>
      </c>
      <c r="C1738" s="224" t="s">
        <v>86</v>
      </c>
      <c r="D1738" s="224" t="s">
        <v>55</v>
      </c>
      <c r="E1738" s="224" t="s">
        <v>256</v>
      </c>
      <c r="F1738" s="224" t="s">
        <v>249</v>
      </c>
      <c r="G1738" s="223" t="str">
        <f>VLOOKUP($B1738,'FRS geographical categories'!$A$2:$C$45,2,FALSE)</f>
        <v>Significantly Rural</v>
      </c>
      <c r="H1738" s="223" t="str">
        <f>VLOOKUP($B1738,'FRS geographical categories'!$A$2:$C$45,3,FALSE)</f>
        <v>Non-metropolitan</v>
      </c>
      <c r="I1738" s="224">
        <v>929</v>
      </c>
    </row>
    <row r="1739" spans="1:9" ht="15.5" x14ac:dyDescent="0.35">
      <c r="A1739" s="224" t="s">
        <v>56</v>
      </c>
      <c r="B1739" s="224" t="s">
        <v>23</v>
      </c>
      <c r="C1739" s="224" t="s">
        <v>86</v>
      </c>
      <c r="D1739" s="224" t="s">
        <v>55</v>
      </c>
      <c r="E1739" s="224" t="s">
        <v>256</v>
      </c>
      <c r="F1739" s="224" t="s">
        <v>250</v>
      </c>
      <c r="G1739" s="223" t="str">
        <f>VLOOKUP($B1739,'FRS geographical categories'!$A$2:$C$45,2,FALSE)</f>
        <v>Significantly Rural</v>
      </c>
      <c r="H1739" s="223" t="str">
        <f>VLOOKUP($B1739,'FRS geographical categories'!$A$2:$C$45,3,FALSE)</f>
        <v>Non-metropolitan</v>
      </c>
      <c r="I1739" s="224">
        <v>696</v>
      </c>
    </row>
    <row r="1740" spans="1:9" ht="15.5" x14ac:dyDescent="0.35">
      <c r="A1740" s="224" t="s">
        <v>56</v>
      </c>
      <c r="B1740" s="224" t="s">
        <v>23</v>
      </c>
      <c r="C1740" s="224" t="s">
        <v>86</v>
      </c>
      <c r="D1740" s="224" t="s">
        <v>55</v>
      </c>
      <c r="E1740" s="224" t="s">
        <v>256</v>
      </c>
      <c r="F1740" s="224" t="s">
        <v>111</v>
      </c>
      <c r="G1740" s="223" t="str">
        <f>VLOOKUP($B1740,'FRS geographical categories'!$A$2:$C$45,2,FALSE)</f>
        <v>Significantly Rural</v>
      </c>
      <c r="H1740" s="223" t="str">
        <f>VLOOKUP($B1740,'FRS geographical categories'!$A$2:$C$45,3,FALSE)</f>
        <v>Non-metropolitan</v>
      </c>
      <c r="I1740" s="224">
        <v>2450</v>
      </c>
    </row>
    <row r="1741" spans="1:9" ht="15.5" x14ac:dyDescent="0.35">
      <c r="A1741" s="224" t="s">
        <v>56</v>
      </c>
      <c r="B1741" s="224" t="s">
        <v>23</v>
      </c>
      <c r="C1741" s="224" t="s">
        <v>86</v>
      </c>
      <c r="D1741" s="224" t="s">
        <v>55</v>
      </c>
      <c r="E1741" s="224" t="s">
        <v>256</v>
      </c>
      <c r="F1741" s="224" t="s">
        <v>10</v>
      </c>
      <c r="G1741" s="223" t="str">
        <f>VLOOKUP($B1741,'FRS geographical categories'!$A$2:$C$45,2,FALSE)</f>
        <v>Significantly Rural</v>
      </c>
      <c r="H1741" s="223" t="str">
        <f>VLOOKUP($B1741,'FRS geographical categories'!$A$2:$C$45,3,FALSE)</f>
        <v>Non-metropolitan</v>
      </c>
      <c r="I1741" s="224">
        <v>2554</v>
      </c>
    </row>
    <row r="1742" spans="1:9" ht="15.5" x14ac:dyDescent="0.35">
      <c r="A1742" s="224" t="s">
        <v>56</v>
      </c>
      <c r="B1742" s="224" t="s">
        <v>23</v>
      </c>
      <c r="C1742" s="224" t="s">
        <v>89</v>
      </c>
      <c r="D1742" s="224" t="s">
        <v>9</v>
      </c>
      <c r="E1742" s="224" t="s">
        <v>256</v>
      </c>
      <c r="F1742" s="224" t="s">
        <v>248</v>
      </c>
      <c r="G1742" s="223" t="str">
        <f>VLOOKUP($B1742,'FRS geographical categories'!$A$2:$C$45,2,FALSE)</f>
        <v>Significantly Rural</v>
      </c>
      <c r="H1742" s="223" t="str">
        <f>VLOOKUP($B1742,'FRS geographical categories'!$A$2:$C$45,3,FALSE)</f>
        <v>Non-metropolitan</v>
      </c>
      <c r="I1742" s="224">
        <v>0</v>
      </c>
    </row>
    <row r="1743" spans="1:9" ht="15.5" x14ac:dyDescent="0.35">
      <c r="A1743" s="224" t="s">
        <v>56</v>
      </c>
      <c r="B1743" s="224" t="s">
        <v>23</v>
      </c>
      <c r="C1743" s="224" t="s">
        <v>89</v>
      </c>
      <c r="D1743" s="224" t="s">
        <v>9</v>
      </c>
      <c r="E1743" s="224" t="s">
        <v>256</v>
      </c>
      <c r="F1743" s="224" t="s">
        <v>249</v>
      </c>
      <c r="G1743" s="223" t="str">
        <f>VLOOKUP($B1743,'FRS geographical categories'!$A$2:$C$45,2,FALSE)</f>
        <v>Significantly Rural</v>
      </c>
      <c r="H1743" s="223" t="str">
        <f>VLOOKUP($B1743,'FRS geographical categories'!$A$2:$C$45,3,FALSE)</f>
        <v>Non-metropolitan</v>
      </c>
      <c r="I1743" s="224">
        <v>0</v>
      </c>
    </row>
    <row r="1744" spans="1:9" ht="15.5" x14ac:dyDescent="0.35">
      <c r="A1744" s="224" t="s">
        <v>56</v>
      </c>
      <c r="B1744" s="224" t="s">
        <v>23</v>
      </c>
      <c r="C1744" s="224" t="s">
        <v>89</v>
      </c>
      <c r="D1744" s="224" t="s">
        <v>9</v>
      </c>
      <c r="E1744" s="224" t="s">
        <v>256</v>
      </c>
      <c r="F1744" s="224" t="s">
        <v>250</v>
      </c>
      <c r="G1744" s="223" t="str">
        <f>VLOOKUP($B1744,'FRS geographical categories'!$A$2:$C$45,2,FALSE)</f>
        <v>Significantly Rural</v>
      </c>
      <c r="H1744" s="223" t="str">
        <f>VLOOKUP($B1744,'FRS geographical categories'!$A$2:$C$45,3,FALSE)</f>
        <v>Non-metropolitan</v>
      </c>
      <c r="I1744" s="224">
        <v>0</v>
      </c>
    </row>
    <row r="1745" spans="1:9" ht="15.5" x14ac:dyDescent="0.35">
      <c r="A1745" s="224" t="s">
        <v>56</v>
      </c>
      <c r="B1745" s="224" t="s">
        <v>23</v>
      </c>
      <c r="C1745" s="224" t="s">
        <v>89</v>
      </c>
      <c r="D1745" s="224" t="s">
        <v>9</v>
      </c>
      <c r="E1745" s="224" t="s">
        <v>256</v>
      </c>
      <c r="F1745" s="224" t="s">
        <v>10</v>
      </c>
      <c r="G1745" s="223" t="str">
        <f>VLOOKUP($B1745,'FRS geographical categories'!$A$2:$C$45,2,FALSE)</f>
        <v>Significantly Rural</v>
      </c>
      <c r="H1745" s="223" t="str">
        <f>VLOOKUP($B1745,'FRS geographical categories'!$A$2:$C$45,3,FALSE)</f>
        <v>Non-metropolitan</v>
      </c>
      <c r="I1745" s="224">
        <v>0</v>
      </c>
    </row>
    <row r="1746" spans="1:9" ht="15.5" x14ac:dyDescent="0.35">
      <c r="A1746" s="224" t="s">
        <v>56</v>
      </c>
      <c r="B1746" s="224" t="s">
        <v>23</v>
      </c>
      <c r="C1746" s="224" t="s">
        <v>89</v>
      </c>
      <c r="D1746" s="224" t="s">
        <v>55</v>
      </c>
      <c r="E1746" s="224" t="s">
        <v>256</v>
      </c>
      <c r="F1746" s="224" t="s">
        <v>248</v>
      </c>
      <c r="G1746" s="223" t="str">
        <f>VLOOKUP($B1746,'FRS geographical categories'!$A$2:$C$45,2,FALSE)</f>
        <v>Significantly Rural</v>
      </c>
      <c r="H1746" s="223" t="str">
        <f>VLOOKUP($B1746,'FRS geographical categories'!$A$2:$C$45,3,FALSE)</f>
        <v>Non-metropolitan</v>
      </c>
      <c r="I1746" s="224">
        <v>0</v>
      </c>
    </row>
    <row r="1747" spans="1:9" ht="15.5" x14ac:dyDescent="0.35">
      <c r="A1747" s="224" t="s">
        <v>56</v>
      </c>
      <c r="B1747" s="224" t="s">
        <v>23</v>
      </c>
      <c r="C1747" s="224" t="s">
        <v>89</v>
      </c>
      <c r="D1747" s="224" t="s">
        <v>55</v>
      </c>
      <c r="E1747" s="224" t="s">
        <v>256</v>
      </c>
      <c r="F1747" s="224" t="s">
        <v>249</v>
      </c>
      <c r="G1747" s="223" t="str">
        <f>VLOOKUP($B1747,'FRS geographical categories'!$A$2:$C$45,2,FALSE)</f>
        <v>Significantly Rural</v>
      </c>
      <c r="H1747" s="223" t="str">
        <f>VLOOKUP($B1747,'FRS geographical categories'!$A$2:$C$45,3,FALSE)</f>
        <v>Non-metropolitan</v>
      </c>
      <c r="I1747" s="224">
        <v>0</v>
      </c>
    </row>
    <row r="1748" spans="1:9" ht="15.5" x14ac:dyDescent="0.35">
      <c r="A1748" s="224" t="s">
        <v>56</v>
      </c>
      <c r="B1748" s="224" t="s">
        <v>23</v>
      </c>
      <c r="C1748" s="224" t="s">
        <v>89</v>
      </c>
      <c r="D1748" s="224" t="s">
        <v>55</v>
      </c>
      <c r="E1748" s="224" t="s">
        <v>256</v>
      </c>
      <c r="F1748" s="224" t="s">
        <v>250</v>
      </c>
      <c r="G1748" s="223" t="str">
        <f>VLOOKUP($B1748,'FRS geographical categories'!$A$2:$C$45,2,FALSE)</f>
        <v>Significantly Rural</v>
      </c>
      <c r="H1748" s="223" t="str">
        <f>VLOOKUP($B1748,'FRS geographical categories'!$A$2:$C$45,3,FALSE)</f>
        <v>Non-metropolitan</v>
      </c>
      <c r="I1748" s="224">
        <v>0</v>
      </c>
    </row>
    <row r="1749" spans="1:9" ht="15.5" x14ac:dyDescent="0.35">
      <c r="A1749" s="224" t="s">
        <v>56</v>
      </c>
      <c r="B1749" s="224" t="s">
        <v>23</v>
      </c>
      <c r="C1749" s="224" t="s">
        <v>89</v>
      </c>
      <c r="D1749" s="224" t="s">
        <v>55</v>
      </c>
      <c r="E1749" s="224" t="s">
        <v>256</v>
      </c>
      <c r="F1749" s="224" t="s">
        <v>10</v>
      </c>
      <c r="G1749" s="223" t="str">
        <f>VLOOKUP($B1749,'FRS geographical categories'!$A$2:$C$45,2,FALSE)</f>
        <v>Significantly Rural</v>
      </c>
      <c r="H1749" s="223" t="str">
        <f>VLOOKUP($B1749,'FRS geographical categories'!$A$2:$C$45,3,FALSE)</f>
        <v>Non-metropolitan</v>
      </c>
      <c r="I1749" s="224">
        <v>0</v>
      </c>
    </row>
    <row r="1750" spans="1:9" ht="15.5" x14ac:dyDescent="0.35">
      <c r="A1750" s="224" t="s">
        <v>56</v>
      </c>
      <c r="B1750" s="224" t="s">
        <v>24</v>
      </c>
      <c r="C1750" s="224" t="s">
        <v>86</v>
      </c>
      <c r="D1750" s="224" t="s">
        <v>9</v>
      </c>
      <c r="E1750" s="224" t="s">
        <v>256</v>
      </c>
      <c r="F1750" s="224" t="s">
        <v>248</v>
      </c>
      <c r="G1750" s="223" t="str">
        <f>VLOOKUP($B1750,'FRS geographical categories'!$A$2:$C$45,2,FALSE)</f>
        <v>Significantly Rural</v>
      </c>
      <c r="H1750" s="223" t="str">
        <f>VLOOKUP($B1750,'FRS geographical categories'!$A$2:$C$45,3,FALSE)</f>
        <v>Non-metropolitan</v>
      </c>
      <c r="I1750" s="224">
        <v>390</v>
      </c>
    </row>
    <row r="1751" spans="1:9" ht="15.5" x14ac:dyDescent="0.35">
      <c r="A1751" s="224" t="s">
        <v>56</v>
      </c>
      <c r="B1751" s="224" t="s">
        <v>24</v>
      </c>
      <c r="C1751" s="224" t="s">
        <v>86</v>
      </c>
      <c r="D1751" s="224" t="s">
        <v>9</v>
      </c>
      <c r="E1751" s="224" t="s">
        <v>256</v>
      </c>
      <c r="F1751" s="224" t="s">
        <v>249</v>
      </c>
      <c r="G1751" s="223" t="str">
        <f>VLOOKUP($B1751,'FRS geographical categories'!$A$2:$C$45,2,FALSE)</f>
        <v>Significantly Rural</v>
      </c>
      <c r="H1751" s="223" t="str">
        <f>VLOOKUP($B1751,'FRS geographical categories'!$A$2:$C$45,3,FALSE)</f>
        <v>Non-metropolitan</v>
      </c>
      <c r="I1751" s="224">
        <v>2104</v>
      </c>
    </row>
    <row r="1752" spans="1:9" ht="15.5" x14ac:dyDescent="0.35">
      <c r="A1752" s="224" t="s">
        <v>56</v>
      </c>
      <c r="B1752" s="224" t="s">
        <v>24</v>
      </c>
      <c r="C1752" s="224" t="s">
        <v>86</v>
      </c>
      <c r="D1752" s="224" t="s">
        <v>9</v>
      </c>
      <c r="E1752" s="224" t="s">
        <v>256</v>
      </c>
      <c r="F1752" s="224" t="s">
        <v>250</v>
      </c>
      <c r="G1752" s="223" t="str">
        <f>VLOOKUP($B1752,'FRS geographical categories'!$A$2:$C$45,2,FALSE)</f>
        <v>Significantly Rural</v>
      </c>
      <c r="H1752" s="223" t="str">
        <f>VLOOKUP($B1752,'FRS geographical categories'!$A$2:$C$45,3,FALSE)</f>
        <v>Non-metropolitan</v>
      </c>
      <c r="I1752" s="224">
        <v>1937</v>
      </c>
    </row>
    <row r="1753" spans="1:9" ht="15.5" x14ac:dyDescent="0.35">
      <c r="A1753" s="224" t="s">
        <v>56</v>
      </c>
      <c r="B1753" s="224" t="s">
        <v>24</v>
      </c>
      <c r="C1753" s="224" t="s">
        <v>86</v>
      </c>
      <c r="D1753" s="224" t="s">
        <v>9</v>
      </c>
      <c r="E1753" s="224" t="s">
        <v>256</v>
      </c>
      <c r="F1753" s="224" t="s">
        <v>111</v>
      </c>
      <c r="G1753" s="223" t="str">
        <f>VLOOKUP($B1753,'FRS geographical categories'!$A$2:$C$45,2,FALSE)</f>
        <v>Significantly Rural</v>
      </c>
      <c r="H1753" s="223" t="str">
        <f>VLOOKUP($B1753,'FRS geographical categories'!$A$2:$C$45,3,FALSE)</f>
        <v>Non-metropolitan</v>
      </c>
      <c r="I1753" s="224">
        <v>5178</v>
      </c>
    </row>
    <row r="1754" spans="1:9" ht="15.5" x14ac:dyDescent="0.35">
      <c r="A1754" s="224" t="s">
        <v>56</v>
      </c>
      <c r="B1754" s="224" t="s">
        <v>24</v>
      </c>
      <c r="C1754" s="224" t="s">
        <v>86</v>
      </c>
      <c r="D1754" s="224" t="s">
        <v>9</v>
      </c>
      <c r="E1754" s="224" t="s">
        <v>256</v>
      </c>
      <c r="F1754" s="224" t="s">
        <v>10</v>
      </c>
      <c r="G1754" s="223" t="str">
        <f>VLOOKUP($B1754,'FRS geographical categories'!$A$2:$C$45,2,FALSE)</f>
        <v>Significantly Rural</v>
      </c>
      <c r="H1754" s="223" t="str">
        <f>VLOOKUP($B1754,'FRS geographical categories'!$A$2:$C$45,3,FALSE)</f>
        <v>Non-metropolitan</v>
      </c>
      <c r="I1754" s="224">
        <v>6890</v>
      </c>
    </row>
    <row r="1755" spans="1:9" ht="15.5" x14ac:dyDescent="0.35">
      <c r="A1755" s="224" t="s">
        <v>56</v>
      </c>
      <c r="B1755" s="224" t="s">
        <v>24</v>
      </c>
      <c r="C1755" s="224" t="s">
        <v>86</v>
      </c>
      <c r="D1755" s="224" t="s">
        <v>55</v>
      </c>
      <c r="E1755" s="224" t="s">
        <v>256</v>
      </c>
      <c r="F1755" s="224" t="s">
        <v>248</v>
      </c>
      <c r="G1755" s="223" t="str">
        <f>VLOOKUP($B1755,'FRS geographical categories'!$A$2:$C$45,2,FALSE)</f>
        <v>Significantly Rural</v>
      </c>
      <c r="H1755" s="223" t="str">
        <f>VLOOKUP($B1755,'FRS geographical categories'!$A$2:$C$45,3,FALSE)</f>
        <v>Non-metropolitan</v>
      </c>
      <c r="I1755" s="224">
        <v>4</v>
      </c>
    </row>
    <row r="1756" spans="1:9" ht="15.5" x14ac:dyDescent="0.35">
      <c r="A1756" s="224" t="s">
        <v>56</v>
      </c>
      <c r="B1756" s="224" t="s">
        <v>24</v>
      </c>
      <c r="C1756" s="224" t="s">
        <v>86</v>
      </c>
      <c r="D1756" s="224" t="s">
        <v>55</v>
      </c>
      <c r="E1756" s="224" t="s">
        <v>256</v>
      </c>
      <c r="F1756" s="224" t="s">
        <v>249</v>
      </c>
      <c r="G1756" s="223" t="str">
        <f>VLOOKUP($B1756,'FRS geographical categories'!$A$2:$C$45,2,FALSE)</f>
        <v>Significantly Rural</v>
      </c>
      <c r="H1756" s="223" t="str">
        <f>VLOOKUP($B1756,'FRS geographical categories'!$A$2:$C$45,3,FALSE)</f>
        <v>Non-metropolitan</v>
      </c>
      <c r="I1756" s="224">
        <v>5</v>
      </c>
    </row>
    <row r="1757" spans="1:9" ht="15.5" x14ac:dyDescent="0.35">
      <c r="A1757" s="224" t="s">
        <v>56</v>
      </c>
      <c r="B1757" s="224" t="s">
        <v>24</v>
      </c>
      <c r="C1757" s="224" t="s">
        <v>86</v>
      </c>
      <c r="D1757" s="224" t="s">
        <v>55</v>
      </c>
      <c r="E1757" s="224" t="s">
        <v>256</v>
      </c>
      <c r="F1757" s="224" t="s">
        <v>250</v>
      </c>
      <c r="G1757" s="223" t="str">
        <f>VLOOKUP($B1757,'FRS geographical categories'!$A$2:$C$45,2,FALSE)</f>
        <v>Significantly Rural</v>
      </c>
      <c r="H1757" s="223" t="str">
        <f>VLOOKUP($B1757,'FRS geographical categories'!$A$2:$C$45,3,FALSE)</f>
        <v>Non-metropolitan</v>
      </c>
      <c r="I1757" s="224">
        <v>3</v>
      </c>
    </row>
    <row r="1758" spans="1:9" ht="15.5" x14ac:dyDescent="0.35">
      <c r="A1758" s="224" t="s">
        <v>56</v>
      </c>
      <c r="B1758" s="224" t="s">
        <v>24</v>
      </c>
      <c r="C1758" s="224" t="s">
        <v>86</v>
      </c>
      <c r="D1758" s="224" t="s">
        <v>55</v>
      </c>
      <c r="E1758" s="224" t="s">
        <v>256</v>
      </c>
      <c r="F1758" s="224" t="s">
        <v>111</v>
      </c>
      <c r="G1758" s="223" t="str">
        <f>VLOOKUP($B1758,'FRS geographical categories'!$A$2:$C$45,2,FALSE)</f>
        <v>Significantly Rural</v>
      </c>
      <c r="H1758" s="223" t="str">
        <f>VLOOKUP($B1758,'FRS geographical categories'!$A$2:$C$45,3,FALSE)</f>
        <v>Non-metropolitan</v>
      </c>
      <c r="I1758" s="224">
        <v>21</v>
      </c>
    </row>
    <row r="1759" spans="1:9" ht="15.5" x14ac:dyDescent="0.35">
      <c r="A1759" s="224" t="s">
        <v>56</v>
      </c>
      <c r="B1759" s="224" t="s">
        <v>24</v>
      </c>
      <c r="C1759" s="224" t="s">
        <v>86</v>
      </c>
      <c r="D1759" s="224" t="s">
        <v>55</v>
      </c>
      <c r="E1759" s="224" t="s">
        <v>256</v>
      </c>
      <c r="F1759" s="224" t="s">
        <v>10</v>
      </c>
      <c r="G1759" s="223" t="str">
        <f>VLOOKUP($B1759,'FRS geographical categories'!$A$2:$C$45,2,FALSE)</f>
        <v>Significantly Rural</v>
      </c>
      <c r="H1759" s="223" t="str">
        <f>VLOOKUP($B1759,'FRS geographical categories'!$A$2:$C$45,3,FALSE)</f>
        <v>Non-metropolitan</v>
      </c>
      <c r="I1759" s="224">
        <v>42</v>
      </c>
    </row>
    <row r="1760" spans="1:9" ht="15.5" x14ac:dyDescent="0.35">
      <c r="A1760" s="224" t="s">
        <v>56</v>
      </c>
      <c r="B1760" s="224" t="s">
        <v>24</v>
      </c>
      <c r="C1760" s="224" t="s">
        <v>89</v>
      </c>
      <c r="D1760" s="224" t="s">
        <v>9</v>
      </c>
      <c r="E1760" s="224" t="s">
        <v>256</v>
      </c>
      <c r="F1760" s="224" t="s">
        <v>248</v>
      </c>
      <c r="G1760" s="223" t="str">
        <f>VLOOKUP($B1760,'FRS geographical categories'!$A$2:$C$45,2,FALSE)</f>
        <v>Significantly Rural</v>
      </c>
      <c r="H1760" s="223" t="str">
        <f>VLOOKUP($B1760,'FRS geographical categories'!$A$2:$C$45,3,FALSE)</f>
        <v>Non-metropolitan</v>
      </c>
      <c r="I1760" s="224">
        <v>0</v>
      </c>
    </row>
    <row r="1761" spans="1:9" ht="15.5" x14ac:dyDescent="0.35">
      <c r="A1761" s="224" t="s">
        <v>56</v>
      </c>
      <c r="B1761" s="224" t="s">
        <v>24</v>
      </c>
      <c r="C1761" s="224" t="s">
        <v>89</v>
      </c>
      <c r="D1761" s="224" t="s">
        <v>9</v>
      </c>
      <c r="E1761" s="224" t="s">
        <v>256</v>
      </c>
      <c r="F1761" s="224" t="s">
        <v>249</v>
      </c>
      <c r="G1761" s="223" t="str">
        <f>VLOOKUP($B1761,'FRS geographical categories'!$A$2:$C$45,2,FALSE)</f>
        <v>Significantly Rural</v>
      </c>
      <c r="H1761" s="223" t="str">
        <f>VLOOKUP($B1761,'FRS geographical categories'!$A$2:$C$45,3,FALSE)</f>
        <v>Non-metropolitan</v>
      </c>
      <c r="I1761" s="224">
        <v>0</v>
      </c>
    </row>
    <row r="1762" spans="1:9" ht="15.5" x14ac:dyDescent="0.35">
      <c r="A1762" s="224" t="s">
        <v>56</v>
      </c>
      <c r="B1762" s="224" t="s">
        <v>24</v>
      </c>
      <c r="C1762" s="224" t="s">
        <v>89</v>
      </c>
      <c r="D1762" s="224" t="s">
        <v>9</v>
      </c>
      <c r="E1762" s="224" t="s">
        <v>256</v>
      </c>
      <c r="F1762" s="224" t="s">
        <v>250</v>
      </c>
      <c r="G1762" s="223" t="str">
        <f>VLOOKUP($B1762,'FRS geographical categories'!$A$2:$C$45,2,FALSE)</f>
        <v>Significantly Rural</v>
      </c>
      <c r="H1762" s="223" t="str">
        <f>VLOOKUP($B1762,'FRS geographical categories'!$A$2:$C$45,3,FALSE)</f>
        <v>Non-metropolitan</v>
      </c>
      <c r="I1762" s="224">
        <v>0</v>
      </c>
    </row>
    <row r="1763" spans="1:9" ht="15.5" x14ac:dyDescent="0.35">
      <c r="A1763" s="224" t="s">
        <v>56</v>
      </c>
      <c r="B1763" s="224" t="s">
        <v>24</v>
      </c>
      <c r="C1763" s="224" t="s">
        <v>89</v>
      </c>
      <c r="D1763" s="224" t="s">
        <v>9</v>
      </c>
      <c r="E1763" s="224" t="s">
        <v>256</v>
      </c>
      <c r="F1763" s="224" t="s">
        <v>10</v>
      </c>
      <c r="G1763" s="223" t="str">
        <f>VLOOKUP($B1763,'FRS geographical categories'!$A$2:$C$45,2,FALSE)</f>
        <v>Significantly Rural</v>
      </c>
      <c r="H1763" s="223" t="str">
        <f>VLOOKUP($B1763,'FRS geographical categories'!$A$2:$C$45,3,FALSE)</f>
        <v>Non-metropolitan</v>
      </c>
      <c r="I1763" s="224">
        <v>0</v>
      </c>
    </row>
    <row r="1764" spans="1:9" ht="15.5" x14ac:dyDescent="0.35">
      <c r="A1764" s="224" t="s">
        <v>56</v>
      </c>
      <c r="B1764" s="224" t="s">
        <v>24</v>
      </c>
      <c r="C1764" s="224" t="s">
        <v>89</v>
      </c>
      <c r="D1764" s="224" t="s">
        <v>55</v>
      </c>
      <c r="E1764" s="224" t="s">
        <v>256</v>
      </c>
      <c r="F1764" s="224" t="s">
        <v>248</v>
      </c>
      <c r="G1764" s="223" t="str">
        <f>VLOOKUP($B1764,'FRS geographical categories'!$A$2:$C$45,2,FALSE)</f>
        <v>Significantly Rural</v>
      </c>
      <c r="H1764" s="223" t="str">
        <f>VLOOKUP($B1764,'FRS geographical categories'!$A$2:$C$45,3,FALSE)</f>
        <v>Non-metropolitan</v>
      </c>
      <c r="I1764" s="224">
        <v>0</v>
      </c>
    </row>
    <row r="1765" spans="1:9" ht="15.5" x14ac:dyDescent="0.35">
      <c r="A1765" s="224" t="s">
        <v>56</v>
      </c>
      <c r="B1765" s="224" t="s">
        <v>24</v>
      </c>
      <c r="C1765" s="224" t="s">
        <v>89</v>
      </c>
      <c r="D1765" s="224" t="s">
        <v>55</v>
      </c>
      <c r="E1765" s="224" t="s">
        <v>256</v>
      </c>
      <c r="F1765" s="224" t="s">
        <v>249</v>
      </c>
      <c r="G1765" s="223" t="str">
        <f>VLOOKUP($B1765,'FRS geographical categories'!$A$2:$C$45,2,FALSE)</f>
        <v>Significantly Rural</v>
      </c>
      <c r="H1765" s="223" t="str">
        <f>VLOOKUP($B1765,'FRS geographical categories'!$A$2:$C$45,3,FALSE)</f>
        <v>Non-metropolitan</v>
      </c>
      <c r="I1765" s="224">
        <v>0</v>
      </c>
    </row>
    <row r="1766" spans="1:9" ht="15.5" x14ac:dyDescent="0.35">
      <c r="A1766" s="224" t="s">
        <v>56</v>
      </c>
      <c r="B1766" s="224" t="s">
        <v>24</v>
      </c>
      <c r="C1766" s="224" t="s">
        <v>89</v>
      </c>
      <c r="D1766" s="224" t="s">
        <v>55</v>
      </c>
      <c r="E1766" s="224" t="s">
        <v>256</v>
      </c>
      <c r="F1766" s="224" t="s">
        <v>250</v>
      </c>
      <c r="G1766" s="223" t="str">
        <f>VLOOKUP($B1766,'FRS geographical categories'!$A$2:$C$45,2,FALSE)</f>
        <v>Significantly Rural</v>
      </c>
      <c r="H1766" s="223" t="str">
        <f>VLOOKUP($B1766,'FRS geographical categories'!$A$2:$C$45,3,FALSE)</f>
        <v>Non-metropolitan</v>
      </c>
      <c r="I1766" s="224">
        <v>0</v>
      </c>
    </row>
    <row r="1767" spans="1:9" ht="15.5" x14ac:dyDescent="0.35">
      <c r="A1767" s="224" t="s">
        <v>56</v>
      </c>
      <c r="B1767" s="224" t="s">
        <v>24</v>
      </c>
      <c r="C1767" s="224" t="s">
        <v>89</v>
      </c>
      <c r="D1767" s="224" t="s">
        <v>55</v>
      </c>
      <c r="E1767" s="224" t="s">
        <v>256</v>
      </c>
      <c r="F1767" s="224" t="s">
        <v>10</v>
      </c>
      <c r="G1767" s="223" t="str">
        <f>VLOOKUP($B1767,'FRS geographical categories'!$A$2:$C$45,2,FALSE)</f>
        <v>Significantly Rural</v>
      </c>
      <c r="H1767" s="223" t="str">
        <f>VLOOKUP($B1767,'FRS geographical categories'!$A$2:$C$45,3,FALSE)</f>
        <v>Non-metropolitan</v>
      </c>
      <c r="I1767" s="224">
        <v>0</v>
      </c>
    </row>
    <row r="1768" spans="1:9" ht="15.5" x14ac:dyDescent="0.35">
      <c r="A1768" s="224" t="s">
        <v>56</v>
      </c>
      <c r="B1768" s="224" t="s">
        <v>25</v>
      </c>
      <c r="C1768" s="224" t="s">
        <v>86</v>
      </c>
      <c r="D1768" s="224" t="s">
        <v>9</v>
      </c>
      <c r="E1768" s="224" t="s">
        <v>256</v>
      </c>
      <c r="F1768" s="224" t="s">
        <v>248</v>
      </c>
      <c r="G1768" s="223" t="str">
        <f>VLOOKUP($B1768,'FRS geographical categories'!$A$2:$C$45,2,FALSE)</f>
        <v>Significantly Rural</v>
      </c>
      <c r="H1768" s="223" t="str">
        <f>VLOOKUP($B1768,'FRS geographical categories'!$A$2:$C$45,3,FALSE)</f>
        <v>Non-metropolitan</v>
      </c>
      <c r="I1768" s="224">
        <v>404</v>
      </c>
    </row>
    <row r="1769" spans="1:9" ht="15.5" x14ac:dyDescent="0.35">
      <c r="A1769" s="224" t="s">
        <v>56</v>
      </c>
      <c r="B1769" s="224" t="s">
        <v>25</v>
      </c>
      <c r="C1769" s="224" t="s">
        <v>86</v>
      </c>
      <c r="D1769" s="224" t="s">
        <v>9</v>
      </c>
      <c r="E1769" s="224" t="s">
        <v>256</v>
      </c>
      <c r="F1769" s="224" t="s">
        <v>249</v>
      </c>
      <c r="G1769" s="223" t="str">
        <f>VLOOKUP($B1769,'FRS geographical categories'!$A$2:$C$45,2,FALSE)</f>
        <v>Significantly Rural</v>
      </c>
      <c r="H1769" s="223" t="str">
        <f>VLOOKUP($B1769,'FRS geographical categories'!$A$2:$C$45,3,FALSE)</f>
        <v>Non-metropolitan</v>
      </c>
      <c r="I1769" s="224">
        <v>1641</v>
      </c>
    </row>
    <row r="1770" spans="1:9" ht="15.5" x14ac:dyDescent="0.35">
      <c r="A1770" s="224" t="s">
        <v>56</v>
      </c>
      <c r="B1770" s="224" t="s">
        <v>25</v>
      </c>
      <c r="C1770" s="224" t="s">
        <v>86</v>
      </c>
      <c r="D1770" s="224" t="s">
        <v>9</v>
      </c>
      <c r="E1770" s="224" t="s">
        <v>256</v>
      </c>
      <c r="F1770" s="224" t="s">
        <v>250</v>
      </c>
      <c r="G1770" s="223" t="str">
        <f>VLOOKUP($B1770,'FRS geographical categories'!$A$2:$C$45,2,FALSE)</f>
        <v>Significantly Rural</v>
      </c>
      <c r="H1770" s="223" t="str">
        <f>VLOOKUP($B1770,'FRS geographical categories'!$A$2:$C$45,3,FALSE)</f>
        <v>Non-metropolitan</v>
      </c>
      <c r="I1770" s="224">
        <v>558</v>
      </c>
    </row>
    <row r="1771" spans="1:9" ht="15.5" x14ac:dyDescent="0.35">
      <c r="A1771" s="224" t="s">
        <v>56</v>
      </c>
      <c r="B1771" s="224" t="s">
        <v>25</v>
      </c>
      <c r="C1771" s="224" t="s">
        <v>86</v>
      </c>
      <c r="D1771" s="224" t="s">
        <v>9</v>
      </c>
      <c r="E1771" s="224" t="s">
        <v>256</v>
      </c>
      <c r="F1771" s="224" t="s">
        <v>111</v>
      </c>
      <c r="G1771" s="223" t="str">
        <f>VLOOKUP($B1771,'FRS geographical categories'!$A$2:$C$45,2,FALSE)</f>
        <v>Significantly Rural</v>
      </c>
      <c r="H1771" s="223" t="str">
        <f>VLOOKUP($B1771,'FRS geographical categories'!$A$2:$C$45,3,FALSE)</f>
        <v>Non-metropolitan</v>
      </c>
      <c r="I1771" s="224">
        <v>2868</v>
      </c>
    </row>
    <row r="1772" spans="1:9" ht="15.5" x14ac:dyDescent="0.35">
      <c r="A1772" s="224" t="s">
        <v>56</v>
      </c>
      <c r="B1772" s="224" t="s">
        <v>25</v>
      </c>
      <c r="C1772" s="224" t="s">
        <v>86</v>
      </c>
      <c r="D1772" s="224" t="s">
        <v>9</v>
      </c>
      <c r="E1772" s="224" t="s">
        <v>256</v>
      </c>
      <c r="F1772" s="224" t="s">
        <v>10</v>
      </c>
      <c r="G1772" s="223" t="str">
        <f>VLOOKUP($B1772,'FRS geographical categories'!$A$2:$C$45,2,FALSE)</f>
        <v>Significantly Rural</v>
      </c>
      <c r="H1772" s="223" t="str">
        <f>VLOOKUP($B1772,'FRS geographical categories'!$A$2:$C$45,3,FALSE)</f>
        <v>Non-metropolitan</v>
      </c>
      <c r="I1772" s="224">
        <v>3233</v>
      </c>
    </row>
    <row r="1773" spans="1:9" ht="15.5" x14ac:dyDescent="0.35">
      <c r="A1773" s="224" t="s">
        <v>56</v>
      </c>
      <c r="B1773" s="224" t="s">
        <v>25</v>
      </c>
      <c r="C1773" s="224" t="s">
        <v>86</v>
      </c>
      <c r="D1773" s="224" t="s">
        <v>55</v>
      </c>
      <c r="E1773" s="224" t="s">
        <v>256</v>
      </c>
      <c r="F1773" s="224" t="s">
        <v>248</v>
      </c>
      <c r="G1773" s="223" t="str">
        <f>VLOOKUP($B1773,'FRS geographical categories'!$A$2:$C$45,2,FALSE)</f>
        <v>Significantly Rural</v>
      </c>
      <c r="H1773" s="223" t="str">
        <f>VLOOKUP($B1773,'FRS geographical categories'!$A$2:$C$45,3,FALSE)</f>
        <v>Non-metropolitan</v>
      </c>
      <c r="I1773" s="224">
        <v>0</v>
      </c>
    </row>
    <row r="1774" spans="1:9" ht="15.5" x14ac:dyDescent="0.35">
      <c r="A1774" s="224" t="s">
        <v>56</v>
      </c>
      <c r="B1774" s="224" t="s">
        <v>25</v>
      </c>
      <c r="C1774" s="224" t="s">
        <v>86</v>
      </c>
      <c r="D1774" s="224" t="s">
        <v>55</v>
      </c>
      <c r="E1774" s="224" t="s">
        <v>256</v>
      </c>
      <c r="F1774" s="224" t="s">
        <v>249</v>
      </c>
      <c r="G1774" s="223" t="str">
        <f>VLOOKUP($B1774,'FRS geographical categories'!$A$2:$C$45,2,FALSE)</f>
        <v>Significantly Rural</v>
      </c>
      <c r="H1774" s="223" t="str">
        <f>VLOOKUP($B1774,'FRS geographical categories'!$A$2:$C$45,3,FALSE)</f>
        <v>Non-metropolitan</v>
      </c>
      <c r="I1774" s="224">
        <v>10</v>
      </c>
    </row>
    <row r="1775" spans="1:9" ht="15.5" x14ac:dyDescent="0.35">
      <c r="A1775" s="224" t="s">
        <v>56</v>
      </c>
      <c r="B1775" s="224" t="s">
        <v>25</v>
      </c>
      <c r="C1775" s="224" t="s">
        <v>86</v>
      </c>
      <c r="D1775" s="224" t="s">
        <v>55</v>
      </c>
      <c r="E1775" s="224" t="s">
        <v>256</v>
      </c>
      <c r="F1775" s="224" t="s">
        <v>250</v>
      </c>
      <c r="G1775" s="223" t="str">
        <f>VLOOKUP($B1775,'FRS geographical categories'!$A$2:$C$45,2,FALSE)</f>
        <v>Significantly Rural</v>
      </c>
      <c r="H1775" s="223" t="str">
        <f>VLOOKUP($B1775,'FRS geographical categories'!$A$2:$C$45,3,FALSE)</f>
        <v>Non-metropolitan</v>
      </c>
      <c r="I1775" s="224">
        <v>0</v>
      </c>
    </row>
    <row r="1776" spans="1:9" ht="15.5" x14ac:dyDescent="0.35">
      <c r="A1776" s="224" t="s">
        <v>56</v>
      </c>
      <c r="B1776" s="224" t="s">
        <v>25</v>
      </c>
      <c r="C1776" s="224" t="s">
        <v>86</v>
      </c>
      <c r="D1776" s="224" t="s">
        <v>55</v>
      </c>
      <c r="E1776" s="224" t="s">
        <v>256</v>
      </c>
      <c r="F1776" s="224" t="s">
        <v>111</v>
      </c>
      <c r="G1776" s="223" t="str">
        <f>VLOOKUP($B1776,'FRS geographical categories'!$A$2:$C$45,2,FALSE)</f>
        <v>Significantly Rural</v>
      </c>
      <c r="H1776" s="223" t="str">
        <f>VLOOKUP($B1776,'FRS geographical categories'!$A$2:$C$45,3,FALSE)</f>
        <v>Non-metropolitan</v>
      </c>
      <c r="I1776" s="224">
        <v>10</v>
      </c>
    </row>
    <row r="1777" spans="1:9" ht="15.5" x14ac:dyDescent="0.35">
      <c r="A1777" s="224" t="s">
        <v>56</v>
      </c>
      <c r="B1777" s="224" t="s">
        <v>25</v>
      </c>
      <c r="C1777" s="224" t="s">
        <v>86</v>
      </c>
      <c r="D1777" s="224" t="s">
        <v>55</v>
      </c>
      <c r="E1777" s="224" t="s">
        <v>256</v>
      </c>
      <c r="F1777" s="224" t="s">
        <v>10</v>
      </c>
      <c r="G1777" s="223" t="str">
        <f>VLOOKUP($B1777,'FRS geographical categories'!$A$2:$C$45,2,FALSE)</f>
        <v>Significantly Rural</v>
      </c>
      <c r="H1777" s="223" t="str">
        <f>VLOOKUP($B1777,'FRS geographical categories'!$A$2:$C$45,3,FALSE)</f>
        <v>Non-metropolitan</v>
      </c>
      <c r="I1777" s="224">
        <v>12</v>
      </c>
    </row>
    <row r="1778" spans="1:9" ht="15.5" x14ac:dyDescent="0.35">
      <c r="A1778" s="224" t="s">
        <v>56</v>
      </c>
      <c r="B1778" s="224" t="s">
        <v>25</v>
      </c>
      <c r="C1778" s="224" t="s">
        <v>89</v>
      </c>
      <c r="D1778" s="224" t="s">
        <v>9</v>
      </c>
      <c r="E1778" s="224" t="s">
        <v>256</v>
      </c>
      <c r="F1778" s="224" t="s">
        <v>248</v>
      </c>
      <c r="G1778" s="223" t="str">
        <f>VLOOKUP($B1778,'FRS geographical categories'!$A$2:$C$45,2,FALSE)</f>
        <v>Significantly Rural</v>
      </c>
      <c r="H1778" s="223" t="str">
        <f>VLOOKUP($B1778,'FRS geographical categories'!$A$2:$C$45,3,FALSE)</f>
        <v>Non-metropolitan</v>
      </c>
      <c r="I1778" s="224">
        <v>0</v>
      </c>
    </row>
    <row r="1779" spans="1:9" ht="15.5" x14ac:dyDescent="0.35">
      <c r="A1779" s="224" t="s">
        <v>56</v>
      </c>
      <c r="B1779" s="224" t="s">
        <v>25</v>
      </c>
      <c r="C1779" s="224" t="s">
        <v>89</v>
      </c>
      <c r="D1779" s="224" t="s">
        <v>9</v>
      </c>
      <c r="E1779" s="224" t="s">
        <v>256</v>
      </c>
      <c r="F1779" s="224" t="s">
        <v>249</v>
      </c>
      <c r="G1779" s="223" t="str">
        <f>VLOOKUP($B1779,'FRS geographical categories'!$A$2:$C$45,2,FALSE)</f>
        <v>Significantly Rural</v>
      </c>
      <c r="H1779" s="223" t="str">
        <f>VLOOKUP($B1779,'FRS geographical categories'!$A$2:$C$45,3,FALSE)</f>
        <v>Non-metropolitan</v>
      </c>
      <c r="I1779" s="224">
        <v>0</v>
      </c>
    </row>
    <row r="1780" spans="1:9" ht="15.5" x14ac:dyDescent="0.35">
      <c r="A1780" s="224" t="s">
        <v>56</v>
      </c>
      <c r="B1780" s="224" t="s">
        <v>25</v>
      </c>
      <c r="C1780" s="224" t="s">
        <v>89</v>
      </c>
      <c r="D1780" s="224" t="s">
        <v>9</v>
      </c>
      <c r="E1780" s="224" t="s">
        <v>256</v>
      </c>
      <c r="F1780" s="224" t="s">
        <v>250</v>
      </c>
      <c r="G1780" s="223" t="str">
        <f>VLOOKUP($B1780,'FRS geographical categories'!$A$2:$C$45,2,FALSE)</f>
        <v>Significantly Rural</v>
      </c>
      <c r="H1780" s="223" t="str">
        <f>VLOOKUP($B1780,'FRS geographical categories'!$A$2:$C$45,3,FALSE)</f>
        <v>Non-metropolitan</v>
      </c>
      <c r="I1780" s="224">
        <v>0</v>
      </c>
    </row>
    <row r="1781" spans="1:9" ht="15.5" x14ac:dyDescent="0.35">
      <c r="A1781" s="224" t="s">
        <v>56</v>
      </c>
      <c r="B1781" s="224" t="s">
        <v>25</v>
      </c>
      <c r="C1781" s="224" t="s">
        <v>89</v>
      </c>
      <c r="D1781" s="224" t="s">
        <v>9</v>
      </c>
      <c r="E1781" s="224" t="s">
        <v>256</v>
      </c>
      <c r="F1781" s="224" t="s">
        <v>10</v>
      </c>
      <c r="G1781" s="223" t="str">
        <f>VLOOKUP($B1781,'FRS geographical categories'!$A$2:$C$45,2,FALSE)</f>
        <v>Significantly Rural</v>
      </c>
      <c r="H1781" s="223" t="str">
        <f>VLOOKUP($B1781,'FRS geographical categories'!$A$2:$C$45,3,FALSE)</f>
        <v>Non-metropolitan</v>
      </c>
      <c r="I1781" s="224">
        <v>0</v>
      </c>
    </row>
    <row r="1782" spans="1:9" ht="15.5" x14ac:dyDescent="0.35">
      <c r="A1782" s="224" t="s">
        <v>56</v>
      </c>
      <c r="B1782" s="224" t="s">
        <v>25</v>
      </c>
      <c r="C1782" s="224" t="s">
        <v>89</v>
      </c>
      <c r="D1782" s="224" t="s">
        <v>55</v>
      </c>
      <c r="E1782" s="224" t="s">
        <v>256</v>
      </c>
      <c r="F1782" s="224" t="s">
        <v>248</v>
      </c>
      <c r="G1782" s="223" t="str">
        <f>VLOOKUP($B1782,'FRS geographical categories'!$A$2:$C$45,2,FALSE)</f>
        <v>Significantly Rural</v>
      </c>
      <c r="H1782" s="223" t="str">
        <f>VLOOKUP($B1782,'FRS geographical categories'!$A$2:$C$45,3,FALSE)</f>
        <v>Non-metropolitan</v>
      </c>
      <c r="I1782" s="224">
        <v>0</v>
      </c>
    </row>
    <row r="1783" spans="1:9" ht="15.5" x14ac:dyDescent="0.35">
      <c r="A1783" s="224" t="s">
        <v>56</v>
      </c>
      <c r="B1783" s="224" t="s">
        <v>25</v>
      </c>
      <c r="C1783" s="224" t="s">
        <v>89</v>
      </c>
      <c r="D1783" s="224" t="s">
        <v>55</v>
      </c>
      <c r="E1783" s="224" t="s">
        <v>256</v>
      </c>
      <c r="F1783" s="224" t="s">
        <v>249</v>
      </c>
      <c r="G1783" s="223" t="str">
        <f>VLOOKUP($B1783,'FRS geographical categories'!$A$2:$C$45,2,FALSE)</f>
        <v>Significantly Rural</v>
      </c>
      <c r="H1783" s="223" t="str">
        <f>VLOOKUP($B1783,'FRS geographical categories'!$A$2:$C$45,3,FALSE)</f>
        <v>Non-metropolitan</v>
      </c>
      <c r="I1783" s="224">
        <v>0</v>
      </c>
    </row>
    <row r="1784" spans="1:9" ht="15.5" x14ac:dyDescent="0.35">
      <c r="A1784" s="224" t="s">
        <v>56</v>
      </c>
      <c r="B1784" s="224" t="s">
        <v>25</v>
      </c>
      <c r="C1784" s="224" t="s">
        <v>89</v>
      </c>
      <c r="D1784" s="224" t="s">
        <v>55</v>
      </c>
      <c r="E1784" s="224" t="s">
        <v>256</v>
      </c>
      <c r="F1784" s="224" t="s">
        <v>250</v>
      </c>
      <c r="G1784" s="223" t="str">
        <f>VLOOKUP($B1784,'FRS geographical categories'!$A$2:$C$45,2,FALSE)</f>
        <v>Significantly Rural</v>
      </c>
      <c r="H1784" s="223" t="str">
        <f>VLOOKUP($B1784,'FRS geographical categories'!$A$2:$C$45,3,FALSE)</f>
        <v>Non-metropolitan</v>
      </c>
      <c r="I1784" s="224">
        <v>0</v>
      </c>
    </row>
    <row r="1785" spans="1:9" ht="15.5" x14ac:dyDescent="0.35">
      <c r="A1785" s="224" t="s">
        <v>56</v>
      </c>
      <c r="B1785" s="224" t="s">
        <v>25</v>
      </c>
      <c r="C1785" s="224" t="s">
        <v>89</v>
      </c>
      <c r="D1785" s="224" t="s">
        <v>55</v>
      </c>
      <c r="E1785" s="224" t="s">
        <v>256</v>
      </c>
      <c r="F1785" s="224" t="s">
        <v>10</v>
      </c>
      <c r="G1785" s="223" t="str">
        <f>VLOOKUP($B1785,'FRS geographical categories'!$A$2:$C$45,2,FALSE)</f>
        <v>Significantly Rural</v>
      </c>
      <c r="H1785" s="223" t="str">
        <f>VLOOKUP($B1785,'FRS geographical categories'!$A$2:$C$45,3,FALSE)</f>
        <v>Non-metropolitan</v>
      </c>
      <c r="I1785" s="224">
        <v>0</v>
      </c>
    </row>
    <row r="1786" spans="1:9" ht="15.5" x14ac:dyDescent="0.35">
      <c r="A1786" s="224" t="s">
        <v>56</v>
      </c>
      <c r="B1786" s="224" t="s">
        <v>26</v>
      </c>
      <c r="C1786" s="224" t="s">
        <v>86</v>
      </c>
      <c r="D1786" s="224" t="s">
        <v>9</v>
      </c>
      <c r="E1786" s="224" t="s">
        <v>256</v>
      </c>
      <c r="F1786" s="224" t="s">
        <v>248</v>
      </c>
      <c r="G1786" s="223" t="str">
        <f>VLOOKUP($B1786,'FRS geographical categories'!$A$2:$C$45,2,FALSE)</f>
        <v>Predominantly Urban</v>
      </c>
      <c r="H1786" s="223" t="str">
        <f>VLOOKUP($B1786,'FRS geographical categories'!$A$2:$C$45,3,FALSE)</f>
        <v>Metropolitan</v>
      </c>
      <c r="I1786" s="224">
        <v>3093</v>
      </c>
    </row>
    <row r="1787" spans="1:9" ht="15.5" x14ac:dyDescent="0.35">
      <c r="A1787" s="224" t="s">
        <v>56</v>
      </c>
      <c r="B1787" s="224" t="s">
        <v>26</v>
      </c>
      <c r="C1787" s="224" t="s">
        <v>86</v>
      </c>
      <c r="D1787" s="224" t="s">
        <v>9</v>
      </c>
      <c r="E1787" s="224" t="s">
        <v>256</v>
      </c>
      <c r="F1787" s="224" t="s">
        <v>249</v>
      </c>
      <c r="G1787" s="223" t="str">
        <f>VLOOKUP($B1787,'FRS geographical categories'!$A$2:$C$45,2,FALSE)</f>
        <v>Predominantly Urban</v>
      </c>
      <c r="H1787" s="223" t="str">
        <f>VLOOKUP($B1787,'FRS geographical categories'!$A$2:$C$45,3,FALSE)</f>
        <v>Metropolitan</v>
      </c>
      <c r="I1787" s="224">
        <v>9656</v>
      </c>
    </row>
    <row r="1788" spans="1:9" ht="15.5" x14ac:dyDescent="0.35">
      <c r="A1788" s="224" t="s">
        <v>56</v>
      </c>
      <c r="B1788" s="224" t="s">
        <v>26</v>
      </c>
      <c r="C1788" s="224" t="s">
        <v>86</v>
      </c>
      <c r="D1788" s="224" t="s">
        <v>9</v>
      </c>
      <c r="E1788" s="224" t="s">
        <v>256</v>
      </c>
      <c r="F1788" s="224" t="s">
        <v>250</v>
      </c>
      <c r="G1788" s="223" t="str">
        <f>VLOOKUP($B1788,'FRS geographical categories'!$A$2:$C$45,2,FALSE)</f>
        <v>Predominantly Urban</v>
      </c>
      <c r="H1788" s="223" t="str">
        <f>VLOOKUP($B1788,'FRS geographical categories'!$A$2:$C$45,3,FALSE)</f>
        <v>Metropolitan</v>
      </c>
      <c r="I1788" s="224">
        <v>8428</v>
      </c>
    </row>
    <row r="1789" spans="1:9" ht="15.5" x14ac:dyDescent="0.35">
      <c r="A1789" s="224" t="s">
        <v>56</v>
      </c>
      <c r="B1789" s="224" t="s">
        <v>26</v>
      </c>
      <c r="C1789" s="224" t="s">
        <v>86</v>
      </c>
      <c r="D1789" s="224" t="s">
        <v>9</v>
      </c>
      <c r="E1789" s="224" t="s">
        <v>256</v>
      </c>
      <c r="F1789" s="224" t="s">
        <v>111</v>
      </c>
      <c r="G1789" s="223" t="str">
        <f>VLOOKUP($B1789,'FRS geographical categories'!$A$2:$C$45,2,FALSE)</f>
        <v>Predominantly Urban</v>
      </c>
      <c r="H1789" s="223" t="str">
        <f>VLOOKUP($B1789,'FRS geographical categories'!$A$2:$C$45,3,FALSE)</f>
        <v>Metropolitan</v>
      </c>
      <c r="I1789" s="224">
        <v>22796</v>
      </c>
    </row>
    <row r="1790" spans="1:9" ht="15.5" x14ac:dyDescent="0.35">
      <c r="A1790" s="224" t="s">
        <v>56</v>
      </c>
      <c r="B1790" s="224" t="s">
        <v>26</v>
      </c>
      <c r="C1790" s="224" t="s">
        <v>86</v>
      </c>
      <c r="D1790" s="224" t="s">
        <v>9</v>
      </c>
      <c r="E1790" s="224" t="s">
        <v>256</v>
      </c>
      <c r="F1790" s="224" t="s">
        <v>10</v>
      </c>
      <c r="G1790" s="223" t="str">
        <f>VLOOKUP($B1790,'FRS geographical categories'!$A$2:$C$45,2,FALSE)</f>
        <v>Predominantly Urban</v>
      </c>
      <c r="H1790" s="223" t="str">
        <f>VLOOKUP($B1790,'FRS geographical categories'!$A$2:$C$45,3,FALSE)</f>
        <v>Metropolitan</v>
      </c>
      <c r="I1790" s="224">
        <v>35161</v>
      </c>
    </row>
    <row r="1791" spans="1:9" ht="15.5" x14ac:dyDescent="0.35">
      <c r="A1791" s="224" t="s">
        <v>56</v>
      </c>
      <c r="B1791" s="224" t="s">
        <v>26</v>
      </c>
      <c r="C1791" s="224" t="s">
        <v>86</v>
      </c>
      <c r="D1791" s="224" t="s">
        <v>55</v>
      </c>
      <c r="E1791" s="224" t="s">
        <v>256</v>
      </c>
      <c r="F1791" s="224" t="s">
        <v>248</v>
      </c>
      <c r="G1791" s="223" t="str">
        <f>VLOOKUP($B1791,'FRS geographical categories'!$A$2:$C$45,2,FALSE)</f>
        <v>Predominantly Urban</v>
      </c>
      <c r="H1791" s="223" t="str">
        <f>VLOOKUP($B1791,'FRS geographical categories'!$A$2:$C$45,3,FALSE)</f>
        <v>Metropolitan</v>
      </c>
      <c r="I1791" s="224">
        <v>184</v>
      </c>
    </row>
    <row r="1792" spans="1:9" ht="15.5" x14ac:dyDescent="0.35">
      <c r="A1792" s="224" t="s">
        <v>56</v>
      </c>
      <c r="B1792" s="224" t="s">
        <v>26</v>
      </c>
      <c r="C1792" s="224" t="s">
        <v>86</v>
      </c>
      <c r="D1792" s="224" t="s">
        <v>55</v>
      </c>
      <c r="E1792" s="224" t="s">
        <v>256</v>
      </c>
      <c r="F1792" s="224" t="s">
        <v>249</v>
      </c>
      <c r="G1792" s="223" t="str">
        <f>VLOOKUP($B1792,'FRS geographical categories'!$A$2:$C$45,2,FALSE)</f>
        <v>Predominantly Urban</v>
      </c>
      <c r="H1792" s="223" t="str">
        <f>VLOOKUP($B1792,'FRS geographical categories'!$A$2:$C$45,3,FALSE)</f>
        <v>Metropolitan</v>
      </c>
      <c r="I1792" s="224">
        <v>849</v>
      </c>
    </row>
    <row r="1793" spans="1:9" ht="15.5" x14ac:dyDescent="0.35">
      <c r="A1793" s="224" t="s">
        <v>56</v>
      </c>
      <c r="B1793" s="224" t="s">
        <v>26</v>
      </c>
      <c r="C1793" s="224" t="s">
        <v>86</v>
      </c>
      <c r="D1793" s="224" t="s">
        <v>55</v>
      </c>
      <c r="E1793" s="224" t="s">
        <v>256</v>
      </c>
      <c r="F1793" s="224" t="s">
        <v>250</v>
      </c>
      <c r="G1793" s="223" t="str">
        <f>VLOOKUP($B1793,'FRS geographical categories'!$A$2:$C$45,2,FALSE)</f>
        <v>Predominantly Urban</v>
      </c>
      <c r="H1793" s="223" t="str">
        <f>VLOOKUP($B1793,'FRS geographical categories'!$A$2:$C$45,3,FALSE)</f>
        <v>Metropolitan</v>
      </c>
      <c r="I1793" s="224">
        <v>270</v>
      </c>
    </row>
    <row r="1794" spans="1:9" ht="15.5" x14ac:dyDescent="0.35">
      <c r="A1794" s="224" t="s">
        <v>56</v>
      </c>
      <c r="B1794" s="224" t="s">
        <v>26</v>
      </c>
      <c r="C1794" s="224" t="s">
        <v>86</v>
      </c>
      <c r="D1794" s="224" t="s">
        <v>55</v>
      </c>
      <c r="E1794" s="224" t="s">
        <v>256</v>
      </c>
      <c r="F1794" s="224" t="s">
        <v>111</v>
      </c>
      <c r="G1794" s="223" t="str">
        <f>VLOOKUP($B1794,'FRS geographical categories'!$A$2:$C$45,2,FALSE)</f>
        <v>Predominantly Urban</v>
      </c>
      <c r="H1794" s="223" t="str">
        <f>VLOOKUP($B1794,'FRS geographical categories'!$A$2:$C$45,3,FALSE)</f>
        <v>Metropolitan</v>
      </c>
      <c r="I1794" s="224">
        <v>1434</v>
      </c>
    </row>
    <row r="1795" spans="1:9" ht="15.5" x14ac:dyDescent="0.35">
      <c r="A1795" s="224" t="s">
        <v>56</v>
      </c>
      <c r="B1795" s="224" t="s">
        <v>26</v>
      </c>
      <c r="C1795" s="224" t="s">
        <v>86</v>
      </c>
      <c r="D1795" s="224" t="s">
        <v>55</v>
      </c>
      <c r="E1795" s="224" t="s">
        <v>256</v>
      </c>
      <c r="F1795" s="224" t="s">
        <v>10</v>
      </c>
      <c r="G1795" s="223" t="str">
        <f>VLOOKUP($B1795,'FRS geographical categories'!$A$2:$C$45,2,FALSE)</f>
        <v>Predominantly Urban</v>
      </c>
      <c r="H1795" s="223" t="str">
        <f>VLOOKUP($B1795,'FRS geographical categories'!$A$2:$C$45,3,FALSE)</f>
        <v>Metropolitan</v>
      </c>
      <c r="I1795" s="224">
        <v>1841</v>
      </c>
    </row>
    <row r="1796" spans="1:9" ht="15.5" x14ac:dyDescent="0.35">
      <c r="A1796" s="224" t="s">
        <v>56</v>
      </c>
      <c r="B1796" s="224" t="s">
        <v>26</v>
      </c>
      <c r="C1796" s="224" t="s">
        <v>89</v>
      </c>
      <c r="D1796" s="224" t="s">
        <v>9</v>
      </c>
      <c r="E1796" s="224" t="s">
        <v>256</v>
      </c>
      <c r="F1796" s="224" t="s">
        <v>248</v>
      </c>
      <c r="G1796" s="223" t="str">
        <f>VLOOKUP($B1796,'FRS geographical categories'!$A$2:$C$45,2,FALSE)</f>
        <v>Predominantly Urban</v>
      </c>
      <c r="H1796" s="223" t="str">
        <f>VLOOKUP($B1796,'FRS geographical categories'!$A$2:$C$45,3,FALSE)</f>
        <v>Metropolitan</v>
      </c>
      <c r="I1796" s="224">
        <v>11</v>
      </c>
    </row>
    <row r="1797" spans="1:9" ht="15.5" x14ac:dyDescent="0.35">
      <c r="A1797" s="224" t="s">
        <v>56</v>
      </c>
      <c r="B1797" s="224" t="s">
        <v>26</v>
      </c>
      <c r="C1797" s="224" t="s">
        <v>89</v>
      </c>
      <c r="D1797" s="224" t="s">
        <v>9</v>
      </c>
      <c r="E1797" s="224" t="s">
        <v>256</v>
      </c>
      <c r="F1797" s="224" t="s">
        <v>249</v>
      </c>
      <c r="G1797" s="223" t="str">
        <f>VLOOKUP($B1797,'FRS geographical categories'!$A$2:$C$45,2,FALSE)</f>
        <v>Predominantly Urban</v>
      </c>
      <c r="H1797" s="223" t="str">
        <f>VLOOKUP($B1797,'FRS geographical categories'!$A$2:$C$45,3,FALSE)</f>
        <v>Metropolitan</v>
      </c>
      <c r="I1797" s="224">
        <v>5</v>
      </c>
    </row>
    <row r="1798" spans="1:9" ht="15.5" x14ac:dyDescent="0.35">
      <c r="A1798" s="224" t="s">
        <v>56</v>
      </c>
      <c r="B1798" s="224" t="s">
        <v>26</v>
      </c>
      <c r="C1798" s="224" t="s">
        <v>89</v>
      </c>
      <c r="D1798" s="224" t="s">
        <v>9</v>
      </c>
      <c r="E1798" s="224" t="s">
        <v>256</v>
      </c>
      <c r="F1798" s="224" t="s">
        <v>250</v>
      </c>
      <c r="G1798" s="223" t="str">
        <f>VLOOKUP($B1798,'FRS geographical categories'!$A$2:$C$45,2,FALSE)</f>
        <v>Predominantly Urban</v>
      </c>
      <c r="H1798" s="223" t="str">
        <f>VLOOKUP($B1798,'FRS geographical categories'!$A$2:$C$45,3,FALSE)</f>
        <v>Metropolitan</v>
      </c>
      <c r="I1798" s="224">
        <v>6</v>
      </c>
    </row>
    <row r="1799" spans="1:9" ht="15.5" x14ac:dyDescent="0.35">
      <c r="A1799" s="224" t="s">
        <v>56</v>
      </c>
      <c r="B1799" s="224" t="s">
        <v>26</v>
      </c>
      <c r="C1799" s="224" t="s">
        <v>89</v>
      </c>
      <c r="D1799" s="224" t="s">
        <v>9</v>
      </c>
      <c r="E1799" s="224" t="s">
        <v>256</v>
      </c>
      <c r="F1799" s="224" t="s">
        <v>10</v>
      </c>
      <c r="G1799" s="223" t="str">
        <f>VLOOKUP($B1799,'FRS geographical categories'!$A$2:$C$45,2,FALSE)</f>
        <v>Predominantly Urban</v>
      </c>
      <c r="H1799" s="223" t="str">
        <f>VLOOKUP($B1799,'FRS geographical categories'!$A$2:$C$45,3,FALSE)</f>
        <v>Metropolitan</v>
      </c>
      <c r="I1799" s="224">
        <v>73</v>
      </c>
    </row>
    <row r="1800" spans="1:9" ht="15.5" x14ac:dyDescent="0.35">
      <c r="A1800" s="224" t="s">
        <v>56</v>
      </c>
      <c r="B1800" s="224" t="s">
        <v>26</v>
      </c>
      <c r="C1800" s="224" t="s">
        <v>89</v>
      </c>
      <c r="D1800" s="224" t="s">
        <v>55</v>
      </c>
      <c r="E1800" s="224" t="s">
        <v>256</v>
      </c>
      <c r="F1800" s="224" t="s">
        <v>248</v>
      </c>
      <c r="G1800" s="223" t="str">
        <f>VLOOKUP($B1800,'FRS geographical categories'!$A$2:$C$45,2,FALSE)</f>
        <v>Predominantly Urban</v>
      </c>
      <c r="H1800" s="223" t="str">
        <f>VLOOKUP($B1800,'FRS geographical categories'!$A$2:$C$45,3,FALSE)</f>
        <v>Metropolitan</v>
      </c>
      <c r="I1800" s="224">
        <v>0</v>
      </c>
    </row>
    <row r="1801" spans="1:9" ht="15.5" x14ac:dyDescent="0.35">
      <c r="A1801" s="224" t="s">
        <v>56</v>
      </c>
      <c r="B1801" s="224" t="s">
        <v>26</v>
      </c>
      <c r="C1801" s="224" t="s">
        <v>89</v>
      </c>
      <c r="D1801" s="224" t="s">
        <v>55</v>
      </c>
      <c r="E1801" s="224" t="s">
        <v>256</v>
      </c>
      <c r="F1801" s="224" t="s">
        <v>249</v>
      </c>
      <c r="G1801" s="223" t="str">
        <f>VLOOKUP($B1801,'FRS geographical categories'!$A$2:$C$45,2,FALSE)</f>
        <v>Predominantly Urban</v>
      </c>
      <c r="H1801" s="223" t="str">
        <f>VLOOKUP($B1801,'FRS geographical categories'!$A$2:$C$45,3,FALSE)</f>
        <v>Metropolitan</v>
      </c>
      <c r="I1801" s="224">
        <v>0</v>
      </c>
    </row>
    <row r="1802" spans="1:9" ht="15.5" x14ac:dyDescent="0.35">
      <c r="A1802" s="224" t="s">
        <v>56</v>
      </c>
      <c r="B1802" s="224" t="s">
        <v>26</v>
      </c>
      <c r="C1802" s="224" t="s">
        <v>89</v>
      </c>
      <c r="D1802" s="224" t="s">
        <v>55</v>
      </c>
      <c r="E1802" s="224" t="s">
        <v>256</v>
      </c>
      <c r="F1802" s="224" t="s">
        <v>250</v>
      </c>
      <c r="G1802" s="223" t="str">
        <f>VLOOKUP($B1802,'FRS geographical categories'!$A$2:$C$45,2,FALSE)</f>
        <v>Predominantly Urban</v>
      </c>
      <c r="H1802" s="223" t="str">
        <f>VLOOKUP($B1802,'FRS geographical categories'!$A$2:$C$45,3,FALSE)</f>
        <v>Metropolitan</v>
      </c>
      <c r="I1802" s="224">
        <v>0</v>
      </c>
    </row>
    <row r="1803" spans="1:9" ht="15.5" x14ac:dyDescent="0.35">
      <c r="A1803" s="224" t="s">
        <v>56</v>
      </c>
      <c r="B1803" s="224" t="s">
        <v>26</v>
      </c>
      <c r="C1803" s="224" t="s">
        <v>89</v>
      </c>
      <c r="D1803" s="224" t="s">
        <v>55</v>
      </c>
      <c r="E1803" s="224" t="s">
        <v>256</v>
      </c>
      <c r="F1803" s="224" t="s">
        <v>10</v>
      </c>
      <c r="G1803" s="223" t="str">
        <f>VLOOKUP($B1803,'FRS geographical categories'!$A$2:$C$45,2,FALSE)</f>
        <v>Predominantly Urban</v>
      </c>
      <c r="H1803" s="223" t="str">
        <f>VLOOKUP($B1803,'FRS geographical categories'!$A$2:$C$45,3,FALSE)</f>
        <v>Metropolitan</v>
      </c>
      <c r="I1803" s="224">
        <v>0</v>
      </c>
    </row>
    <row r="1804" spans="1:9" ht="15.5" x14ac:dyDescent="0.35">
      <c r="A1804" s="224" t="s">
        <v>56</v>
      </c>
      <c r="B1804" s="224" t="s">
        <v>27</v>
      </c>
      <c r="C1804" s="224" t="s">
        <v>86</v>
      </c>
      <c r="D1804" s="224" t="s">
        <v>9</v>
      </c>
      <c r="E1804" s="224" t="s">
        <v>256</v>
      </c>
      <c r="F1804" s="224" t="s">
        <v>248</v>
      </c>
      <c r="G1804" s="223" t="str">
        <f>VLOOKUP($B1804,'FRS geographical categories'!$A$2:$C$45,2,FALSE)</f>
        <v>Predominantly Urban</v>
      </c>
      <c r="H1804" s="223" t="str">
        <f>VLOOKUP($B1804,'FRS geographical categories'!$A$2:$C$45,3,FALSE)</f>
        <v>Metropolitan</v>
      </c>
      <c r="I1804" s="224">
        <v>216</v>
      </c>
    </row>
    <row r="1805" spans="1:9" ht="15.5" x14ac:dyDescent="0.35">
      <c r="A1805" s="224" t="s">
        <v>56</v>
      </c>
      <c r="B1805" s="224" t="s">
        <v>27</v>
      </c>
      <c r="C1805" s="224" t="s">
        <v>86</v>
      </c>
      <c r="D1805" s="224" t="s">
        <v>9</v>
      </c>
      <c r="E1805" s="224" t="s">
        <v>256</v>
      </c>
      <c r="F1805" s="224" t="s">
        <v>249</v>
      </c>
      <c r="G1805" s="223" t="str">
        <f>VLOOKUP($B1805,'FRS geographical categories'!$A$2:$C$45,2,FALSE)</f>
        <v>Predominantly Urban</v>
      </c>
      <c r="H1805" s="223" t="str">
        <f>VLOOKUP($B1805,'FRS geographical categories'!$A$2:$C$45,3,FALSE)</f>
        <v>Metropolitan</v>
      </c>
      <c r="I1805" s="224">
        <v>570</v>
      </c>
    </row>
    <row r="1806" spans="1:9" ht="15.5" x14ac:dyDescent="0.35">
      <c r="A1806" s="224" t="s">
        <v>56</v>
      </c>
      <c r="B1806" s="224" t="s">
        <v>27</v>
      </c>
      <c r="C1806" s="224" t="s">
        <v>86</v>
      </c>
      <c r="D1806" s="224" t="s">
        <v>9</v>
      </c>
      <c r="E1806" s="224" t="s">
        <v>256</v>
      </c>
      <c r="F1806" s="224" t="s">
        <v>250</v>
      </c>
      <c r="G1806" s="223" t="str">
        <f>VLOOKUP($B1806,'FRS geographical categories'!$A$2:$C$45,2,FALSE)</f>
        <v>Predominantly Urban</v>
      </c>
      <c r="H1806" s="223" t="str">
        <f>VLOOKUP($B1806,'FRS geographical categories'!$A$2:$C$45,3,FALSE)</f>
        <v>Metropolitan</v>
      </c>
      <c r="I1806" s="224">
        <v>1240</v>
      </c>
    </row>
    <row r="1807" spans="1:9" ht="15.5" x14ac:dyDescent="0.35">
      <c r="A1807" s="224" t="s">
        <v>56</v>
      </c>
      <c r="B1807" s="224" t="s">
        <v>27</v>
      </c>
      <c r="C1807" s="224" t="s">
        <v>86</v>
      </c>
      <c r="D1807" s="224" t="s">
        <v>9</v>
      </c>
      <c r="E1807" s="224" t="s">
        <v>256</v>
      </c>
      <c r="F1807" s="224" t="s">
        <v>111</v>
      </c>
      <c r="G1807" s="223" t="str">
        <f>VLOOKUP($B1807,'FRS geographical categories'!$A$2:$C$45,2,FALSE)</f>
        <v>Predominantly Urban</v>
      </c>
      <c r="H1807" s="223" t="str">
        <f>VLOOKUP($B1807,'FRS geographical categories'!$A$2:$C$45,3,FALSE)</f>
        <v>Metropolitan</v>
      </c>
      <c r="I1807" s="224">
        <v>2026</v>
      </c>
    </row>
    <row r="1808" spans="1:9" ht="15.5" x14ac:dyDescent="0.35">
      <c r="A1808" s="224" t="s">
        <v>56</v>
      </c>
      <c r="B1808" s="224" t="s">
        <v>27</v>
      </c>
      <c r="C1808" s="224" t="s">
        <v>86</v>
      </c>
      <c r="D1808" s="224" t="s">
        <v>9</v>
      </c>
      <c r="E1808" s="224" t="s">
        <v>256</v>
      </c>
      <c r="F1808" s="224" t="s">
        <v>10</v>
      </c>
      <c r="G1808" s="223" t="str">
        <f>VLOOKUP($B1808,'FRS geographical categories'!$A$2:$C$45,2,FALSE)</f>
        <v>Predominantly Urban</v>
      </c>
      <c r="H1808" s="223" t="str">
        <f>VLOOKUP($B1808,'FRS geographical categories'!$A$2:$C$45,3,FALSE)</f>
        <v>Metropolitan</v>
      </c>
      <c r="I1808" s="224">
        <v>4242</v>
      </c>
    </row>
    <row r="1809" spans="1:9" ht="15.5" x14ac:dyDescent="0.35">
      <c r="A1809" s="224" t="s">
        <v>56</v>
      </c>
      <c r="B1809" s="224" t="s">
        <v>27</v>
      </c>
      <c r="C1809" s="224" t="s">
        <v>86</v>
      </c>
      <c r="D1809" s="224" t="s">
        <v>55</v>
      </c>
      <c r="E1809" s="224" t="s">
        <v>256</v>
      </c>
      <c r="F1809" s="224" t="s">
        <v>248</v>
      </c>
      <c r="G1809" s="223" t="str">
        <f>VLOOKUP($B1809,'FRS geographical categories'!$A$2:$C$45,2,FALSE)</f>
        <v>Predominantly Urban</v>
      </c>
      <c r="H1809" s="223" t="str">
        <f>VLOOKUP($B1809,'FRS geographical categories'!$A$2:$C$45,3,FALSE)</f>
        <v>Metropolitan</v>
      </c>
      <c r="I1809" s="224">
        <v>183</v>
      </c>
    </row>
    <row r="1810" spans="1:9" ht="15.5" x14ac:dyDescent="0.35">
      <c r="A1810" s="224" t="s">
        <v>56</v>
      </c>
      <c r="B1810" s="224" t="s">
        <v>27</v>
      </c>
      <c r="C1810" s="224" t="s">
        <v>86</v>
      </c>
      <c r="D1810" s="224" t="s">
        <v>55</v>
      </c>
      <c r="E1810" s="224" t="s">
        <v>256</v>
      </c>
      <c r="F1810" s="224" t="s">
        <v>249</v>
      </c>
      <c r="G1810" s="223" t="str">
        <f>VLOOKUP($B1810,'FRS geographical categories'!$A$2:$C$45,2,FALSE)</f>
        <v>Predominantly Urban</v>
      </c>
      <c r="H1810" s="223" t="str">
        <f>VLOOKUP($B1810,'FRS geographical categories'!$A$2:$C$45,3,FALSE)</f>
        <v>Metropolitan</v>
      </c>
      <c r="I1810" s="224">
        <v>466</v>
      </c>
    </row>
    <row r="1811" spans="1:9" ht="15.5" x14ac:dyDescent="0.35">
      <c r="A1811" s="224" t="s">
        <v>56</v>
      </c>
      <c r="B1811" s="224" t="s">
        <v>27</v>
      </c>
      <c r="C1811" s="224" t="s">
        <v>86</v>
      </c>
      <c r="D1811" s="224" t="s">
        <v>55</v>
      </c>
      <c r="E1811" s="224" t="s">
        <v>256</v>
      </c>
      <c r="F1811" s="224" t="s">
        <v>250</v>
      </c>
      <c r="G1811" s="223" t="str">
        <f>VLOOKUP($B1811,'FRS geographical categories'!$A$2:$C$45,2,FALSE)</f>
        <v>Predominantly Urban</v>
      </c>
      <c r="H1811" s="223" t="str">
        <f>VLOOKUP($B1811,'FRS geographical categories'!$A$2:$C$45,3,FALSE)</f>
        <v>Metropolitan</v>
      </c>
      <c r="I1811" s="224">
        <v>860</v>
      </c>
    </row>
    <row r="1812" spans="1:9" ht="15.5" x14ac:dyDescent="0.35">
      <c r="A1812" s="224" t="s">
        <v>56</v>
      </c>
      <c r="B1812" s="224" t="s">
        <v>27</v>
      </c>
      <c r="C1812" s="224" t="s">
        <v>86</v>
      </c>
      <c r="D1812" s="224" t="s">
        <v>55</v>
      </c>
      <c r="E1812" s="224" t="s">
        <v>256</v>
      </c>
      <c r="F1812" s="224" t="s">
        <v>111</v>
      </c>
      <c r="G1812" s="223" t="str">
        <f>VLOOKUP($B1812,'FRS geographical categories'!$A$2:$C$45,2,FALSE)</f>
        <v>Predominantly Urban</v>
      </c>
      <c r="H1812" s="223" t="str">
        <f>VLOOKUP($B1812,'FRS geographical categories'!$A$2:$C$45,3,FALSE)</f>
        <v>Metropolitan</v>
      </c>
      <c r="I1812" s="224">
        <v>1509</v>
      </c>
    </row>
    <row r="1813" spans="1:9" ht="15.5" x14ac:dyDescent="0.35">
      <c r="A1813" s="224" t="s">
        <v>56</v>
      </c>
      <c r="B1813" s="224" t="s">
        <v>27</v>
      </c>
      <c r="C1813" s="224" t="s">
        <v>86</v>
      </c>
      <c r="D1813" s="224" t="s">
        <v>55</v>
      </c>
      <c r="E1813" s="224" t="s">
        <v>256</v>
      </c>
      <c r="F1813" s="224" t="s">
        <v>10</v>
      </c>
      <c r="G1813" s="223" t="str">
        <f>VLOOKUP($B1813,'FRS geographical categories'!$A$2:$C$45,2,FALSE)</f>
        <v>Predominantly Urban</v>
      </c>
      <c r="H1813" s="223" t="str">
        <f>VLOOKUP($B1813,'FRS geographical categories'!$A$2:$C$45,3,FALSE)</f>
        <v>Metropolitan</v>
      </c>
      <c r="I1813" s="224">
        <v>3609</v>
      </c>
    </row>
    <row r="1814" spans="1:9" ht="15.5" x14ac:dyDescent="0.35">
      <c r="A1814" s="224" t="s">
        <v>56</v>
      </c>
      <c r="B1814" s="224" t="s">
        <v>27</v>
      </c>
      <c r="C1814" s="224" t="s">
        <v>89</v>
      </c>
      <c r="D1814" s="224" t="s">
        <v>9</v>
      </c>
      <c r="E1814" s="224" t="s">
        <v>256</v>
      </c>
      <c r="F1814" s="224" t="s">
        <v>248</v>
      </c>
      <c r="G1814" s="223" t="str">
        <f>VLOOKUP($B1814,'FRS geographical categories'!$A$2:$C$45,2,FALSE)</f>
        <v>Predominantly Urban</v>
      </c>
      <c r="H1814" s="223" t="str">
        <f>VLOOKUP($B1814,'FRS geographical categories'!$A$2:$C$45,3,FALSE)</f>
        <v>Metropolitan</v>
      </c>
      <c r="I1814" s="224">
        <v>0</v>
      </c>
    </row>
    <row r="1815" spans="1:9" ht="15.5" x14ac:dyDescent="0.35">
      <c r="A1815" s="224" t="s">
        <v>56</v>
      </c>
      <c r="B1815" s="224" t="s">
        <v>27</v>
      </c>
      <c r="C1815" s="224" t="s">
        <v>89</v>
      </c>
      <c r="D1815" s="224" t="s">
        <v>9</v>
      </c>
      <c r="E1815" s="224" t="s">
        <v>256</v>
      </c>
      <c r="F1815" s="224" t="s">
        <v>249</v>
      </c>
      <c r="G1815" s="223" t="str">
        <f>VLOOKUP($B1815,'FRS geographical categories'!$A$2:$C$45,2,FALSE)</f>
        <v>Predominantly Urban</v>
      </c>
      <c r="H1815" s="223" t="str">
        <f>VLOOKUP($B1815,'FRS geographical categories'!$A$2:$C$45,3,FALSE)</f>
        <v>Metropolitan</v>
      </c>
      <c r="I1815" s="224">
        <v>0</v>
      </c>
    </row>
    <row r="1816" spans="1:9" ht="15.5" x14ac:dyDescent="0.35">
      <c r="A1816" s="224" t="s">
        <v>56</v>
      </c>
      <c r="B1816" s="224" t="s">
        <v>27</v>
      </c>
      <c r="C1816" s="224" t="s">
        <v>89</v>
      </c>
      <c r="D1816" s="224" t="s">
        <v>9</v>
      </c>
      <c r="E1816" s="224" t="s">
        <v>256</v>
      </c>
      <c r="F1816" s="224" t="s">
        <v>250</v>
      </c>
      <c r="G1816" s="223" t="str">
        <f>VLOOKUP($B1816,'FRS geographical categories'!$A$2:$C$45,2,FALSE)</f>
        <v>Predominantly Urban</v>
      </c>
      <c r="H1816" s="223" t="str">
        <f>VLOOKUP($B1816,'FRS geographical categories'!$A$2:$C$45,3,FALSE)</f>
        <v>Metropolitan</v>
      </c>
      <c r="I1816" s="224">
        <v>0</v>
      </c>
    </row>
    <row r="1817" spans="1:9" ht="15.5" x14ac:dyDescent="0.35">
      <c r="A1817" s="224" t="s">
        <v>56</v>
      </c>
      <c r="B1817" s="224" t="s">
        <v>27</v>
      </c>
      <c r="C1817" s="224" t="s">
        <v>89</v>
      </c>
      <c r="D1817" s="224" t="s">
        <v>9</v>
      </c>
      <c r="E1817" s="224" t="s">
        <v>256</v>
      </c>
      <c r="F1817" s="224" t="s">
        <v>10</v>
      </c>
      <c r="G1817" s="223" t="str">
        <f>VLOOKUP($B1817,'FRS geographical categories'!$A$2:$C$45,2,FALSE)</f>
        <v>Predominantly Urban</v>
      </c>
      <c r="H1817" s="223" t="str">
        <f>VLOOKUP($B1817,'FRS geographical categories'!$A$2:$C$45,3,FALSE)</f>
        <v>Metropolitan</v>
      </c>
      <c r="I1817" s="224">
        <v>0</v>
      </c>
    </row>
    <row r="1818" spans="1:9" ht="15.5" x14ac:dyDescent="0.35">
      <c r="A1818" s="224" t="s">
        <v>56</v>
      </c>
      <c r="B1818" s="224" t="s">
        <v>27</v>
      </c>
      <c r="C1818" s="224" t="s">
        <v>89</v>
      </c>
      <c r="D1818" s="224" t="s">
        <v>55</v>
      </c>
      <c r="E1818" s="224" t="s">
        <v>256</v>
      </c>
      <c r="F1818" s="224" t="s">
        <v>248</v>
      </c>
      <c r="G1818" s="223" t="str">
        <f>VLOOKUP($B1818,'FRS geographical categories'!$A$2:$C$45,2,FALSE)</f>
        <v>Predominantly Urban</v>
      </c>
      <c r="H1818" s="223" t="str">
        <f>VLOOKUP($B1818,'FRS geographical categories'!$A$2:$C$45,3,FALSE)</f>
        <v>Metropolitan</v>
      </c>
      <c r="I1818" s="224">
        <v>0</v>
      </c>
    </row>
    <row r="1819" spans="1:9" ht="15.5" x14ac:dyDescent="0.35">
      <c r="A1819" s="224" t="s">
        <v>56</v>
      </c>
      <c r="B1819" s="224" t="s">
        <v>27</v>
      </c>
      <c r="C1819" s="224" t="s">
        <v>89</v>
      </c>
      <c r="D1819" s="224" t="s">
        <v>55</v>
      </c>
      <c r="E1819" s="224" t="s">
        <v>256</v>
      </c>
      <c r="F1819" s="224" t="s">
        <v>249</v>
      </c>
      <c r="G1819" s="223" t="str">
        <f>VLOOKUP($B1819,'FRS geographical categories'!$A$2:$C$45,2,FALSE)</f>
        <v>Predominantly Urban</v>
      </c>
      <c r="H1819" s="223" t="str">
        <f>VLOOKUP($B1819,'FRS geographical categories'!$A$2:$C$45,3,FALSE)</f>
        <v>Metropolitan</v>
      </c>
      <c r="I1819" s="224">
        <v>0</v>
      </c>
    </row>
    <row r="1820" spans="1:9" ht="15.5" x14ac:dyDescent="0.35">
      <c r="A1820" s="224" t="s">
        <v>56</v>
      </c>
      <c r="B1820" s="224" t="s">
        <v>27</v>
      </c>
      <c r="C1820" s="224" t="s">
        <v>89</v>
      </c>
      <c r="D1820" s="224" t="s">
        <v>55</v>
      </c>
      <c r="E1820" s="224" t="s">
        <v>256</v>
      </c>
      <c r="F1820" s="224" t="s">
        <v>250</v>
      </c>
      <c r="G1820" s="223" t="str">
        <f>VLOOKUP($B1820,'FRS geographical categories'!$A$2:$C$45,2,FALSE)</f>
        <v>Predominantly Urban</v>
      </c>
      <c r="H1820" s="223" t="str">
        <f>VLOOKUP($B1820,'FRS geographical categories'!$A$2:$C$45,3,FALSE)</f>
        <v>Metropolitan</v>
      </c>
      <c r="I1820" s="224">
        <v>0</v>
      </c>
    </row>
    <row r="1821" spans="1:9" ht="15.5" x14ac:dyDescent="0.35">
      <c r="A1821" s="224" t="s">
        <v>56</v>
      </c>
      <c r="B1821" s="224" t="s">
        <v>27</v>
      </c>
      <c r="C1821" s="224" t="s">
        <v>89</v>
      </c>
      <c r="D1821" s="224" t="s">
        <v>55</v>
      </c>
      <c r="E1821" s="224" t="s">
        <v>256</v>
      </c>
      <c r="F1821" s="224" t="s">
        <v>10</v>
      </c>
      <c r="G1821" s="223" t="str">
        <f>VLOOKUP($B1821,'FRS geographical categories'!$A$2:$C$45,2,FALSE)</f>
        <v>Predominantly Urban</v>
      </c>
      <c r="H1821" s="223" t="str">
        <f>VLOOKUP($B1821,'FRS geographical categories'!$A$2:$C$45,3,FALSE)</f>
        <v>Metropolitan</v>
      </c>
      <c r="I1821" s="224">
        <v>0</v>
      </c>
    </row>
    <row r="1822" spans="1:9" ht="15.5" x14ac:dyDescent="0.35">
      <c r="A1822" s="224" t="s">
        <v>56</v>
      </c>
      <c r="B1822" s="224" t="s">
        <v>93</v>
      </c>
      <c r="C1822" s="224" t="s">
        <v>86</v>
      </c>
      <c r="D1822" s="224" t="s">
        <v>9</v>
      </c>
      <c r="E1822" s="224" t="s">
        <v>256</v>
      </c>
      <c r="F1822" s="224" t="s">
        <v>248</v>
      </c>
      <c r="G1822" s="223" t="str">
        <f>VLOOKUP($B1822,'FRS geographical categories'!$A$2:$C$45,2,FALSE)</f>
        <v>Significantly Rural</v>
      </c>
      <c r="H1822" s="223" t="str">
        <f>VLOOKUP($B1822,'FRS geographical categories'!$A$2:$C$45,3,FALSE)</f>
        <v>Non-metropolitan</v>
      </c>
      <c r="I1822" s="224">
        <v>835</v>
      </c>
    </row>
    <row r="1823" spans="1:9" ht="15.5" x14ac:dyDescent="0.35">
      <c r="A1823" s="224" t="s">
        <v>56</v>
      </c>
      <c r="B1823" s="224" t="s">
        <v>93</v>
      </c>
      <c r="C1823" s="224" t="s">
        <v>86</v>
      </c>
      <c r="D1823" s="224" t="s">
        <v>9</v>
      </c>
      <c r="E1823" s="224" t="s">
        <v>256</v>
      </c>
      <c r="F1823" s="224" t="s">
        <v>249</v>
      </c>
      <c r="G1823" s="223" t="str">
        <f>VLOOKUP($B1823,'FRS geographical categories'!$A$2:$C$45,2,FALSE)</f>
        <v>Significantly Rural</v>
      </c>
      <c r="H1823" s="223" t="str">
        <f>VLOOKUP($B1823,'FRS geographical categories'!$A$2:$C$45,3,FALSE)</f>
        <v>Non-metropolitan</v>
      </c>
      <c r="I1823" s="224">
        <v>3401</v>
      </c>
    </row>
    <row r="1824" spans="1:9" ht="15.5" x14ac:dyDescent="0.35">
      <c r="A1824" s="224" t="s">
        <v>56</v>
      </c>
      <c r="B1824" s="224" t="s">
        <v>93</v>
      </c>
      <c r="C1824" s="224" t="s">
        <v>86</v>
      </c>
      <c r="D1824" s="224" t="s">
        <v>9</v>
      </c>
      <c r="E1824" s="224" t="s">
        <v>256</v>
      </c>
      <c r="F1824" s="224" t="s">
        <v>250</v>
      </c>
      <c r="G1824" s="223" t="str">
        <f>VLOOKUP($B1824,'FRS geographical categories'!$A$2:$C$45,2,FALSE)</f>
        <v>Significantly Rural</v>
      </c>
      <c r="H1824" s="223" t="str">
        <f>VLOOKUP($B1824,'FRS geographical categories'!$A$2:$C$45,3,FALSE)</f>
        <v>Non-metropolitan</v>
      </c>
      <c r="I1824" s="224">
        <v>2384</v>
      </c>
    </row>
    <row r="1825" spans="1:9" ht="15.5" x14ac:dyDescent="0.35">
      <c r="A1825" s="224" t="s">
        <v>56</v>
      </c>
      <c r="B1825" s="224" t="s">
        <v>93</v>
      </c>
      <c r="C1825" s="224" t="s">
        <v>86</v>
      </c>
      <c r="D1825" s="224" t="s">
        <v>9</v>
      </c>
      <c r="E1825" s="224" t="s">
        <v>256</v>
      </c>
      <c r="F1825" s="224" t="s">
        <v>111</v>
      </c>
      <c r="G1825" s="223" t="str">
        <f>VLOOKUP($B1825,'FRS geographical categories'!$A$2:$C$45,2,FALSE)</f>
        <v>Significantly Rural</v>
      </c>
      <c r="H1825" s="223" t="str">
        <f>VLOOKUP($B1825,'FRS geographical categories'!$A$2:$C$45,3,FALSE)</f>
        <v>Non-metropolitan</v>
      </c>
      <c r="I1825" s="224">
        <v>6604</v>
      </c>
    </row>
    <row r="1826" spans="1:9" ht="15.5" x14ac:dyDescent="0.35">
      <c r="A1826" s="224" t="s">
        <v>56</v>
      </c>
      <c r="B1826" s="224" t="s">
        <v>93</v>
      </c>
      <c r="C1826" s="224" t="s">
        <v>86</v>
      </c>
      <c r="D1826" s="224" t="s">
        <v>9</v>
      </c>
      <c r="E1826" s="224" t="s">
        <v>256</v>
      </c>
      <c r="F1826" s="224" t="s">
        <v>10</v>
      </c>
      <c r="G1826" s="223" t="str">
        <f>VLOOKUP($B1826,'FRS geographical categories'!$A$2:$C$45,2,FALSE)</f>
        <v>Significantly Rural</v>
      </c>
      <c r="H1826" s="223" t="str">
        <f>VLOOKUP($B1826,'FRS geographical categories'!$A$2:$C$45,3,FALSE)</f>
        <v>Non-metropolitan</v>
      </c>
      <c r="I1826" s="224">
        <v>9247</v>
      </c>
    </row>
    <row r="1827" spans="1:9" ht="15.5" x14ac:dyDescent="0.35">
      <c r="A1827" s="224" t="s">
        <v>56</v>
      </c>
      <c r="B1827" s="224" t="s">
        <v>93</v>
      </c>
      <c r="C1827" s="224" t="s">
        <v>86</v>
      </c>
      <c r="D1827" s="224" t="s">
        <v>55</v>
      </c>
      <c r="E1827" s="224" t="s">
        <v>256</v>
      </c>
      <c r="F1827" s="224" t="s">
        <v>248</v>
      </c>
      <c r="G1827" s="223" t="str">
        <f>VLOOKUP($B1827,'FRS geographical categories'!$A$2:$C$45,2,FALSE)</f>
        <v>Significantly Rural</v>
      </c>
      <c r="H1827" s="223" t="str">
        <f>VLOOKUP($B1827,'FRS geographical categories'!$A$2:$C$45,3,FALSE)</f>
        <v>Non-metropolitan</v>
      </c>
      <c r="I1827" s="224">
        <v>12</v>
      </c>
    </row>
    <row r="1828" spans="1:9" ht="15.5" x14ac:dyDescent="0.35">
      <c r="A1828" s="224" t="s">
        <v>56</v>
      </c>
      <c r="B1828" s="224" t="s">
        <v>93</v>
      </c>
      <c r="C1828" s="224" t="s">
        <v>86</v>
      </c>
      <c r="D1828" s="224" t="s">
        <v>55</v>
      </c>
      <c r="E1828" s="224" t="s">
        <v>256</v>
      </c>
      <c r="F1828" s="224" t="s">
        <v>249</v>
      </c>
      <c r="G1828" s="223" t="str">
        <f>VLOOKUP($B1828,'FRS geographical categories'!$A$2:$C$45,2,FALSE)</f>
        <v>Significantly Rural</v>
      </c>
      <c r="H1828" s="223" t="str">
        <f>VLOOKUP($B1828,'FRS geographical categories'!$A$2:$C$45,3,FALSE)</f>
        <v>Non-metropolitan</v>
      </c>
      <c r="I1828" s="224">
        <v>65</v>
      </c>
    </row>
    <row r="1829" spans="1:9" ht="15.5" x14ac:dyDescent="0.35">
      <c r="A1829" s="224" t="s">
        <v>56</v>
      </c>
      <c r="B1829" s="224" t="s">
        <v>93</v>
      </c>
      <c r="C1829" s="224" t="s">
        <v>86</v>
      </c>
      <c r="D1829" s="224" t="s">
        <v>55</v>
      </c>
      <c r="E1829" s="224" t="s">
        <v>256</v>
      </c>
      <c r="F1829" s="224" t="s">
        <v>250</v>
      </c>
      <c r="G1829" s="223" t="str">
        <f>VLOOKUP($B1829,'FRS geographical categories'!$A$2:$C$45,2,FALSE)</f>
        <v>Significantly Rural</v>
      </c>
      <c r="H1829" s="223" t="str">
        <f>VLOOKUP($B1829,'FRS geographical categories'!$A$2:$C$45,3,FALSE)</f>
        <v>Non-metropolitan</v>
      </c>
      <c r="I1829" s="224">
        <v>38</v>
      </c>
    </row>
    <row r="1830" spans="1:9" ht="15.5" x14ac:dyDescent="0.35">
      <c r="A1830" s="224" t="s">
        <v>56</v>
      </c>
      <c r="B1830" s="224" t="s">
        <v>93</v>
      </c>
      <c r="C1830" s="224" t="s">
        <v>86</v>
      </c>
      <c r="D1830" s="224" t="s">
        <v>55</v>
      </c>
      <c r="E1830" s="224" t="s">
        <v>256</v>
      </c>
      <c r="F1830" s="224" t="s">
        <v>111</v>
      </c>
      <c r="G1830" s="223" t="str">
        <f>VLOOKUP($B1830,'FRS geographical categories'!$A$2:$C$45,2,FALSE)</f>
        <v>Significantly Rural</v>
      </c>
      <c r="H1830" s="223" t="str">
        <f>VLOOKUP($B1830,'FRS geographical categories'!$A$2:$C$45,3,FALSE)</f>
        <v>Non-metropolitan</v>
      </c>
      <c r="I1830" s="224">
        <v>139</v>
      </c>
    </row>
    <row r="1831" spans="1:9" ht="15.5" x14ac:dyDescent="0.35">
      <c r="A1831" s="224" t="s">
        <v>56</v>
      </c>
      <c r="B1831" s="224" t="s">
        <v>93</v>
      </c>
      <c r="C1831" s="224" t="s">
        <v>86</v>
      </c>
      <c r="D1831" s="224" t="s">
        <v>55</v>
      </c>
      <c r="E1831" s="224" t="s">
        <v>256</v>
      </c>
      <c r="F1831" s="224" t="s">
        <v>10</v>
      </c>
      <c r="G1831" s="223" t="str">
        <f>VLOOKUP($B1831,'FRS geographical categories'!$A$2:$C$45,2,FALSE)</f>
        <v>Significantly Rural</v>
      </c>
      <c r="H1831" s="223" t="str">
        <f>VLOOKUP($B1831,'FRS geographical categories'!$A$2:$C$45,3,FALSE)</f>
        <v>Non-metropolitan</v>
      </c>
      <c r="I1831" s="224">
        <v>590</v>
      </c>
    </row>
    <row r="1832" spans="1:9" ht="15.5" x14ac:dyDescent="0.35">
      <c r="A1832" s="224" t="s">
        <v>56</v>
      </c>
      <c r="B1832" s="224" t="s">
        <v>93</v>
      </c>
      <c r="C1832" s="224" t="s">
        <v>89</v>
      </c>
      <c r="D1832" s="224" t="s">
        <v>9</v>
      </c>
      <c r="E1832" s="224" t="s">
        <v>256</v>
      </c>
      <c r="F1832" s="224" t="s">
        <v>248</v>
      </c>
      <c r="G1832" s="223" t="str">
        <f>VLOOKUP($B1832,'FRS geographical categories'!$A$2:$C$45,2,FALSE)</f>
        <v>Significantly Rural</v>
      </c>
      <c r="H1832" s="223" t="str">
        <f>VLOOKUP($B1832,'FRS geographical categories'!$A$2:$C$45,3,FALSE)</f>
        <v>Non-metropolitan</v>
      </c>
      <c r="I1832" s="224">
        <v>0</v>
      </c>
    </row>
    <row r="1833" spans="1:9" ht="15.5" x14ac:dyDescent="0.35">
      <c r="A1833" s="224" t="s">
        <v>56</v>
      </c>
      <c r="B1833" s="224" t="s">
        <v>93</v>
      </c>
      <c r="C1833" s="224" t="s">
        <v>89</v>
      </c>
      <c r="D1833" s="224" t="s">
        <v>9</v>
      </c>
      <c r="E1833" s="224" t="s">
        <v>256</v>
      </c>
      <c r="F1833" s="224" t="s">
        <v>249</v>
      </c>
      <c r="G1833" s="223" t="str">
        <f>VLOOKUP($B1833,'FRS geographical categories'!$A$2:$C$45,2,FALSE)</f>
        <v>Significantly Rural</v>
      </c>
      <c r="H1833" s="223" t="str">
        <f>VLOOKUP($B1833,'FRS geographical categories'!$A$2:$C$45,3,FALSE)</f>
        <v>Non-metropolitan</v>
      </c>
      <c r="I1833" s="224">
        <v>0</v>
      </c>
    </row>
    <row r="1834" spans="1:9" ht="15.5" x14ac:dyDescent="0.35">
      <c r="A1834" s="224" t="s">
        <v>56</v>
      </c>
      <c r="B1834" s="224" t="s">
        <v>93</v>
      </c>
      <c r="C1834" s="224" t="s">
        <v>89</v>
      </c>
      <c r="D1834" s="224" t="s">
        <v>9</v>
      </c>
      <c r="E1834" s="224" t="s">
        <v>256</v>
      </c>
      <c r="F1834" s="224" t="s">
        <v>250</v>
      </c>
      <c r="G1834" s="223" t="str">
        <f>VLOOKUP($B1834,'FRS geographical categories'!$A$2:$C$45,2,FALSE)</f>
        <v>Significantly Rural</v>
      </c>
      <c r="H1834" s="223" t="str">
        <f>VLOOKUP($B1834,'FRS geographical categories'!$A$2:$C$45,3,FALSE)</f>
        <v>Non-metropolitan</v>
      </c>
      <c r="I1834" s="224">
        <v>0</v>
      </c>
    </row>
    <row r="1835" spans="1:9" ht="15.5" x14ac:dyDescent="0.35">
      <c r="A1835" s="224" t="s">
        <v>56</v>
      </c>
      <c r="B1835" s="224" t="s">
        <v>93</v>
      </c>
      <c r="C1835" s="224" t="s">
        <v>89</v>
      </c>
      <c r="D1835" s="224" t="s">
        <v>9</v>
      </c>
      <c r="E1835" s="224" t="s">
        <v>256</v>
      </c>
      <c r="F1835" s="224" t="s">
        <v>10</v>
      </c>
      <c r="G1835" s="223" t="str">
        <f>VLOOKUP($B1835,'FRS geographical categories'!$A$2:$C$45,2,FALSE)</f>
        <v>Significantly Rural</v>
      </c>
      <c r="H1835" s="223" t="str">
        <f>VLOOKUP($B1835,'FRS geographical categories'!$A$2:$C$45,3,FALSE)</f>
        <v>Non-metropolitan</v>
      </c>
      <c r="I1835" s="224">
        <v>0</v>
      </c>
    </row>
    <row r="1836" spans="1:9" ht="15.5" x14ac:dyDescent="0.35">
      <c r="A1836" s="224" t="s">
        <v>56</v>
      </c>
      <c r="B1836" s="224" t="s">
        <v>93</v>
      </c>
      <c r="C1836" s="224" t="s">
        <v>89</v>
      </c>
      <c r="D1836" s="224" t="s">
        <v>55</v>
      </c>
      <c r="E1836" s="224" t="s">
        <v>256</v>
      </c>
      <c r="F1836" s="224" t="s">
        <v>248</v>
      </c>
      <c r="G1836" s="223" t="str">
        <f>VLOOKUP($B1836,'FRS geographical categories'!$A$2:$C$45,2,FALSE)</f>
        <v>Significantly Rural</v>
      </c>
      <c r="H1836" s="223" t="str">
        <f>VLOOKUP($B1836,'FRS geographical categories'!$A$2:$C$45,3,FALSE)</f>
        <v>Non-metropolitan</v>
      </c>
      <c r="I1836" s="224">
        <v>0</v>
      </c>
    </row>
    <row r="1837" spans="1:9" ht="15.5" x14ac:dyDescent="0.35">
      <c r="A1837" s="224" t="s">
        <v>56</v>
      </c>
      <c r="B1837" s="224" t="s">
        <v>93</v>
      </c>
      <c r="C1837" s="224" t="s">
        <v>89</v>
      </c>
      <c r="D1837" s="224" t="s">
        <v>55</v>
      </c>
      <c r="E1837" s="224" t="s">
        <v>256</v>
      </c>
      <c r="F1837" s="224" t="s">
        <v>249</v>
      </c>
      <c r="G1837" s="223" t="str">
        <f>VLOOKUP($B1837,'FRS geographical categories'!$A$2:$C$45,2,FALSE)</f>
        <v>Significantly Rural</v>
      </c>
      <c r="H1837" s="223" t="str">
        <f>VLOOKUP($B1837,'FRS geographical categories'!$A$2:$C$45,3,FALSE)</f>
        <v>Non-metropolitan</v>
      </c>
      <c r="I1837" s="224">
        <v>0</v>
      </c>
    </row>
    <row r="1838" spans="1:9" ht="15.5" x14ac:dyDescent="0.35">
      <c r="A1838" s="224" t="s">
        <v>56</v>
      </c>
      <c r="B1838" s="224" t="s">
        <v>93</v>
      </c>
      <c r="C1838" s="224" t="s">
        <v>89</v>
      </c>
      <c r="D1838" s="224" t="s">
        <v>55</v>
      </c>
      <c r="E1838" s="224" t="s">
        <v>256</v>
      </c>
      <c r="F1838" s="224" t="s">
        <v>250</v>
      </c>
      <c r="G1838" s="223" t="str">
        <f>VLOOKUP($B1838,'FRS geographical categories'!$A$2:$C$45,2,FALSE)</f>
        <v>Significantly Rural</v>
      </c>
      <c r="H1838" s="223" t="str">
        <f>VLOOKUP($B1838,'FRS geographical categories'!$A$2:$C$45,3,FALSE)</f>
        <v>Non-metropolitan</v>
      </c>
      <c r="I1838" s="224">
        <v>0</v>
      </c>
    </row>
    <row r="1839" spans="1:9" ht="15.5" x14ac:dyDescent="0.35">
      <c r="A1839" s="224" t="s">
        <v>56</v>
      </c>
      <c r="B1839" s="224" t="s">
        <v>93</v>
      </c>
      <c r="C1839" s="224" t="s">
        <v>89</v>
      </c>
      <c r="D1839" s="224" t="s">
        <v>55</v>
      </c>
      <c r="E1839" s="224" t="s">
        <v>256</v>
      </c>
      <c r="F1839" s="224" t="s">
        <v>10</v>
      </c>
      <c r="G1839" s="223" t="str">
        <f>VLOOKUP($B1839,'FRS geographical categories'!$A$2:$C$45,2,FALSE)</f>
        <v>Significantly Rural</v>
      </c>
      <c r="H1839" s="223" t="str">
        <f>VLOOKUP($B1839,'FRS geographical categories'!$A$2:$C$45,3,FALSE)</f>
        <v>Non-metropolitan</v>
      </c>
      <c r="I1839" s="224">
        <v>0</v>
      </c>
    </row>
    <row r="1840" spans="1:9" ht="15.5" x14ac:dyDescent="0.35">
      <c r="A1840" s="224" t="s">
        <v>56</v>
      </c>
      <c r="B1840" s="224" t="s">
        <v>28</v>
      </c>
      <c r="C1840" s="224" t="s">
        <v>86</v>
      </c>
      <c r="D1840" s="224" t="s">
        <v>9</v>
      </c>
      <c r="E1840" s="224" t="s">
        <v>256</v>
      </c>
      <c r="F1840" s="224" t="s">
        <v>248</v>
      </c>
      <c r="G1840" s="223" t="str">
        <f>VLOOKUP($B1840,'FRS geographical categories'!$A$2:$C$45,2,FALSE)</f>
        <v>Significantly Rural</v>
      </c>
      <c r="H1840" s="223" t="str">
        <f>VLOOKUP($B1840,'FRS geographical categories'!$A$2:$C$45,3,FALSE)</f>
        <v>Non-metropolitan</v>
      </c>
      <c r="I1840" s="224">
        <v>261</v>
      </c>
    </row>
    <row r="1841" spans="1:9" ht="15.5" x14ac:dyDescent="0.35">
      <c r="A1841" s="224" t="s">
        <v>56</v>
      </c>
      <c r="B1841" s="224" t="s">
        <v>28</v>
      </c>
      <c r="C1841" s="224" t="s">
        <v>86</v>
      </c>
      <c r="D1841" s="224" t="s">
        <v>9</v>
      </c>
      <c r="E1841" s="224" t="s">
        <v>256</v>
      </c>
      <c r="F1841" s="224" t="s">
        <v>249</v>
      </c>
      <c r="G1841" s="223" t="str">
        <f>VLOOKUP($B1841,'FRS geographical categories'!$A$2:$C$45,2,FALSE)</f>
        <v>Significantly Rural</v>
      </c>
      <c r="H1841" s="223" t="str">
        <f>VLOOKUP($B1841,'FRS geographical categories'!$A$2:$C$45,3,FALSE)</f>
        <v>Non-metropolitan</v>
      </c>
      <c r="I1841" s="224">
        <v>1225</v>
      </c>
    </row>
    <row r="1842" spans="1:9" ht="15.5" x14ac:dyDescent="0.35">
      <c r="A1842" s="224" t="s">
        <v>56</v>
      </c>
      <c r="B1842" s="224" t="s">
        <v>28</v>
      </c>
      <c r="C1842" s="224" t="s">
        <v>86</v>
      </c>
      <c r="D1842" s="224" t="s">
        <v>9</v>
      </c>
      <c r="E1842" s="224" t="s">
        <v>256</v>
      </c>
      <c r="F1842" s="224" t="s">
        <v>250</v>
      </c>
      <c r="G1842" s="223" t="str">
        <f>VLOOKUP($B1842,'FRS geographical categories'!$A$2:$C$45,2,FALSE)</f>
        <v>Significantly Rural</v>
      </c>
      <c r="H1842" s="223" t="str">
        <f>VLOOKUP($B1842,'FRS geographical categories'!$A$2:$C$45,3,FALSE)</f>
        <v>Non-metropolitan</v>
      </c>
      <c r="I1842" s="224">
        <v>613</v>
      </c>
    </row>
    <row r="1843" spans="1:9" ht="15.5" x14ac:dyDescent="0.35">
      <c r="A1843" s="224" t="s">
        <v>56</v>
      </c>
      <c r="B1843" s="224" t="s">
        <v>28</v>
      </c>
      <c r="C1843" s="224" t="s">
        <v>86</v>
      </c>
      <c r="D1843" s="224" t="s">
        <v>9</v>
      </c>
      <c r="E1843" s="224" t="s">
        <v>256</v>
      </c>
      <c r="F1843" s="224" t="s">
        <v>111</v>
      </c>
      <c r="G1843" s="223" t="str">
        <f>VLOOKUP($B1843,'FRS geographical categories'!$A$2:$C$45,2,FALSE)</f>
        <v>Significantly Rural</v>
      </c>
      <c r="H1843" s="223" t="str">
        <f>VLOOKUP($B1843,'FRS geographical categories'!$A$2:$C$45,3,FALSE)</f>
        <v>Non-metropolitan</v>
      </c>
      <c r="I1843" s="224">
        <v>2225</v>
      </c>
    </row>
    <row r="1844" spans="1:9" ht="15.5" x14ac:dyDescent="0.35">
      <c r="A1844" s="224" t="s">
        <v>56</v>
      </c>
      <c r="B1844" s="224" t="s">
        <v>28</v>
      </c>
      <c r="C1844" s="224" t="s">
        <v>86</v>
      </c>
      <c r="D1844" s="224" t="s">
        <v>9</v>
      </c>
      <c r="E1844" s="224" t="s">
        <v>256</v>
      </c>
      <c r="F1844" s="224" t="s">
        <v>10</v>
      </c>
      <c r="G1844" s="223" t="str">
        <f>VLOOKUP($B1844,'FRS geographical categories'!$A$2:$C$45,2,FALSE)</f>
        <v>Significantly Rural</v>
      </c>
      <c r="H1844" s="223" t="str">
        <f>VLOOKUP($B1844,'FRS geographical categories'!$A$2:$C$45,3,FALSE)</f>
        <v>Non-metropolitan</v>
      </c>
      <c r="I1844" s="224">
        <v>2499</v>
      </c>
    </row>
    <row r="1845" spans="1:9" ht="15.5" x14ac:dyDescent="0.35">
      <c r="A1845" s="224" t="s">
        <v>56</v>
      </c>
      <c r="B1845" s="224" t="s">
        <v>28</v>
      </c>
      <c r="C1845" s="224" t="s">
        <v>86</v>
      </c>
      <c r="D1845" s="224" t="s">
        <v>55</v>
      </c>
      <c r="E1845" s="224" t="s">
        <v>256</v>
      </c>
      <c r="F1845" s="224" t="s">
        <v>248</v>
      </c>
      <c r="G1845" s="223" t="str">
        <f>VLOOKUP($B1845,'FRS geographical categories'!$A$2:$C$45,2,FALSE)</f>
        <v>Significantly Rural</v>
      </c>
      <c r="H1845" s="223" t="str">
        <f>VLOOKUP($B1845,'FRS geographical categories'!$A$2:$C$45,3,FALSE)</f>
        <v>Non-metropolitan</v>
      </c>
      <c r="I1845" s="224">
        <v>0</v>
      </c>
    </row>
    <row r="1846" spans="1:9" ht="15.5" x14ac:dyDescent="0.35">
      <c r="A1846" s="224" t="s">
        <v>56</v>
      </c>
      <c r="B1846" s="224" t="s">
        <v>28</v>
      </c>
      <c r="C1846" s="224" t="s">
        <v>86</v>
      </c>
      <c r="D1846" s="224" t="s">
        <v>55</v>
      </c>
      <c r="E1846" s="224" t="s">
        <v>256</v>
      </c>
      <c r="F1846" s="224" t="s">
        <v>249</v>
      </c>
      <c r="G1846" s="223" t="str">
        <f>VLOOKUP($B1846,'FRS geographical categories'!$A$2:$C$45,2,FALSE)</f>
        <v>Significantly Rural</v>
      </c>
      <c r="H1846" s="223" t="str">
        <f>VLOOKUP($B1846,'FRS geographical categories'!$A$2:$C$45,3,FALSE)</f>
        <v>Non-metropolitan</v>
      </c>
      <c r="I1846" s="224">
        <v>0</v>
      </c>
    </row>
    <row r="1847" spans="1:9" ht="15.5" x14ac:dyDescent="0.35">
      <c r="A1847" s="224" t="s">
        <v>56</v>
      </c>
      <c r="B1847" s="224" t="s">
        <v>28</v>
      </c>
      <c r="C1847" s="224" t="s">
        <v>86</v>
      </c>
      <c r="D1847" s="224" t="s">
        <v>55</v>
      </c>
      <c r="E1847" s="224" t="s">
        <v>256</v>
      </c>
      <c r="F1847" s="224" t="s">
        <v>250</v>
      </c>
      <c r="G1847" s="223" t="str">
        <f>VLOOKUP($B1847,'FRS geographical categories'!$A$2:$C$45,2,FALSE)</f>
        <v>Significantly Rural</v>
      </c>
      <c r="H1847" s="223" t="str">
        <f>VLOOKUP($B1847,'FRS geographical categories'!$A$2:$C$45,3,FALSE)</f>
        <v>Non-metropolitan</v>
      </c>
      <c r="I1847" s="224">
        <v>0</v>
      </c>
    </row>
    <row r="1848" spans="1:9" ht="15.5" x14ac:dyDescent="0.35">
      <c r="A1848" s="224" t="s">
        <v>56</v>
      </c>
      <c r="B1848" s="224" t="s">
        <v>28</v>
      </c>
      <c r="C1848" s="224" t="s">
        <v>86</v>
      </c>
      <c r="D1848" s="224" t="s">
        <v>55</v>
      </c>
      <c r="E1848" s="224" t="s">
        <v>256</v>
      </c>
      <c r="F1848" s="224" t="s">
        <v>111</v>
      </c>
      <c r="G1848" s="223" t="str">
        <f>VLOOKUP($B1848,'FRS geographical categories'!$A$2:$C$45,2,FALSE)</f>
        <v>Significantly Rural</v>
      </c>
      <c r="H1848" s="223" t="str">
        <f>VLOOKUP($B1848,'FRS geographical categories'!$A$2:$C$45,3,FALSE)</f>
        <v>Non-metropolitan</v>
      </c>
      <c r="I1848" s="224">
        <v>93</v>
      </c>
    </row>
    <row r="1849" spans="1:9" ht="15.5" x14ac:dyDescent="0.35">
      <c r="A1849" s="224" t="s">
        <v>56</v>
      </c>
      <c r="B1849" s="224" t="s">
        <v>28</v>
      </c>
      <c r="C1849" s="224" t="s">
        <v>86</v>
      </c>
      <c r="D1849" s="224" t="s">
        <v>55</v>
      </c>
      <c r="E1849" s="224" t="s">
        <v>256</v>
      </c>
      <c r="F1849" s="224" t="s">
        <v>10</v>
      </c>
      <c r="G1849" s="223" t="str">
        <f>VLOOKUP($B1849,'FRS geographical categories'!$A$2:$C$45,2,FALSE)</f>
        <v>Significantly Rural</v>
      </c>
      <c r="H1849" s="223" t="str">
        <f>VLOOKUP($B1849,'FRS geographical categories'!$A$2:$C$45,3,FALSE)</f>
        <v>Non-metropolitan</v>
      </c>
      <c r="I1849" s="224">
        <v>93</v>
      </c>
    </row>
    <row r="1850" spans="1:9" ht="15.5" x14ac:dyDescent="0.35">
      <c r="A1850" s="224" t="s">
        <v>56</v>
      </c>
      <c r="B1850" s="224" t="s">
        <v>28</v>
      </c>
      <c r="C1850" s="224" t="s">
        <v>89</v>
      </c>
      <c r="D1850" s="224" t="s">
        <v>9</v>
      </c>
      <c r="E1850" s="224" t="s">
        <v>256</v>
      </c>
      <c r="F1850" s="224" t="s">
        <v>248</v>
      </c>
      <c r="G1850" s="223" t="str">
        <f>VLOOKUP($B1850,'FRS geographical categories'!$A$2:$C$45,2,FALSE)</f>
        <v>Significantly Rural</v>
      </c>
      <c r="H1850" s="223" t="str">
        <f>VLOOKUP($B1850,'FRS geographical categories'!$A$2:$C$45,3,FALSE)</f>
        <v>Non-metropolitan</v>
      </c>
      <c r="I1850" s="224">
        <v>0</v>
      </c>
    </row>
    <row r="1851" spans="1:9" ht="15.5" x14ac:dyDescent="0.35">
      <c r="A1851" s="224" t="s">
        <v>56</v>
      </c>
      <c r="B1851" s="224" t="s">
        <v>28</v>
      </c>
      <c r="C1851" s="224" t="s">
        <v>89</v>
      </c>
      <c r="D1851" s="224" t="s">
        <v>9</v>
      </c>
      <c r="E1851" s="224" t="s">
        <v>256</v>
      </c>
      <c r="F1851" s="224" t="s">
        <v>249</v>
      </c>
      <c r="G1851" s="223" t="str">
        <f>VLOOKUP($B1851,'FRS geographical categories'!$A$2:$C$45,2,FALSE)</f>
        <v>Significantly Rural</v>
      </c>
      <c r="H1851" s="223" t="str">
        <f>VLOOKUP($B1851,'FRS geographical categories'!$A$2:$C$45,3,FALSE)</f>
        <v>Non-metropolitan</v>
      </c>
      <c r="I1851" s="224">
        <v>0</v>
      </c>
    </row>
    <row r="1852" spans="1:9" ht="15.5" x14ac:dyDescent="0.35">
      <c r="A1852" s="224" t="s">
        <v>56</v>
      </c>
      <c r="B1852" s="224" t="s">
        <v>28</v>
      </c>
      <c r="C1852" s="224" t="s">
        <v>89</v>
      </c>
      <c r="D1852" s="224" t="s">
        <v>9</v>
      </c>
      <c r="E1852" s="224" t="s">
        <v>256</v>
      </c>
      <c r="F1852" s="224" t="s">
        <v>250</v>
      </c>
      <c r="G1852" s="223" t="str">
        <f>VLOOKUP($B1852,'FRS geographical categories'!$A$2:$C$45,2,FALSE)</f>
        <v>Significantly Rural</v>
      </c>
      <c r="H1852" s="223" t="str">
        <f>VLOOKUP($B1852,'FRS geographical categories'!$A$2:$C$45,3,FALSE)</f>
        <v>Non-metropolitan</v>
      </c>
      <c r="I1852" s="224">
        <v>0</v>
      </c>
    </row>
    <row r="1853" spans="1:9" ht="15.5" x14ac:dyDescent="0.35">
      <c r="A1853" s="224" t="s">
        <v>56</v>
      </c>
      <c r="B1853" s="224" t="s">
        <v>28</v>
      </c>
      <c r="C1853" s="224" t="s">
        <v>89</v>
      </c>
      <c r="D1853" s="224" t="s">
        <v>9</v>
      </c>
      <c r="E1853" s="224" t="s">
        <v>256</v>
      </c>
      <c r="F1853" s="224" t="s">
        <v>10</v>
      </c>
      <c r="G1853" s="223" t="str">
        <f>VLOOKUP($B1853,'FRS geographical categories'!$A$2:$C$45,2,FALSE)</f>
        <v>Significantly Rural</v>
      </c>
      <c r="H1853" s="223" t="str">
        <f>VLOOKUP($B1853,'FRS geographical categories'!$A$2:$C$45,3,FALSE)</f>
        <v>Non-metropolitan</v>
      </c>
      <c r="I1853" s="224">
        <v>0</v>
      </c>
    </row>
    <row r="1854" spans="1:9" ht="15.5" x14ac:dyDescent="0.35">
      <c r="A1854" s="224" t="s">
        <v>56</v>
      </c>
      <c r="B1854" s="224" t="s">
        <v>28</v>
      </c>
      <c r="C1854" s="224" t="s">
        <v>89</v>
      </c>
      <c r="D1854" s="224" t="s">
        <v>55</v>
      </c>
      <c r="E1854" s="224" t="s">
        <v>256</v>
      </c>
      <c r="F1854" s="224" t="s">
        <v>248</v>
      </c>
      <c r="G1854" s="223" t="str">
        <f>VLOOKUP($B1854,'FRS geographical categories'!$A$2:$C$45,2,FALSE)</f>
        <v>Significantly Rural</v>
      </c>
      <c r="H1854" s="223" t="str">
        <f>VLOOKUP($B1854,'FRS geographical categories'!$A$2:$C$45,3,FALSE)</f>
        <v>Non-metropolitan</v>
      </c>
      <c r="I1854" s="224">
        <v>0</v>
      </c>
    </row>
    <row r="1855" spans="1:9" ht="15.5" x14ac:dyDescent="0.35">
      <c r="A1855" s="224" t="s">
        <v>56</v>
      </c>
      <c r="B1855" s="224" t="s">
        <v>28</v>
      </c>
      <c r="C1855" s="224" t="s">
        <v>89</v>
      </c>
      <c r="D1855" s="224" t="s">
        <v>55</v>
      </c>
      <c r="E1855" s="224" t="s">
        <v>256</v>
      </c>
      <c r="F1855" s="224" t="s">
        <v>249</v>
      </c>
      <c r="G1855" s="223" t="str">
        <f>VLOOKUP($B1855,'FRS geographical categories'!$A$2:$C$45,2,FALSE)</f>
        <v>Significantly Rural</v>
      </c>
      <c r="H1855" s="223" t="str">
        <f>VLOOKUP($B1855,'FRS geographical categories'!$A$2:$C$45,3,FALSE)</f>
        <v>Non-metropolitan</v>
      </c>
      <c r="I1855" s="224">
        <v>0</v>
      </c>
    </row>
    <row r="1856" spans="1:9" ht="15.5" x14ac:dyDescent="0.35">
      <c r="A1856" s="224" t="s">
        <v>56</v>
      </c>
      <c r="B1856" s="224" t="s">
        <v>28</v>
      </c>
      <c r="C1856" s="224" t="s">
        <v>89</v>
      </c>
      <c r="D1856" s="224" t="s">
        <v>55</v>
      </c>
      <c r="E1856" s="224" t="s">
        <v>256</v>
      </c>
      <c r="F1856" s="224" t="s">
        <v>250</v>
      </c>
      <c r="G1856" s="223" t="str">
        <f>VLOOKUP($B1856,'FRS geographical categories'!$A$2:$C$45,2,FALSE)</f>
        <v>Significantly Rural</v>
      </c>
      <c r="H1856" s="223" t="str">
        <f>VLOOKUP($B1856,'FRS geographical categories'!$A$2:$C$45,3,FALSE)</f>
        <v>Non-metropolitan</v>
      </c>
      <c r="I1856" s="224">
        <v>0</v>
      </c>
    </row>
    <row r="1857" spans="1:9" ht="15.5" x14ac:dyDescent="0.35">
      <c r="A1857" s="224" t="s">
        <v>56</v>
      </c>
      <c r="B1857" s="224" t="s">
        <v>28</v>
      </c>
      <c r="C1857" s="224" t="s">
        <v>89</v>
      </c>
      <c r="D1857" s="224" t="s">
        <v>55</v>
      </c>
      <c r="E1857" s="224" t="s">
        <v>256</v>
      </c>
      <c r="F1857" s="224" t="s">
        <v>10</v>
      </c>
      <c r="G1857" s="223" t="str">
        <f>VLOOKUP($B1857,'FRS geographical categories'!$A$2:$C$45,2,FALSE)</f>
        <v>Significantly Rural</v>
      </c>
      <c r="H1857" s="223" t="str">
        <f>VLOOKUP($B1857,'FRS geographical categories'!$A$2:$C$45,3,FALSE)</f>
        <v>Non-metropolitan</v>
      </c>
      <c r="I1857" s="224">
        <v>0</v>
      </c>
    </row>
    <row r="1858" spans="1:9" ht="15.5" x14ac:dyDescent="0.35">
      <c r="A1858" s="224" t="s">
        <v>56</v>
      </c>
      <c r="B1858" s="224" t="s">
        <v>29</v>
      </c>
      <c r="C1858" s="224" t="s">
        <v>86</v>
      </c>
      <c r="D1858" s="224" t="s">
        <v>9</v>
      </c>
      <c r="E1858" s="224" t="s">
        <v>256</v>
      </c>
      <c r="F1858" s="224" t="s">
        <v>248</v>
      </c>
      <c r="G1858" s="223" t="str">
        <f>VLOOKUP($B1858,'FRS geographical categories'!$A$2:$C$45,2,FALSE)</f>
        <v>Predominantly Urban</v>
      </c>
      <c r="H1858" s="223" t="str">
        <f>VLOOKUP($B1858,'FRS geographical categories'!$A$2:$C$45,3,FALSE)</f>
        <v>Non-metropolitan</v>
      </c>
      <c r="I1858" s="224">
        <v>102</v>
      </c>
    </row>
    <row r="1859" spans="1:9" ht="15.5" x14ac:dyDescent="0.35">
      <c r="A1859" s="224" t="s">
        <v>56</v>
      </c>
      <c r="B1859" s="224" t="s">
        <v>29</v>
      </c>
      <c r="C1859" s="224" t="s">
        <v>86</v>
      </c>
      <c r="D1859" s="224" t="s">
        <v>9</v>
      </c>
      <c r="E1859" s="224" t="s">
        <v>256</v>
      </c>
      <c r="F1859" s="224" t="s">
        <v>249</v>
      </c>
      <c r="G1859" s="223" t="str">
        <f>VLOOKUP($B1859,'FRS geographical categories'!$A$2:$C$45,2,FALSE)</f>
        <v>Predominantly Urban</v>
      </c>
      <c r="H1859" s="223" t="str">
        <f>VLOOKUP($B1859,'FRS geographical categories'!$A$2:$C$45,3,FALSE)</f>
        <v>Non-metropolitan</v>
      </c>
      <c r="I1859" s="224">
        <v>295</v>
      </c>
    </row>
    <row r="1860" spans="1:9" ht="15.5" x14ac:dyDescent="0.35">
      <c r="A1860" s="224" t="s">
        <v>56</v>
      </c>
      <c r="B1860" s="224" t="s">
        <v>29</v>
      </c>
      <c r="C1860" s="224" t="s">
        <v>86</v>
      </c>
      <c r="D1860" s="224" t="s">
        <v>9</v>
      </c>
      <c r="E1860" s="224" t="s">
        <v>256</v>
      </c>
      <c r="F1860" s="224" t="s">
        <v>250</v>
      </c>
      <c r="G1860" s="223" t="str">
        <f>VLOOKUP($B1860,'FRS geographical categories'!$A$2:$C$45,2,FALSE)</f>
        <v>Predominantly Urban</v>
      </c>
      <c r="H1860" s="223" t="str">
        <f>VLOOKUP($B1860,'FRS geographical categories'!$A$2:$C$45,3,FALSE)</f>
        <v>Non-metropolitan</v>
      </c>
      <c r="I1860" s="224">
        <v>1568</v>
      </c>
    </row>
    <row r="1861" spans="1:9" ht="15.5" x14ac:dyDescent="0.35">
      <c r="A1861" s="224" t="s">
        <v>56</v>
      </c>
      <c r="B1861" s="224" t="s">
        <v>29</v>
      </c>
      <c r="C1861" s="224" t="s">
        <v>86</v>
      </c>
      <c r="D1861" s="224" t="s">
        <v>9</v>
      </c>
      <c r="E1861" s="224" t="s">
        <v>256</v>
      </c>
      <c r="F1861" s="224" t="s">
        <v>111</v>
      </c>
      <c r="G1861" s="223" t="str">
        <f>VLOOKUP($B1861,'FRS geographical categories'!$A$2:$C$45,2,FALSE)</f>
        <v>Predominantly Urban</v>
      </c>
      <c r="H1861" s="223" t="str">
        <f>VLOOKUP($B1861,'FRS geographical categories'!$A$2:$C$45,3,FALSE)</f>
        <v>Non-metropolitan</v>
      </c>
      <c r="I1861" s="224">
        <v>2256</v>
      </c>
    </row>
    <row r="1862" spans="1:9" ht="15.5" x14ac:dyDescent="0.35">
      <c r="A1862" s="224" t="s">
        <v>56</v>
      </c>
      <c r="B1862" s="224" t="s">
        <v>29</v>
      </c>
      <c r="C1862" s="224" t="s">
        <v>86</v>
      </c>
      <c r="D1862" s="224" t="s">
        <v>9</v>
      </c>
      <c r="E1862" s="224" t="s">
        <v>256</v>
      </c>
      <c r="F1862" s="224" t="s">
        <v>10</v>
      </c>
      <c r="G1862" s="223" t="str">
        <f>VLOOKUP($B1862,'FRS geographical categories'!$A$2:$C$45,2,FALSE)</f>
        <v>Predominantly Urban</v>
      </c>
      <c r="H1862" s="223" t="str">
        <f>VLOOKUP($B1862,'FRS geographical categories'!$A$2:$C$45,3,FALSE)</f>
        <v>Non-metropolitan</v>
      </c>
      <c r="I1862" s="224">
        <v>3584</v>
      </c>
    </row>
    <row r="1863" spans="1:9" ht="15.5" x14ac:dyDescent="0.35">
      <c r="A1863" s="224" t="s">
        <v>56</v>
      </c>
      <c r="B1863" s="224" t="s">
        <v>29</v>
      </c>
      <c r="C1863" s="224" t="s">
        <v>86</v>
      </c>
      <c r="D1863" s="224" t="s">
        <v>55</v>
      </c>
      <c r="E1863" s="224" t="s">
        <v>256</v>
      </c>
      <c r="F1863" s="224" t="s">
        <v>248</v>
      </c>
      <c r="G1863" s="223" t="str">
        <f>VLOOKUP($B1863,'FRS geographical categories'!$A$2:$C$45,2,FALSE)</f>
        <v>Predominantly Urban</v>
      </c>
      <c r="H1863" s="223" t="str">
        <f>VLOOKUP($B1863,'FRS geographical categories'!$A$2:$C$45,3,FALSE)</f>
        <v>Non-metropolitan</v>
      </c>
      <c r="I1863" s="224">
        <v>11</v>
      </c>
    </row>
    <row r="1864" spans="1:9" ht="15.5" x14ac:dyDescent="0.35">
      <c r="A1864" s="224" t="s">
        <v>56</v>
      </c>
      <c r="B1864" s="224" t="s">
        <v>29</v>
      </c>
      <c r="C1864" s="224" t="s">
        <v>86</v>
      </c>
      <c r="D1864" s="224" t="s">
        <v>55</v>
      </c>
      <c r="E1864" s="224" t="s">
        <v>256</v>
      </c>
      <c r="F1864" s="224" t="s">
        <v>249</v>
      </c>
      <c r="G1864" s="223" t="str">
        <f>VLOOKUP($B1864,'FRS geographical categories'!$A$2:$C$45,2,FALSE)</f>
        <v>Predominantly Urban</v>
      </c>
      <c r="H1864" s="223" t="str">
        <f>VLOOKUP($B1864,'FRS geographical categories'!$A$2:$C$45,3,FALSE)</f>
        <v>Non-metropolitan</v>
      </c>
      <c r="I1864" s="224">
        <v>32</v>
      </c>
    </row>
    <row r="1865" spans="1:9" ht="15.5" x14ac:dyDescent="0.35">
      <c r="A1865" s="224" t="s">
        <v>56</v>
      </c>
      <c r="B1865" s="224" t="s">
        <v>29</v>
      </c>
      <c r="C1865" s="224" t="s">
        <v>86</v>
      </c>
      <c r="D1865" s="224" t="s">
        <v>55</v>
      </c>
      <c r="E1865" s="224" t="s">
        <v>256</v>
      </c>
      <c r="F1865" s="224" t="s">
        <v>250</v>
      </c>
      <c r="G1865" s="223" t="str">
        <f>VLOOKUP($B1865,'FRS geographical categories'!$A$2:$C$45,2,FALSE)</f>
        <v>Predominantly Urban</v>
      </c>
      <c r="H1865" s="223" t="str">
        <f>VLOOKUP($B1865,'FRS geographical categories'!$A$2:$C$45,3,FALSE)</f>
        <v>Non-metropolitan</v>
      </c>
      <c r="I1865" s="224">
        <v>169</v>
      </c>
    </row>
    <row r="1866" spans="1:9" ht="15.5" x14ac:dyDescent="0.35">
      <c r="A1866" s="224" t="s">
        <v>56</v>
      </c>
      <c r="B1866" s="224" t="s">
        <v>29</v>
      </c>
      <c r="C1866" s="224" t="s">
        <v>86</v>
      </c>
      <c r="D1866" s="224" t="s">
        <v>55</v>
      </c>
      <c r="E1866" s="224" t="s">
        <v>256</v>
      </c>
      <c r="F1866" s="224" t="s">
        <v>111</v>
      </c>
      <c r="G1866" s="223" t="str">
        <f>VLOOKUP($B1866,'FRS geographical categories'!$A$2:$C$45,2,FALSE)</f>
        <v>Predominantly Urban</v>
      </c>
      <c r="H1866" s="223" t="str">
        <f>VLOOKUP($B1866,'FRS geographical categories'!$A$2:$C$45,3,FALSE)</f>
        <v>Non-metropolitan</v>
      </c>
      <c r="I1866" s="224">
        <v>227</v>
      </c>
    </row>
    <row r="1867" spans="1:9" ht="15.5" x14ac:dyDescent="0.35">
      <c r="A1867" s="224" t="s">
        <v>56</v>
      </c>
      <c r="B1867" s="224" t="s">
        <v>29</v>
      </c>
      <c r="C1867" s="224" t="s">
        <v>86</v>
      </c>
      <c r="D1867" s="224" t="s">
        <v>55</v>
      </c>
      <c r="E1867" s="224" t="s">
        <v>256</v>
      </c>
      <c r="F1867" s="224" t="s">
        <v>10</v>
      </c>
      <c r="G1867" s="223" t="str">
        <f>VLOOKUP($B1867,'FRS geographical categories'!$A$2:$C$45,2,FALSE)</f>
        <v>Predominantly Urban</v>
      </c>
      <c r="H1867" s="223" t="str">
        <f>VLOOKUP($B1867,'FRS geographical categories'!$A$2:$C$45,3,FALSE)</f>
        <v>Non-metropolitan</v>
      </c>
      <c r="I1867" s="224">
        <v>299</v>
      </c>
    </row>
    <row r="1868" spans="1:9" ht="15.5" x14ac:dyDescent="0.35">
      <c r="A1868" s="224" t="s">
        <v>56</v>
      </c>
      <c r="B1868" s="224" t="s">
        <v>29</v>
      </c>
      <c r="C1868" s="224" t="s">
        <v>89</v>
      </c>
      <c r="D1868" s="224" t="s">
        <v>9</v>
      </c>
      <c r="E1868" s="224" t="s">
        <v>256</v>
      </c>
      <c r="F1868" s="224" t="s">
        <v>248</v>
      </c>
      <c r="G1868" s="223" t="str">
        <f>VLOOKUP($B1868,'FRS geographical categories'!$A$2:$C$45,2,FALSE)</f>
        <v>Predominantly Urban</v>
      </c>
      <c r="H1868" s="223" t="str">
        <f>VLOOKUP($B1868,'FRS geographical categories'!$A$2:$C$45,3,FALSE)</f>
        <v>Non-metropolitan</v>
      </c>
      <c r="I1868" s="224">
        <v>153</v>
      </c>
    </row>
    <row r="1869" spans="1:9" ht="15.5" x14ac:dyDescent="0.35">
      <c r="A1869" s="224" t="s">
        <v>56</v>
      </c>
      <c r="B1869" s="224" t="s">
        <v>29</v>
      </c>
      <c r="C1869" s="224" t="s">
        <v>89</v>
      </c>
      <c r="D1869" s="224" t="s">
        <v>9</v>
      </c>
      <c r="E1869" s="224" t="s">
        <v>256</v>
      </c>
      <c r="F1869" s="224" t="s">
        <v>249</v>
      </c>
      <c r="G1869" s="223" t="str">
        <f>VLOOKUP($B1869,'FRS geographical categories'!$A$2:$C$45,2,FALSE)</f>
        <v>Predominantly Urban</v>
      </c>
      <c r="H1869" s="223" t="str">
        <f>VLOOKUP($B1869,'FRS geographical categories'!$A$2:$C$45,3,FALSE)</f>
        <v>Non-metropolitan</v>
      </c>
      <c r="I1869" s="224">
        <v>323</v>
      </c>
    </row>
    <row r="1870" spans="1:9" ht="15.5" x14ac:dyDescent="0.35">
      <c r="A1870" s="224" t="s">
        <v>56</v>
      </c>
      <c r="B1870" s="224" t="s">
        <v>29</v>
      </c>
      <c r="C1870" s="224" t="s">
        <v>89</v>
      </c>
      <c r="D1870" s="224" t="s">
        <v>9</v>
      </c>
      <c r="E1870" s="224" t="s">
        <v>256</v>
      </c>
      <c r="F1870" s="224" t="s">
        <v>250</v>
      </c>
      <c r="G1870" s="223" t="str">
        <f>VLOOKUP($B1870,'FRS geographical categories'!$A$2:$C$45,2,FALSE)</f>
        <v>Predominantly Urban</v>
      </c>
      <c r="H1870" s="223" t="str">
        <f>VLOOKUP($B1870,'FRS geographical categories'!$A$2:$C$45,3,FALSE)</f>
        <v>Non-metropolitan</v>
      </c>
      <c r="I1870" s="224">
        <v>282</v>
      </c>
    </row>
    <row r="1871" spans="1:9" ht="15.5" x14ac:dyDescent="0.35">
      <c r="A1871" s="224" t="s">
        <v>56</v>
      </c>
      <c r="B1871" s="224" t="s">
        <v>29</v>
      </c>
      <c r="C1871" s="224" t="s">
        <v>89</v>
      </c>
      <c r="D1871" s="224" t="s">
        <v>9</v>
      </c>
      <c r="E1871" s="224" t="s">
        <v>256</v>
      </c>
      <c r="F1871" s="224" t="s">
        <v>10</v>
      </c>
      <c r="G1871" s="223" t="str">
        <f>VLOOKUP($B1871,'FRS geographical categories'!$A$2:$C$45,2,FALSE)</f>
        <v>Predominantly Urban</v>
      </c>
      <c r="H1871" s="223" t="str">
        <f>VLOOKUP($B1871,'FRS geographical categories'!$A$2:$C$45,3,FALSE)</f>
        <v>Non-metropolitan</v>
      </c>
      <c r="I1871" s="224">
        <v>3701</v>
      </c>
    </row>
    <row r="1872" spans="1:9" ht="15.5" x14ac:dyDescent="0.35">
      <c r="A1872" s="224" t="s">
        <v>56</v>
      </c>
      <c r="B1872" s="224" t="s">
        <v>29</v>
      </c>
      <c r="C1872" s="224" t="s">
        <v>89</v>
      </c>
      <c r="D1872" s="224" t="s">
        <v>55</v>
      </c>
      <c r="E1872" s="224" t="s">
        <v>256</v>
      </c>
      <c r="F1872" s="224" t="s">
        <v>248</v>
      </c>
      <c r="G1872" s="223" t="str">
        <f>VLOOKUP($B1872,'FRS geographical categories'!$A$2:$C$45,2,FALSE)</f>
        <v>Predominantly Urban</v>
      </c>
      <c r="H1872" s="223" t="str">
        <f>VLOOKUP($B1872,'FRS geographical categories'!$A$2:$C$45,3,FALSE)</f>
        <v>Non-metropolitan</v>
      </c>
      <c r="I1872" s="224">
        <v>0</v>
      </c>
    </row>
    <row r="1873" spans="1:9" ht="15.5" x14ac:dyDescent="0.35">
      <c r="A1873" s="224" t="s">
        <v>56</v>
      </c>
      <c r="B1873" s="224" t="s">
        <v>29</v>
      </c>
      <c r="C1873" s="224" t="s">
        <v>89</v>
      </c>
      <c r="D1873" s="224" t="s">
        <v>55</v>
      </c>
      <c r="E1873" s="224" t="s">
        <v>256</v>
      </c>
      <c r="F1873" s="224" t="s">
        <v>249</v>
      </c>
      <c r="G1873" s="223" t="str">
        <f>VLOOKUP($B1873,'FRS geographical categories'!$A$2:$C$45,2,FALSE)</f>
        <v>Predominantly Urban</v>
      </c>
      <c r="H1873" s="223" t="str">
        <f>VLOOKUP($B1873,'FRS geographical categories'!$A$2:$C$45,3,FALSE)</f>
        <v>Non-metropolitan</v>
      </c>
      <c r="I1873" s="224">
        <v>2</v>
      </c>
    </row>
    <row r="1874" spans="1:9" ht="15.5" x14ac:dyDescent="0.35">
      <c r="A1874" s="224" t="s">
        <v>56</v>
      </c>
      <c r="B1874" s="224" t="s">
        <v>29</v>
      </c>
      <c r="C1874" s="224" t="s">
        <v>89</v>
      </c>
      <c r="D1874" s="224" t="s">
        <v>55</v>
      </c>
      <c r="E1874" s="224" t="s">
        <v>256</v>
      </c>
      <c r="F1874" s="224" t="s">
        <v>250</v>
      </c>
      <c r="G1874" s="223" t="str">
        <f>VLOOKUP($B1874,'FRS geographical categories'!$A$2:$C$45,2,FALSE)</f>
        <v>Predominantly Urban</v>
      </c>
      <c r="H1874" s="223" t="str">
        <f>VLOOKUP($B1874,'FRS geographical categories'!$A$2:$C$45,3,FALSE)</f>
        <v>Non-metropolitan</v>
      </c>
      <c r="I1874" s="224">
        <v>10</v>
      </c>
    </row>
    <row r="1875" spans="1:9" ht="15.5" x14ac:dyDescent="0.35">
      <c r="A1875" s="224" t="s">
        <v>56</v>
      </c>
      <c r="B1875" s="224" t="s">
        <v>29</v>
      </c>
      <c r="C1875" s="224" t="s">
        <v>89</v>
      </c>
      <c r="D1875" s="224" t="s">
        <v>55</v>
      </c>
      <c r="E1875" s="224" t="s">
        <v>256</v>
      </c>
      <c r="F1875" s="224" t="s">
        <v>10</v>
      </c>
      <c r="G1875" s="223" t="str">
        <f>VLOOKUP($B1875,'FRS geographical categories'!$A$2:$C$45,2,FALSE)</f>
        <v>Predominantly Urban</v>
      </c>
      <c r="H1875" s="223" t="str">
        <f>VLOOKUP($B1875,'FRS geographical categories'!$A$2:$C$45,3,FALSE)</f>
        <v>Non-metropolitan</v>
      </c>
      <c r="I1875" s="224">
        <v>21</v>
      </c>
    </row>
    <row r="1876" spans="1:9" ht="15.5" x14ac:dyDescent="0.35">
      <c r="A1876" s="224" t="s">
        <v>56</v>
      </c>
      <c r="B1876" s="224" t="s">
        <v>30</v>
      </c>
      <c r="C1876" s="224" t="s">
        <v>86</v>
      </c>
      <c r="D1876" s="224" t="s">
        <v>9</v>
      </c>
      <c r="E1876" s="224" t="s">
        <v>256</v>
      </c>
      <c r="F1876" s="224" t="s">
        <v>248</v>
      </c>
      <c r="G1876" s="223" t="str">
        <f>VLOOKUP($B1876,'FRS geographical categories'!$A$2:$C$45,2,FALSE)</f>
        <v>Significantly Rural</v>
      </c>
      <c r="H1876" s="223" t="str">
        <f>VLOOKUP($B1876,'FRS geographical categories'!$A$2:$C$45,3,FALSE)</f>
        <v>Non-metropolitan</v>
      </c>
      <c r="I1876" s="224">
        <v>469</v>
      </c>
    </row>
    <row r="1877" spans="1:9" ht="15.5" x14ac:dyDescent="0.35">
      <c r="A1877" s="224" t="s">
        <v>56</v>
      </c>
      <c r="B1877" s="224" t="s">
        <v>30</v>
      </c>
      <c r="C1877" s="224" t="s">
        <v>86</v>
      </c>
      <c r="D1877" s="224" t="s">
        <v>9</v>
      </c>
      <c r="E1877" s="224" t="s">
        <v>256</v>
      </c>
      <c r="F1877" s="224" t="s">
        <v>249</v>
      </c>
      <c r="G1877" s="223" t="str">
        <f>VLOOKUP($B1877,'FRS geographical categories'!$A$2:$C$45,2,FALSE)</f>
        <v>Significantly Rural</v>
      </c>
      <c r="H1877" s="223" t="str">
        <f>VLOOKUP($B1877,'FRS geographical categories'!$A$2:$C$45,3,FALSE)</f>
        <v>Non-metropolitan</v>
      </c>
      <c r="I1877" s="224">
        <v>841</v>
      </c>
    </row>
    <row r="1878" spans="1:9" ht="15.5" x14ac:dyDescent="0.35">
      <c r="A1878" s="224" t="s">
        <v>56</v>
      </c>
      <c r="B1878" s="224" t="s">
        <v>30</v>
      </c>
      <c r="C1878" s="224" t="s">
        <v>86</v>
      </c>
      <c r="D1878" s="224" t="s">
        <v>9</v>
      </c>
      <c r="E1878" s="224" t="s">
        <v>256</v>
      </c>
      <c r="F1878" s="224" t="s">
        <v>250</v>
      </c>
      <c r="G1878" s="223" t="str">
        <f>VLOOKUP($B1878,'FRS geographical categories'!$A$2:$C$45,2,FALSE)</f>
        <v>Significantly Rural</v>
      </c>
      <c r="H1878" s="223" t="str">
        <f>VLOOKUP($B1878,'FRS geographical categories'!$A$2:$C$45,3,FALSE)</f>
        <v>Non-metropolitan</v>
      </c>
      <c r="I1878" s="224">
        <v>5138</v>
      </c>
    </row>
    <row r="1879" spans="1:9" ht="15.5" x14ac:dyDescent="0.35">
      <c r="A1879" s="224" t="s">
        <v>56</v>
      </c>
      <c r="B1879" s="224" t="s">
        <v>30</v>
      </c>
      <c r="C1879" s="224" t="s">
        <v>86</v>
      </c>
      <c r="D1879" s="224" t="s">
        <v>9</v>
      </c>
      <c r="E1879" s="224" t="s">
        <v>256</v>
      </c>
      <c r="F1879" s="224" t="s">
        <v>111</v>
      </c>
      <c r="G1879" s="223" t="str">
        <f>VLOOKUP($B1879,'FRS geographical categories'!$A$2:$C$45,2,FALSE)</f>
        <v>Significantly Rural</v>
      </c>
      <c r="H1879" s="223" t="str">
        <f>VLOOKUP($B1879,'FRS geographical categories'!$A$2:$C$45,3,FALSE)</f>
        <v>Non-metropolitan</v>
      </c>
      <c r="I1879" s="224">
        <v>7646</v>
      </c>
    </row>
    <row r="1880" spans="1:9" ht="15.5" x14ac:dyDescent="0.35">
      <c r="A1880" s="224" t="s">
        <v>56</v>
      </c>
      <c r="B1880" s="224" t="s">
        <v>30</v>
      </c>
      <c r="C1880" s="224" t="s">
        <v>86</v>
      </c>
      <c r="D1880" s="224" t="s">
        <v>9</v>
      </c>
      <c r="E1880" s="224" t="s">
        <v>256</v>
      </c>
      <c r="F1880" s="224" t="s">
        <v>10</v>
      </c>
      <c r="G1880" s="223" t="str">
        <f>VLOOKUP($B1880,'FRS geographical categories'!$A$2:$C$45,2,FALSE)</f>
        <v>Significantly Rural</v>
      </c>
      <c r="H1880" s="223" t="str">
        <f>VLOOKUP($B1880,'FRS geographical categories'!$A$2:$C$45,3,FALSE)</f>
        <v>Non-metropolitan</v>
      </c>
      <c r="I1880" s="224">
        <v>8047</v>
      </c>
    </row>
    <row r="1881" spans="1:9" ht="15.5" x14ac:dyDescent="0.35">
      <c r="A1881" s="224" t="s">
        <v>56</v>
      </c>
      <c r="B1881" s="224" t="s">
        <v>30</v>
      </c>
      <c r="C1881" s="224" t="s">
        <v>86</v>
      </c>
      <c r="D1881" s="224" t="s">
        <v>55</v>
      </c>
      <c r="E1881" s="224" t="s">
        <v>256</v>
      </c>
      <c r="F1881" s="224" t="s">
        <v>248</v>
      </c>
      <c r="G1881" s="223" t="str">
        <f>VLOOKUP($B1881,'FRS geographical categories'!$A$2:$C$45,2,FALSE)</f>
        <v>Significantly Rural</v>
      </c>
      <c r="H1881" s="223" t="str">
        <f>VLOOKUP($B1881,'FRS geographical categories'!$A$2:$C$45,3,FALSE)</f>
        <v>Non-metropolitan</v>
      </c>
      <c r="I1881" s="224">
        <v>0</v>
      </c>
    </row>
    <row r="1882" spans="1:9" ht="15.5" x14ac:dyDescent="0.35">
      <c r="A1882" s="224" t="s">
        <v>56</v>
      </c>
      <c r="B1882" s="224" t="s">
        <v>30</v>
      </c>
      <c r="C1882" s="224" t="s">
        <v>86</v>
      </c>
      <c r="D1882" s="224" t="s">
        <v>55</v>
      </c>
      <c r="E1882" s="224" t="s">
        <v>256</v>
      </c>
      <c r="F1882" s="224" t="s">
        <v>249</v>
      </c>
      <c r="G1882" s="223" t="str">
        <f>VLOOKUP($B1882,'FRS geographical categories'!$A$2:$C$45,2,FALSE)</f>
        <v>Significantly Rural</v>
      </c>
      <c r="H1882" s="223" t="str">
        <f>VLOOKUP($B1882,'FRS geographical categories'!$A$2:$C$45,3,FALSE)</f>
        <v>Non-metropolitan</v>
      </c>
      <c r="I1882" s="224">
        <v>0</v>
      </c>
    </row>
    <row r="1883" spans="1:9" ht="15.5" x14ac:dyDescent="0.35">
      <c r="A1883" s="224" t="s">
        <v>56</v>
      </c>
      <c r="B1883" s="224" t="s">
        <v>30</v>
      </c>
      <c r="C1883" s="224" t="s">
        <v>86</v>
      </c>
      <c r="D1883" s="224" t="s">
        <v>55</v>
      </c>
      <c r="E1883" s="224" t="s">
        <v>256</v>
      </c>
      <c r="F1883" s="224" t="s">
        <v>250</v>
      </c>
      <c r="G1883" s="223" t="str">
        <f>VLOOKUP($B1883,'FRS geographical categories'!$A$2:$C$45,2,FALSE)</f>
        <v>Significantly Rural</v>
      </c>
      <c r="H1883" s="223" t="str">
        <f>VLOOKUP($B1883,'FRS geographical categories'!$A$2:$C$45,3,FALSE)</f>
        <v>Non-metropolitan</v>
      </c>
      <c r="I1883" s="224">
        <v>0</v>
      </c>
    </row>
    <row r="1884" spans="1:9" ht="15.5" x14ac:dyDescent="0.35">
      <c r="A1884" s="224" t="s">
        <v>56</v>
      </c>
      <c r="B1884" s="224" t="s">
        <v>30</v>
      </c>
      <c r="C1884" s="224" t="s">
        <v>86</v>
      </c>
      <c r="D1884" s="224" t="s">
        <v>55</v>
      </c>
      <c r="E1884" s="224" t="s">
        <v>256</v>
      </c>
      <c r="F1884" s="224" t="s">
        <v>111</v>
      </c>
      <c r="G1884" s="223" t="str">
        <f>VLOOKUP($B1884,'FRS geographical categories'!$A$2:$C$45,2,FALSE)</f>
        <v>Significantly Rural</v>
      </c>
      <c r="H1884" s="223" t="str">
        <f>VLOOKUP($B1884,'FRS geographical categories'!$A$2:$C$45,3,FALSE)</f>
        <v>Non-metropolitan</v>
      </c>
      <c r="I1884" s="224">
        <v>0</v>
      </c>
    </row>
    <row r="1885" spans="1:9" ht="15.5" x14ac:dyDescent="0.35">
      <c r="A1885" s="224" t="s">
        <v>56</v>
      </c>
      <c r="B1885" s="224" t="s">
        <v>30</v>
      </c>
      <c r="C1885" s="224" t="s">
        <v>86</v>
      </c>
      <c r="D1885" s="224" t="s">
        <v>55</v>
      </c>
      <c r="E1885" s="224" t="s">
        <v>256</v>
      </c>
      <c r="F1885" s="224" t="s">
        <v>10</v>
      </c>
      <c r="G1885" s="223" t="str">
        <f>VLOOKUP($B1885,'FRS geographical categories'!$A$2:$C$45,2,FALSE)</f>
        <v>Significantly Rural</v>
      </c>
      <c r="H1885" s="223" t="str">
        <f>VLOOKUP($B1885,'FRS geographical categories'!$A$2:$C$45,3,FALSE)</f>
        <v>Non-metropolitan</v>
      </c>
      <c r="I1885" s="224">
        <v>0</v>
      </c>
    </row>
    <row r="1886" spans="1:9" ht="15.5" x14ac:dyDescent="0.35">
      <c r="A1886" s="224" t="s">
        <v>56</v>
      </c>
      <c r="B1886" s="224" t="s">
        <v>30</v>
      </c>
      <c r="C1886" s="224" t="s">
        <v>89</v>
      </c>
      <c r="D1886" s="224" t="s">
        <v>9</v>
      </c>
      <c r="E1886" s="224" t="s">
        <v>256</v>
      </c>
      <c r="F1886" s="224" t="s">
        <v>248</v>
      </c>
      <c r="G1886" s="223" t="str">
        <f>VLOOKUP($B1886,'FRS geographical categories'!$A$2:$C$45,2,FALSE)</f>
        <v>Significantly Rural</v>
      </c>
      <c r="H1886" s="223" t="str">
        <f>VLOOKUP($B1886,'FRS geographical categories'!$A$2:$C$45,3,FALSE)</f>
        <v>Non-metropolitan</v>
      </c>
      <c r="I1886" s="224">
        <v>0</v>
      </c>
    </row>
    <row r="1887" spans="1:9" ht="15.5" x14ac:dyDescent="0.35">
      <c r="A1887" s="224" t="s">
        <v>56</v>
      </c>
      <c r="B1887" s="224" t="s">
        <v>30</v>
      </c>
      <c r="C1887" s="224" t="s">
        <v>89</v>
      </c>
      <c r="D1887" s="224" t="s">
        <v>9</v>
      </c>
      <c r="E1887" s="224" t="s">
        <v>256</v>
      </c>
      <c r="F1887" s="224" t="s">
        <v>249</v>
      </c>
      <c r="G1887" s="223" t="str">
        <f>VLOOKUP($B1887,'FRS geographical categories'!$A$2:$C$45,2,FALSE)</f>
        <v>Significantly Rural</v>
      </c>
      <c r="H1887" s="223" t="str">
        <f>VLOOKUP($B1887,'FRS geographical categories'!$A$2:$C$45,3,FALSE)</f>
        <v>Non-metropolitan</v>
      </c>
      <c r="I1887" s="224">
        <v>0</v>
      </c>
    </row>
    <row r="1888" spans="1:9" ht="15.5" x14ac:dyDescent="0.35">
      <c r="A1888" s="224" t="s">
        <v>56</v>
      </c>
      <c r="B1888" s="224" t="s">
        <v>30</v>
      </c>
      <c r="C1888" s="224" t="s">
        <v>89</v>
      </c>
      <c r="D1888" s="224" t="s">
        <v>9</v>
      </c>
      <c r="E1888" s="224" t="s">
        <v>256</v>
      </c>
      <c r="F1888" s="224" t="s">
        <v>250</v>
      </c>
      <c r="G1888" s="223" t="str">
        <f>VLOOKUP($B1888,'FRS geographical categories'!$A$2:$C$45,2,FALSE)</f>
        <v>Significantly Rural</v>
      </c>
      <c r="H1888" s="223" t="str">
        <f>VLOOKUP($B1888,'FRS geographical categories'!$A$2:$C$45,3,FALSE)</f>
        <v>Non-metropolitan</v>
      </c>
      <c r="I1888" s="224">
        <v>0</v>
      </c>
    </row>
    <row r="1889" spans="1:9" ht="15.5" x14ac:dyDescent="0.35">
      <c r="A1889" s="224" t="s">
        <v>56</v>
      </c>
      <c r="B1889" s="224" t="s">
        <v>30</v>
      </c>
      <c r="C1889" s="224" t="s">
        <v>89</v>
      </c>
      <c r="D1889" s="224" t="s">
        <v>9</v>
      </c>
      <c r="E1889" s="224" t="s">
        <v>256</v>
      </c>
      <c r="F1889" s="224" t="s">
        <v>10</v>
      </c>
      <c r="G1889" s="223" t="str">
        <f>VLOOKUP($B1889,'FRS geographical categories'!$A$2:$C$45,2,FALSE)</f>
        <v>Significantly Rural</v>
      </c>
      <c r="H1889" s="223" t="str">
        <f>VLOOKUP($B1889,'FRS geographical categories'!$A$2:$C$45,3,FALSE)</f>
        <v>Non-metropolitan</v>
      </c>
      <c r="I1889" s="224">
        <v>0</v>
      </c>
    </row>
    <row r="1890" spans="1:9" ht="15.5" x14ac:dyDescent="0.35">
      <c r="A1890" s="224" t="s">
        <v>56</v>
      </c>
      <c r="B1890" s="224" t="s">
        <v>30</v>
      </c>
      <c r="C1890" s="224" t="s">
        <v>89</v>
      </c>
      <c r="D1890" s="224" t="s">
        <v>55</v>
      </c>
      <c r="E1890" s="224" t="s">
        <v>256</v>
      </c>
      <c r="F1890" s="224" t="s">
        <v>248</v>
      </c>
      <c r="G1890" s="223" t="str">
        <f>VLOOKUP($B1890,'FRS geographical categories'!$A$2:$C$45,2,FALSE)</f>
        <v>Significantly Rural</v>
      </c>
      <c r="H1890" s="223" t="str">
        <f>VLOOKUP($B1890,'FRS geographical categories'!$A$2:$C$45,3,FALSE)</f>
        <v>Non-metropolitan</v>
      </c>
      <c r="I1890" s="224">
        <v>0</v>
      </c>
    </row>
    <row r="1891" spans="1:9" ht="15.5" x14ac:dyDescent="0.35">
      <c r="A1891" s="224" t="s">
        <v>56</v>
      </c>
      <c r="B1891" s="224" t="s">
        <v>30</v>
      </c>
      <c r="C1891" s="224" t="s">
        <v>89</v>
      </c>
      <c r="D1891" s="224" t="s">
        <v>55</v>
      </c>
      <c r="E1891" s="224" t="s">
        <v>256</v>
      </c>
      <c r="F1891" s="224" t="s">
        <v>249</v>
      </c>
      <c r="G1891" s="223" t="str">
        <f>VLOOKUP($B1891,'FRS geographical categories'!$A$2:$C$45,2,FALSE)</f>
        <v>Significantly Rural</v>
      </c>
      <c r="H1891" s="223" t="str">
        <f>VLOOKUP($B1891,'FRS geographical categories'!$A$2:$C$45,3,FALSE)</f>
        <v>Non-metropolitan</v>
      </c>
      <c r="I1891" s="224">
        <v>0</v>
      </c>
    </row>
    <row r="1892" spans="1:9" ht="15.5" x14ac:dyDescent="0.35">
      <c r="A1892" s="224" t="s">
        <v>56</v>
      </c>
      <c r="B1892" s="224" t="s">
        <v>30</v>
      </c>
      <c r="C1892" s="224" t="s">
        <v>89</v>
      </c>
      <c r="D1892" s="224" t="s">
        <v>55</v>
      </c>
      <c r="E1892" s="224" t="s">
        <v>256</v>
      </c>
      <c r="F1892" s="224" t="s">
        <v>250</v>
      </c>
      <c r="G1892" s="223" t="str">
        <f>VLOOKUP($B1892,'FRS geographical categories'!$A$2:$C$45,2,FALSE)</f>
        <v>Significantly Rural</v>
      </c>
      <c r="H1892" s="223" t="str">
        <f>VLOOKUP($B1892,'FRS geographical categories'!$A$2:$C$45,3,FALSE)</f>
        <v>Non-metropolitan</v>
      </c>
      <c r="I1892" s="224">
        <v>0</v>
      </c>
    </row>
    <row r="1893" spans="1:9" ht="15.5" x14ac:dyDescent="0.35">
      <c r="A1893" s="224" t="s">
        <v>56</v>
      </c>
      <c r="B1893" s="224" t="s">
        <v>30</v>
      </c>
      <c r="C1893" s="224" t="s">
        <v>89</v>
      </c>
      <c r="D1893" s="224" t="s">
        <v>55</v>
      </c>
      <c r="E1893" s="224" t="s">
        <v>256</v>
      </c>
      <c r="F1893" s="224" t="s">
        <v>10</v>
      </c>
      <c r="G1893" s="223" t="str">
        <f>VLOOKUP($B1893,'FRS geographical categories'!$A$2:$C$45,2,FALSE)</f>
        <v>Significantly Rural</v>
      </c>
      <c r="H1893" s="223" t="str">
        <f>VLOOKUP($B1893,'FRS geographical categories'!$A$2:$C$45,3,FALSE)</f>
        <v>Non-metropolitan</v>
      </c>
      <c r="I1893" s="224">
        <v>0</v>
      </c>
    </row>
    <row r="1894" spans="1:9" ht="15.5" x14ac:dyDescent="0.35">
      <c r="A1894" s="224" t="s">
        <v>56</v>
      </c>
      <c r="B1894" s="224" t="s">
        <v>31</v>
      </c>
      <c r="C1894" s="224" t="s">
        <v>86</v>
      </c>
      <c r="D1894" s="224" t="s">
        <v>9</v>
      </c>
      <c r="E1894" s="224" t="s">
        <v>256</v>
      </c>
      <c r="F1894" s="224" t="s">
        <v>248</v>
      </c>
      <c r="G1894" s="223" t="str">
        <f>VLOOKUP($B1894,'FRS geographical categories'!$A$2:$C$45,2,FALSE)</f>
        <v>Predominantly Rural</v>
      </c>
      <c r="H1894" s="223" t="str">
        <f>VLOOKUP($B1894,'FRS geographical categories'!$A$2:$C$45,3,FALSE)</f>
        <v>Non-metropolitan</v>
      </c>
      <c r="I1894" s="224">
        <v>0</v>
      </c>
    </row>
    <row r="1895" spans="1:9" ht="15.5" x14ac:dyDescent="0.35">
      <c r="A1895" s="224" t="s">
        <v>56</v>
      </c>
      <c r="B1895" s="224" t="s">
        <v>31</v>
      </c>
      <c r="C1895" s="224" t="s">
        <v>86</v>
      </c>
      <c r="D1895" s="224" t="s">
        <v>9</v>
      </c>
      <c r="E1895" s="224" t="s">
        <v>256</v>
      </c>
      <c r="F1895" s="224" t="s">
        <v>249</v>
      </c>
      <c r="G1895" s="223" t="str">
        <f>VLOOKUP($B1895,'FRS geographical categories'!$A$2:$C$45,2,FALSE)</f>
        <v>Predominantly Rural</v>
      </c>
      <c r="H1895" s="223" t="str">
        <f>VLOOKUP($B1895,'FRS geographical categories'!$A$2:$C$45,3,FALSE)</f>
        <v>Non-metropolitan</v>
      </c>
      <c r="I1895" s="224">
        <v>0</v>
      </c>
    </row>
    <row r="1896" spans="1:9" ht="15.5" x14ac:dyDescent="0.35">
      <c r="A1896" s="224" t="s">
        <v>56</v>
      </c>
      <c r="B1896" s="224" t="s">
        <v>31</v>
      </c>
      <c r="C1896" s="224" t="s">
        <v>86</v>
      </c>
      <c r="D1896" s="224" t="s">
        <v>9</v>
      </c>
      <c r="E1896" s="224" t="s">
        <v>256</v>
      </c>
      <c r="F1896" s="224" t="s">
        <v>250</v>
      </c>
      <c r="G1896" s="223" t="str">
        <f>VLOOKUP($B1896,'FRS geographical categories'!$A$2:$C$45,2,FALSE)</f>
        <v>Predominantly Rural</v>
      </c>
      <c r="H1896" s="223" t="str">
        <f>VLOOKUP($B1896,'FRS geographical categories'!$A$2:$C$45,3,FALSE)</f>
        <v>Non-metropolitan</v>
      </c>
      <c r="I1896" s="224">
        <v>0</v>
      </c>
    </row>
    <row r="1897" spans="1:9" ht="15.5" x14ac:dyDescent="0.35">
      <c r="A1897" s="224" t="s">
        <v>56</v>
      </c>
      <c r="B1897" s="224" t="s">
        <v>31</v>
      </c>
      <c r="C1897" s="224" t="s">
        <v>86</v>
      </c>
      <c r="D1897" s="224" t="s">
        <v>9</v>
      </c>
      <c r="E1897" s="224" t="s">
        <v>256</v>
      </c>
      <c r="F1897" s="224" t="s">
        <v>111</v>
      </c>
      <c r="G1897" s="223" t="str">
        <f>VLOOKUP($B1897,'FRS geographical categories'!$A$2:$C$45,2,FALSE)</f>
        <v>Predominantly Rural</v>
      </c>
      <c r="H1897" s="223" t="str">
        <f>VLOOKUP($B1897,'FRS geographical categories'!$A$2:$C$45,3,FALSE)</f>
        <v>Non-metropolitan</v>
      </c>
      <c r="I1897" s="224">
        <v>0</v>
      </c>
    </row>
    <row r="1898" spans="1:9" ht="15.5" x14ac:dyDescent="0.35">
      <c r="A1898" s="224" t="s">
        <v>56</v>
      </c>
      <c r="B1898" s="224" t="s">
        <v>31</v>
      </c>
      <c r="C1898" s="224" t="s">
        <v>86</v>
      </c>
      <c r="D1898" s="224" t="s">
        <v>9</v>
      </c>
      <c r="E1898" s="224" t="s">
        <v>256</v>
      </c>
      <c r="F1898" s="224" t="s">
        <v>10</v>
      </c>
      <c r="G1898" s="223" t="str">
        <f>VLOOKUP($B1898,'FRS geographical categories'!$A$2:$C$45,2,FALSE)</f>
        <v>Predominantly Rural</v>
      </c>
      <c r="H1898" s="223" t="str">
        <f>VLOOKUP($B1898,'FRS geographical categories'!$A$2:$C$45,3,FALSE)</f>
        <v>Non-metropolitan</v>
      </c>
      <c r="I1898" s="224">
        <v>51</v>
      </c>
    </row>
    <row r="1899" spans="1:9" ht="15.5" x14ac:dyDescent="0.35">
      <c r="A1899" s="224" t="s">
        <v>56</v>
      </c>
      <c r="B1899" s="224" t="s">
        <v>31</v>
      </c>
      <c r="C1899" s="224" t="s">
        <v>86</v>
      </c>
      <c r="D1899" s="224" t="s">
        <v>55</v>
      </c>
      <c r="E1899" s="224" t="s">
        <v>256</v>
      </c>
      <c r="F1899" s="224" t="s">
        <v>248</v>
      </c>
      <c r="G1899" s="223" t="str">
        <f>VLOOKUP($B1899,'FRS geographical categories'!$A$2:$C$45,2,FALSE)</f>
        <v>Predominantly Rural</v>
      </c>
      <c r="H1899" s="223" t="str">
        <f>VLOOKUP($B1899,'FRS geographical categories'!$A$2:$C$45,3,FALSE)</f>
        <v>Non-metropolitan</v>
      </c>
      <c r="I1899" s="224">
        <v>0</v>
      </c>
    </row>
    <row r="1900" spans="1:9" ht="15.5" x14ac:dyDescent="0.35">
      <c r="A1900" s="224" t="s">
        <v>56</v>
      </c>
      <c r="B1900" s="224" t="s">
        <v>31</v>
      </c>
      <c r="C1900" s="224" t="s">
        <v>86</v>
      </c>
      <c r="D1900" s="224" t="s">
        <v>55</v>
      </c>
      <c r="E1900" s="224" t="s">
        <v>256</v>
      </c>
      <c r="F1900" s="224" t="s">
        <v>249</v>
      </c>
      <c r="G1900" s="223" t="str">
        <f>VLOOKUP($B1900,'FRS geographical categories'!$A$2:$C$45,2,FALSE)</f>
        <v>Predominantly Rural</v>
      </c>
      <c r="H1900" s="223" t="str">
        <f>VLOOKUP($B1900,'FRS geographical categories'!$A$2:$C$45,3,FALSE)</f>
        <v>Non-metropolitan</v>
      </c>
      <c r="I1900" s="224">
        <v>0</v>
      </c>
    </row>
    <row r="1901" spans="1:9" ht="15.5" x14ac:dyDescent="0.35">
      <c r="A1901" s="224" t="s">
        <v>56</v>
      </c>
      <c r="B1901" s="224" t="s">
        <v>31</v>
      </c>
      <c r="C1901" s="224" t="s">
        <v>86</v>
      </c>
      <c r="D1901" s="224" t="s">
        <v>55</v>
      </c>
      <c r="E1901" s="224" t="s">
        <v>256</v>
      </c>
      <c r="F1901" s="224" t="s">
        <v>250</v>
      </c>
      <c r="G1901" s="223" t="str">
        <f>VLOOKUP($B1901,'FRS geographical categories'!$A$2:$C$45,2,FALSE)</f>
        <v>Predominantly Rural</v>
      </c>
      <c r="H1901" s="223" t="str">
        <f>VLOOKUP($B1901,'FRS geographical categories'!$A$2:$C$45,3,FALSE)</f>
        <v>Non-metropolitan</v>
      </c>
      <c r="I1901" s="224">
        <v>0</v>
      </c>
    </row>
    <row r="1902" spans="1:9" ht="15.5" x14ac:dyDescent="0.35">
      <c r="A1902" s="224" t="s">
        <v>56</v>
      </c>
      <c r="B1902" s="224" t="s">
        <v>31</v>
      </c>
      <c r="C1902" s="224" t="s">
        <v>86</v>
      </c>
      <c r="D1902" s="224" t="s">
        <v>55</v>
      </c>
      <c r="E1902" s="224" t="s">
        <v>256</v>
      </c>
      <c r="F1902" s="224" t="s">
        <v>111</v>
      </c>
      <c r="G1902" s="223" t="str">
        <f>VLOOKUP($B1902,'FRS geographical categories'!$A$2:$C$45,2,FALSE)</f>
        <v>Predominantly Rural</v>
      </c>
      <c r="H1902" s="223" t="str">
        <f>VLOOKUP($B1902,'FRS geographical categories'!$A$2:$C$45,3,FALSE)</f>
        <v>Non-metropolitan</v>
      </c>
      <c r="I1902" s="224">
        <v>0</v>
      </c>
    </row>
    <row r="1903" spans="1:9" ht="15.5" x14ac:dyDescent="0.35">
      <c r="A1903" s="224" t="s">
        <v>56</v>
      </c>
      <c r="B1903" s="224" t="s">
        <v>31</v>
      </c>
      <c r="C1903" s="224" t="s">
        <v>86</v>
      </c>
      <c r="D1903" s="224" t="s">
        <v>55</v>
      </c>
      <c r="E1903" s="224" t="s">
        <v>256</v>
      </c>
      <c r="F1903" s="224" t="s">
        <v>10</v>
      </c>
      <c r="G1903" s="223" t="str">
        <f>VLOOKUP($B1903,'FRS geographical categories'!$A$2:$C$45,2,FALSE)</f>
        <v>Predominantly Rural</v>
      </c>
      <c r="H1903" s="223" t="str">
        <f>VLOOKUP($B1903,'FRS geographical categories'!$A$2:$C$45,3,FALSE)</f>
        <v>Non-metropolitan</v>
      </c>
      <c r="I1903" s="224">
        <v>0</v>
      </c>
    </row>
    <row r="1904" spans="1:9" ht="15.5" x14ac:dyDescent="0.35">
      <c r="A1904" s="224" t="s">
        <v>56</v>
      </c>
      <c r="B1904" s="224" t="s">
        <v>31</v>
      </c>
      <c r="C1904" s="224" t="s">
        <v>89</v>
      </c>
      <c r="D1904" s="224" t="s">
        <v>9</v>
      </c>
      <c r="E1904" s="224" t="s">
        <v>256</v>
      </c>
      <c r="F1904" s="224" t="s">
        <v>248</v>
      </c>
      <c r="G1904" s="223" t="str">
        <f>VLOOKUP($B1904,'FRS geographical categories'!$A$2:$C$45,2,FALSE)</f>
        <v>Predominantly Rural</v>
      </c>
      <c r="H1904" s="223" t="str">
        <f>VLOOKUP($B1904,'FRS geographical categories'!$A$2:$C$45,3,FALSE)</f>
        <v>Non-metropolitan</v>
      </c>
      <c r="I1904" s="224">
        <v>0</v>
      </c>
    </row>
    <row r="1905" spans="1:9" ht="15.5" x14ac:dyDescent="0.35">
      <c r="A1905" s="224" t="s">
        <v>56</v>
      </c>
      <c r="B1905" s="224" t="s">
        <v>31</v>
      </c>
      <c r="C1905" s="224" t="s">
        <v>89</v>
      </c>
      <c r="D1905" s="224" t="s">
        <v>9</v>
      </c>
      <c r="E1905" s="224" t="s">
        <v>256</v>
      </c>
      <c r="F1905" s="224" t="s">
        <v>249</v>
      </c>
      <c r="G1905" s="223" t="str">
        <f>VLOOKUP($B1905,'FRS geographical categories'!$A$2:$C$45,2,FALSE)</f>
        <v>Predominantly Rural</v>
      </c>
      <c r="H1905" s="223" t="str">
        <f>VLOOKUP($B1905,'FRS geographical categories'!$A$2:$C$45,3,FALSE)</f>
        <v>Non-metropolitan</v>
      </c>
      <c r="I1905" s="224">
        <v>0</v>
      </c>
    </row>
    <row r="1906" spans="1:9" ht="15.5" x14ac:dyDescent="0.35">
      <c r="A1906" s="224" t="s">
        <v>56</v>
      </c>
      <c r="B1906" s="224" t="s">
        <v>31</v>
      </c>
      <c r="C1906" s="224" t="s">
        <v>89</v>
      </c>
      <c r="D1906" s="224" t="s">
        <v>9</v>
      </c>
      <c r="E1906" s="224" t="s">
        <v>256</v>
      </c>
      <c r="F1906" s="224" t="s">
        <v>250</v>
      </c>
      <c r="G1906" s="223" t="str">
        <f>VLOOKUP($B1906,'FRS geographical categories'!$A$2:$C$45,2,FALSE)</f>
        <v>Predominantly Rural</v>
      </c>
      <c r="H1906" s="223" t="str">
        <f>VLOOKUP($B1906,'FRS geographical categories'!$A$2:$C$45,3,FALSE)</f>
        <v>Non-metropolitan</v>
      </c>
      <c r="I1906" s="224">
        <v>0</v>
      </c>
    </row>
    <row r="1907" spans="1:9" ht="15.5" x14ac:dyDescent="0.35">
      <c r="A1907" s="224" t="s">
        <v>56</v>
      </c>
      <c r="B1907" s="224" t="s">
        <v>31</v>
      </c>
      <c r="C1907" s="224" t="s">
        <v>89</v>
      </c>
      <c r="D1907" s="224" t="s">
        <v>9</v>
      </c>
      <c r="E1907" s="224" t="s">
        <v>256</v>
      </c>
      <c r="F1907" s="224" t="s">
        <v>10</v>
      </c>
      <c r="G1907" s="223" t="str">
        <f>VLOOKUP($B1907,'FRS geographical categories'!$A$2:$C$45,2,FALSE)</f>
        <v>Predominantly Rural</v>
      </c>
      <c r="H1907" s="223" t="str">
        <f>VLOOKUP($B1907,'FRS geographical categories'!$A$2:$C$45,3,FALSE)</f>
        <v>Non-metropolitan</v>
      </c>
      <c r="I1907" s="224">
        <v>0</v>
      </c>
    </row>
    <row r="1908" spans="1:9" ht="15.5" x14ac:dyDescent="0.35">
      <c r="A1908" s="224" t="s">
        <v>56</v>
      </c>
      <c r="B1908" s="224" t="s">
        <v>31</v>
      </c>
      <c r="C1908" s="224" t="s">
        <v>89</v>
      </c>
      <c r="D1908" s="224" t="s">
        <v>55</v>
      </c>
      <c r="E1908" s="224" t="s">
        <v>256</v>
      </c>
      <c r="F1908" s="224" t="s">
        <v>248</v>
      </c>
      <c r="G1908" s="223" t="str">
        <f>VLOOKUP($B1908,'FRS geographical categories'!$A$2:$C$45,2,FALSE)</f>
        <v>Predominantly Rural</v>
      </c>
      <c r="H1908" s="223" t="str">
        <f>VLOOKUP($B1908,'FRS geographical categories'!$A$2:$C$45,3,FALSE)</f>
        <v>Non-metropolitan</v>
      </c>
      <c r="I1908" s="224">
        <v>0</v>
      </c>
    </row>
    <row r="1909" spans="1:9" ht="15.5" x14ac:dyDescent="0.35">
      <c r="A1909" s="224" t="s">
        <v>56</v>
      </c>
      <c r="B1909" s="224" t="s">
        <v>31</v>
      </c>
      <c r="C1909" s="224" t="s">
        <v>89</v>
      </c>
      <c r="D1909" s="224" t="s">
        <v>55</v>
      </c>
      <c r="E1909" s="224" t="s">
        <v>256</v>
      </c>
      <c r="F1909" s="224" t="s">
        <v>249</v>
      </c>
      <c r="G1909" s="223" t="str">
        <f>VLOOKUP($B1909,'FRS geographical categories'!$A$2:$C$45,2,FALSE)</f>
        <v>Predominantly Rural</v>
      </c>
      <c r="H1909" s="223" t="str">
        <f>VLOOKUP($B1909,'FRS geographical categories'!$A$2:$C$45,3,FALSE)</f>
        <v>Non-metropolitan</v>
      </c>
      <c r="I1909" s="224">
        <v>0</v>
      </c>
    </row>
    <row r="1910" spans="1:9" ht="15.5" x14ac:dyDescent="0.35">
      <c r="A1910" s="224" t="s">
        <v>56</v>
      </c>
      <c r="B1910" s="224" t="s">
        <v>31</v>
      </c>
      <c r="C1910" s="224" t="s">
        <v>89</v>
      </c>
      <c r="D1910" s="224" t="s">
        <v>55</v>
      </c>
      <c r="E1910" s="224" t="s">
        <v>256</v>
      </c>
      <c r="F1910" s="224" t="s">
        <v>250</v>
      </c>
      <c r="G1910" s="223" t="str">
        <f>VLOOKUP($B1910,'FRS geographical categories'!$A$2:$C$45,2,FALSE)</f>
        <v>Predominantly Rural</v>
      </c>
      <c r="H1910" s="223" t="str">
        <f>VLOOKUP($B1910,'FRS geographical categories'!$A$2:$C$45,3,FALSE)</f>
        <v>Non-metropolitan</v>
      </c>
      <c r="I1910" s="224">
        <v>0</v>
      </c>
    </row>
    <row r="1911" spans="1:9" ht="15.5" x14ac:dyDescent="0.35">
      <c r="A1911" s="224" t="s">
        <v>56</v>
      </c>
      <c r="B1911" s="224" t="s">
        <v>31</v>
      </c>
      <c r="C1911" s="224" t="s">
        <v>89</v>
      </c>
      <c r="D1911" s="224" t="s">
        <v>55</v>
      </c>
      <c r="E1911" s="224" t="s">
        <v>256</v>
      </c>
      <c r="F1911" s="224" t="s">
        <v>10</v>
      </c>
      <c r="G1911" s="223" t="str">
        <f>VLOOKUP($B1911,'FRS geographical categories'!$A$2:$C$45,2,FALSE)</f>
        <v>Predominantly Rural</v>
      </c>
      <c r="H1911" s="223" t="str">
        <f>VLOOKUP($B1911,'FRS geographical categories'!$A$2:$C$45,3,FALSE)</f>
        <v>Non-metropolitan</v>
      </c>
      <c r="I1911" s="224">
        <v>0</v>
      </c>
    </row>
    <row r="1912" spans="1:9" ht="15.5" x14ac:dyDescent="0.35">
      <c r="A1912" s="224" t="s">
        <v>56</v>
      </c>
      <c r="B1912" s="224" t="s">
        <v>32</v>
      </c>
      <c r="C1912" s="224" t="s">
        <v>86</v>
      </c>
      <c r="D1912" s="224" t="s">
        <v>9</v>
      </c>
      <c r="E1912" s="224" t="s">
        <v>256</v>
      </c>
      <c r="F1912" s="224" t="s">
        <v>248</v>
      </c>
      <c r="G1912" s="223" t="str">
        <f>VLOOKUP($B1912,'FRS geographical categories'!$A$2:$C$45,2,FALSE)</f>
        <v>Significantly Rural</v>
      </c>
      <c r="H1912" s="223" t="str">
        <f>VLOOKUP($B1912,'FRS geographical categories'!$A$2:$C$45,3,FALSE)</f>
        <v>Non-metropolitan</v>
      </c>
      <c r="I1912" s="224">
        <v>1602</v>
      </c>
    </row>
    <row r="1913" spans="1:9" ht="15.5" x14ac:dyDescent="0.35">
      <c r="A1913" s="224" t="s">
        <v>56</v>
      </c>
      <c r="B1913" s="224" t="s">
        <v>32</v>
      </c>
      <c r="C1913" s="224" t="s">
        <v>86</v>
      </c>
      <c r="D1913" s="224" t="s">
        <v>9</v>
      </c>
      <c r="E1913" s="224" t="s">
        <v>256</v>
      </c>
      <c r="F1913" s="224" t="s">
        <v>249</v>
      </c>
      <c r="G1913" s="223" t="str">
        <f>VLOOKUP($B1913,'FRS geographical categories'!$A$2:$C$45,2,FALSE)</f>
        <v>Significantly Rural</v>
      </c>
      <c r="H1913" s="223" t="str">
        <f>VLOOKUP($B1913,'FRS geographical categories'!$A$2:$C$45,3,FALSE)</f>
        <v>Non-metropolitan</v>
      </c>
      <c r="I1913" s="224">
        <v>4235</v>
      </c>
    </row>
    <row r="1914" spans="1:9" ht="15.5" x14ac:dyDescent="0.35">
      <c r="A1914" s="224" t="s">
        <v>56</v>
      </c>
      <c r="B1914" s="224" t="s">
        <v>32</v>
      </c>
      <c r="C1914" s="224" t="s">
        <v>86</v>
      </c>
      <c r="D1914" s="224" t="s">
        <v>9</v>
      </c>
      <c r="E1914" s="224" t="s">
        <v>256</v>
      </c>
      <c r="F1914" s="224" t="s">
        <v>250</v>
      </c>
      <c r="G1914" s="223" t="str">
        <f>VLOOKUP($B1914,'FRS geographical categories'!$A$2:$C$45,2,FALSE)</f>
        <v>Significantly Rural</v>
      </c>
      <c r="H1914" s="223" t="str">
        <f>VLOOKUP($B1914,'FRS geographical categories'!$A$2:$C$45,3,FALSE)</f>
        <v>Non-metropolitan</v>
      </c>
      <c r="I1914" s="224">
        <v>6720</v>
      </c>
    </row>
    <row r="1915" spans="1:9" ht="15.5" x14ac:dyDescent="0.35">
      <c r="A1915" s="224" t="s">
        <v>56</v>
      </c>
      <c r="B1915" s="224" t="s">
        <v>32</v>
      </c>
      <c r="C1915" s="224" t="s">
        <v>86</v>
      </c>
      <c r="D1915" s="224" t="s">
        <v>9</v>
      </c>
      <c r="E1915" s="224" t="s">
        <v>256</v>
      </c>
      <c r="F1915" s="224" t="s">
        <v>111</v>
      </c>
      <c r="G1915" s="223" t="str">
        <f>VLOOKUP($B1915,'FRS geographical categories'!$A$2:$C$45,2,FALSE)</f>
        <v>Significantly Rural</v>
      </c>
      <c r="H1915" s="223" t="str">
        <f>VLOOKUP($B1915,'FRS geographical categories'!$A$2:$C$45,3,FALSE)</f>
        <v>Non-metropolitan</v>
      </c>
      <c r="I1915" s="224">
        <v>21500</v>
      </c>
    </row>
    <row r="1916" spans="1:9" ht="15.5" x14ac:dyDescent="0.35">
      <c r="A1916" s="224" t="s">
        <v>56</v>
      </c>
      <c r="B1916" s="224" t="s">
        <v>32</v>
      </c>
      <c r="C1916" s="224" t="s">
        <v>86</v>
      </c>
      <c r="D1916" s="224" t="s">
        <v>9</v>
      </c>
      <c r="E1916" s="224" t="s">
        <v>256</v>
      </c>
      <c r="F1916" s="224" t="s">
        <v>10</v>
      </c>
      <c r="G1916" s="223" t="str">
        <f>VLOOKUP($B1916,'FRS geographical categories'!$A$2:$C$45,2,FALSE)</f>
        <v>Significantly Rural</v>
      </c>
      <c r="H1916" s="223" t="str">
        <f>VLOOKUP($B1916,'FRS geographical categories'!$A$2:$C$45,3,FALSE)</f>
        <v>Non-metropolitan</v>
      </c>
      <c r="I1916" s="224">
        <v>21500</v>
      </c>
    </row>
    <row r="1917" spans="1:9" ht="15.5" x14ac:dyDescent="0.35">
      <c r="A1917" s="224" t="s">
        <v>56</v>
      </c>
      <c r="B1917" s="224" t="s">
        <v>32</v>
      </c>
      <c r="C1917" s="224" t="s">
        <v>86</v>
      </c>
      <c r="D1917" s="224" t="s">
        <v>55</v>
      </c>
      <c r="E1917" s="224" t="s">
        <v>256</v>
      </c>
      <c r="F1917" s="224" t="s">
        <v>248</v>
      </c>
      <c r="G1917" s="223" t="str">
        <f>VLOOKUP($B1917,'FRS geographical categories'!$A$2:$C$45,2,FALSE)</f>
        <v>Significantly Rural</v>
      </c>
      <c r="H1917" s="223" t="str">
        <f>VLOOKUP($B1917,'FRS geographical categories'!$A$2:$C$45,3,FALSE)</f>
        <v>Non-metropolitan</v>
      </c>
      <c r="I1917" s="224">
        <v>2</v>
      </c>
    </row>
    <row r="1918" spans="1:9" ht="15.5" x14ac:dyDescent="0.35">
      <c r="A1918" s="224" t="s">
        <v>56</v>
      </c>
      <c r="B1918" s="224" t="s">
        <v>32</v>
      </c>
      <c r="C1918" s="224" t="s">
        <v>86</v>
      </c>
      <c r="D1918" s="224" t="s">
        <v>55</v>
      </c>
      <c r="E1918" s="224" t="s">
        <v>256</v>
      </c>
      <c r="F1918" s="224" t="s">
        <v>249</v>
      </c>
      <c r="G1918" s="223" t="str">
        <f>VLOOKUP($B1918,'FRS geographical categories'!$A$2:$C$45,2,FALSE)</f>
        <v>Significantly Rural</v>
      </c>
      <c r="H1918" s="223" t="str">
        <f>VLOOKUP($B1918,'FRS geographical categories'!$A$2:$C$45,3,FALSE)</f>
        <v>Non-metropolitan</v>
      </c>
      <c r="I1918" s="224">
        <v>4</v>
      </c>
    </row>
    <row r="1919" spans="1:9" ht="15.5" x14ac:dyDescent="0.35">
      <c r="A1919" s="224" t="s">
        <v>56</v>
      </c>
      <c r="B1919" s="224" t="s">
        <v>32</v>
      </c>
      <c r="C1919" s="224" t="s">
        <v>86</v>
      </c>
      <c r="D1919" s="224" t="s">
        <v>55</v>
      </c>
      <c r="E1919" s="224" t="s">
        <v>256</v>
      </c>
      <c r="F1919" s="224" t="s">
        <v>250</v>
      </c>
      <c r="G1919" s="223" t="str">
        <f>VLOOKUP($B1919,'FRS geographical categories'!$A$2:$C$45,2,FALSE)</f>
        <v>Significantly Rural</v>
      </c>
      <c r="H1919" s="223" t="str">
        <f>VLOOKUP($B1919,'FRS geographical categories'!$A$2:$C$45,3,FALSE)</f>
        <v>Non-metropolitan</v>
      </c>
      <c r="I1919" s="224">
        <v>10</v>
      </c>
    </row>
    <row r="1920" spans="1:9" ht="15.5" x14ac:dyDescent="0.35">
      <c r="A1920" s="224" t="s">
        <v>56</v>
      </c>
      <c r="B1920" s="224" t="s">
        <v>32</v>
      </c>
      <c r="C1920" s="224" t="s">
        <v>86</v>
      </c>
      <c r="D1920" s="224" t="s">
        <v>55</v>
      </c>
      <c r="E1920" s="224" t="s">
        <v>256</v>
      </c>
      <c r="F1920" s="224" t="s">
        <v>111</v>
      </c>
      <c r="G1920" s="223" t="str">
        <f>VLOOKUP($B1920,'FRS geographical categories'!$A$2:$C$45,2,FALSE)</f>
        <v>Significantly Rural</v>
      </c>
      <c r="H1920" s="223" t="str">
        <f>VLOOKUP($B1920,'FRS geographical categories'!$A$2:$C$45,3,FALSE)</f>
        <v>Non-metropolitan</v>
      </c>
      <c r="I1920" s="224">
        <v>0</v>
      </c>
    </row>
    <row r="1921" spans="1:9" ht="15.5" x14ac:dyDescent="0.35">
      <c r="A1921" s="224" t="s">
        <v>56</v>
      </c>
      <c r="B1921" s="224" t="s">
        <v>32</v>
      </c>
      <c r="C1921" s="224" t="s">
        <v>86</v>
      </c>
      <c r="D1921" s="224" t="s">
        <v>55</v>
      </c>
      <c r="E1921" s="224" t="s">
        <v>256</v>
      </c>
      <c r="F1921" s="224" t="s">
        <v>10</v>
      </c>
      <c r="G1921" s="223" t="str">
        <f>VLOOKUP($B1921,'FRS geographical categories'!$A$2:$C$45,2,FALSE)</f>
        <v>Significantly Rural</v>
      </c>
      <c r="H1921" s="223" t="str">
        <f>VLOOKUP($B1921,'FRS geographical categories'!$A$2:$C$45,3,FALSE)</f>
        <v>Non-metropolitan</v>
      </c>
      <c r="I1921" s="224">
        <v>25</v>
      </c>
    </row>
    <row r="1922" spans="1:9" ht="15.5" x14ac:dyDescent="0.35">
      <c r="A1922" s="224" t="s">
        <v>56</v>
      </c>
      <c r="B1922" s="224" t="s">
        <v>32</v>
      </c>
      <c r="C1922" s="224" t="s">
        <v>89</v>
      </c>
      <c r="D1922" s="224" t="s">
        <v>9</v>
      </c>
      <c r="E1922" s="224" t="s">
        <v>256</v>
      </c>
      <c r="F1922" s="224" t="s">
        <v>248</v>
      </c>
      <c r="G1922" s="223" t="str">
        <f>VLOOKUP($B1922,'FRS geographical categories'!$A$2:$C$45,2,FALSE)</f>
        <v>Significantly Rural</v>
      </c>
      <c r="H1922" s="223" t="str">
        <f>VLOOKUP($B1922,'FRS geographical categories'!$A$2:$C$45,3,FALSE)</f>
        <v>Non-metropolitan</v>
      </c>
      <c r="I1922" s="224">
        <v>0</v>
      </c>
    </row>
    <row r="1923" spans="1:9" ht="15.5" x14ac:dyDescent="0.35">
      <c r="A1923" s="224" t="s">
        <v>56</v>
      </c>
      <c r="B1923" s="224" t="s">
        <v>32</v>
      </c>
      <c r="C1923" s="224" t="s">
        <v>89</v>
      </c>
      <c r="D1923" s="224" t="s">
        <v>9</v>
      </c>
      <c r="E1923" s="224" t="s">
        <v>256</v>
      </c>
      <c r="F1923" s="224" t="s">
        <v>249</v>
      </c>
      <c r="G1923" s="223" t="str">
        <f>VLOOKUP($B1923,'FRS geographical categories'!$A$2:$C$45,2,FALSE)</f>
        <v>Significantly Rural</v>
      </c>
      <c r="H1923" s="223" t="str">
        <f>VLOOKUP($B1923,'FRS geographical categories'!$A$2:$C$45,3,FALSE)</f>
        <v>Non-metropolitan</v>
      </c>
      <c r="I1923" s="224">
        <v>0</v>
      </c>
    </row>
    <row r="1924" spans="1:9" ht="15.5" x14ac:dyDescent="0.35">
      <c r="A1924" s="224" t="s">
        <v>56</v>
      </c>
      <c r="B1924" s="224" t="s">
        <v>32</v>
      </c>
      <c r="C1924" s="224" t="s">
        <v>89</v>
      </c>
      <c r="D1924" s="224" t="s">
        <v>9</v>
      </c>
      <c r="E1924" s="224" t="s">
        <v>256</v>
      </c>
      <c r="F1924" s="224" t="s">
        <v>250</v>
      </c>
      <c r="G1924" s="223" t="str">
        <f>VLOOKUP($B1924,'FRS geographical categories'!$A$2:$C$45,2,FALSE)</f>
        <v>Significantly Rural</v>
      </c>
      <c r="H1924" s="223" t="str">
        <f>VLOOKUP($B1924,'FRS geographical categories'!$A$2:$C$45,3,FALSE)</f>
        <v>Non-metropolitan</v>
      </c>
      <c r="I1924" s="224">
        <v>0</v>
      </c>
    </row>
    <row r="1925" spans="1:9" ht="15.5" x14ac:dyDescent="0.35">
      <c r="A1925" s="224" t="s">
        <v>56</v>
      </c>
      <c r="B1925" s="224" t="s">
        <v>32</v>
      </c>
      <c r="C1925" s="224" t="s">
        <v>89</v>
      </c>
      <c r="D1925" s="224" t="s">
        <v>9</v>
      </c>
      <c r="E1925" s="224" t="s">
        <v>256</v>
      </c>
      <c r="F1925" s="224" t="s">
        <v>10</v>
      </c>
      <c r="G1925" s="223" t="str">
        <f>VLOOKUP($B1925,'FRS geographical categories'!$A$2:$C$45,2,FALSE)</f>
        <v>Significantly Rural</v>
      </c>
      <c r="H1925" s="223" t="str">
        <f>VLOOKUP($B1925,'FRS geographical categories'!$A$2:$C$45,3,FALSE)</f>
        <v>Non-metropolitan</v>
      </c>
      <c r="I1925" s="224">
        <v>0</v>
      </c>
    </row>
    <row r="1926" spans="1:9" ht="15.5" x14ac:dyDescent="0.35">
      <c r="A1926" s="224" t="s">
        <v>56</v>
      </c>
      <c r="B1926" s="224" t="s">
        <v>32</v>
      </c>
      <c r="C1926" s="224" t="s">
        <v>89</v>
      </c>
      <c r="D1926" s="224" t="s">
        <v>55</v>
      </c>
      <c r="E1926" s="224" t="s">
        <v>256</v>
      </c>
      <c r="F1926" s="224" t="s">
        <v>248</v>
      </c>
      <c r="G1926" s="223" t="str">
        <f>VLOOKUP($B1926,'FRS geographical categories'!$A$2:$C$45,2,FALSE)</f>
        <v>Significantly Rural</v>
      </c>
      <c r="H1926" s="223" t="str">
        <f>VLOOKUP($B1926,'FRS geographical categories'!$A$2:$C$45,3,FALSE)</f>
        <v>Non-metropolitan</v>
      </c>
      <c r="I1926" s="224">
        <v>0</v>
      </c>
    </row>
    <row r="1927" spans="1:9" ht="15.5" x14ac:dyDescent="0.35">
      <c r="A1927" s="224" t="s">
        <v>56</v>
      </c>
      <c r="B1927" s="224" t="s">
        <v>32</v>
      </c>
      <c r="C1927" s="224" t="s">
        <v>89</v>
      </c>
      <c r="D1927" s="224" t="s">
        <v>55</v>
      </c>
      <c r="E1927" s="224" t="s">
        <v>256</v>
      </c>
      <c r="F1927" s="224" t="s">
        <v>249</v>
      </c>
      <c r="G1927" s="223" t="str">
        <f>VLOOKUP($B1927,'FRS geographical categories'!$A$2:$C$45,2,FALSE)</f>
        <v>Significantly Rural</v>
      </c>
      <c r="H1927" s="223" t="str">
        <f>VLOOKUP($B1927,'FRS geographical categories'!$A$2:$C$45,3,FALSE)</f>
        <v>Non-metropolitan</v>
      </c>
      <c r="I1927" s="224">
        <v>0</v>
      </c>
    </row>
    <row r="1928" spans="1:9" ht="15.5" x14ac:dyDescent="0.35">
      <c r="A1928" s="224" t="s">
        <v>56</v>
      </c>
      <c r="B1928" s="224" t="s">
        <v>32</v>
      </c>
      <c r="C1928" s="224" t="s">
        <v>89</v>
      </c>
      <c r="D1928" s="224" t="s">
        <v>55</v>
      </c>
      <c r="E1928" s="224" t="s">
        <v>256</v>
      </c>
      <c r="F1928" s="224" t="s">
        <v>250</v>
      </c>
      <c r="G1928" s="223" t="str">
        <f>VLOOKUP($B1928,'FRS geographical categories'!$A$2:$C$45,2,FALSE)</f>
        <v>Significantly Rural</v>
      </c>
      <c r="H1928" s="223" t="str">
        <f>VLOOKUP($B1928,'FRS geographical categories'!$A$2:$C$45,3,FALSE)</f>
        <v>Non-metropolitan</v>
      </c>
      <c r="I1928" s="224">
        <v>0</v>
      </c>
    </row>
    <row r="1929" spans="1:9" ht="15.5" x14ac:dyDescent="0.35">
      <c r="A1929" s="224" t="s">
        <v>56</v>
      </c>
      <c r="B1929" s="224" t="s">
        <v>32</v>
      </c>
      <c r="C1929" s="224" t="s">
        <v>89</v>
      </c>
      <c r="D1929" s="224" t="s">
        <v>55</v>
      </c>
      <c r="E1929" s="224" t="s">
        <v>256</v>
      </c>
      <c r="F1929" s="224" t="s">
        <v>10</v>
      </c>
      <c r="G1929" s="223" t="str">
        <f>VLOOKUP($B1929,'FRS geographical categories'!$A$2:$C$45,2,FALSE)</f>
        <v>Significantly Rural</v>
      </c>
      <c r="H1929" s="223" t="str">
        <f>VLOOKUP($B1929,'FRS geographical categories'!$A$2:$C$45,3,FALSE)</f>
        <v>Non-metropolitan</v>
      </c>
      <c r="I1929" s="224">
        <v>0</v>
      </c>
    </row>
    <row r="1930" spans="1:9" ht="15.5" x14ac:dyDescent="0.35">
      <c r="A1930" s="224" t="s">
        <v>56</v>
      </c>
      <c r="B1930" s="224" t="s">
        <v>33</v>
      </c>
      <c r="C1930" s="224" t="s">
        <v>86</v>
      </c>
      <c r="D1930" s="224" t="s">
        <v>9</v>
      </c>
      <c r="E1930" s="224" t="s">
        <v>256</v>
      </c>
      <c r="F1930" s="224" t="s">
        <v>248</v>
      </c>
      <c r="G1930" s="223" t="str">
        <f>VLOOKUP($B1930,'FRS geographical categories'!$A$2:$C$45,2,FALSE)</f>
        <v>Predominantly Urban</v>
      </c>
      <c r="H1930" s="223" t="str">
        <f>VLOOKUP($B1930,'FRS geographical categories'!$A$2:$C$45,3,FALSE)</f>
        <v>Non-metropolitan</v>
      </c>
      <c r="I1930" s="224">
        <v>1096</v>
      </c>
    </row>
    <row r="1931" spans="1:9" ht="15.5" x14ac:dyDescent="0.35">
      <c r="A1931" s="224" t="s">
        <v>56</v>
      </c>
      <c r="B1931" s="224" t="s">
        <v>33</v>
      </c>
      <c r="C1931" s="224" t="s">
        <v>86</v>
      </c>
      <c r="D1931" s="224" t="s">
        <v>9</v>
      </c>
      <c r="E1931" s="224" t="s">
        <v>256</v>
      </c>
      <c r="F1931" s="224" t="s">
        <v>249</v>
      </c>
      <c r="G1931" s="223" t="str">
        <f>VLOOKUP($B1931,'FRS geographical categories'!$A$2:$C$45,2,FALSE)</f>
        <v>Predominantly Urban</v>
      </c>
      <c r="H1931" s="223" t="str">
        <f>VLOOKUP($B1931,'FRS geographical categories'!$A$2:$C$45,3,FALSE)</f>
        <v>Non-metropolitan</v>
      </c>
      <c r="I1931" s="224">
        <v>6276</v>
      </c>
    </row>
    <row r="1932" spans="1:9" ht="15.5" x14ac:dyDescent="0.35">
      <c r="A1932" s="224" t="s">
        <v>56</v>
      </c>
      <c r="B1932" s="224" t="s">
        <v>33</v>
      </c>
      <c r="C1932" s="224" t="s">
        <v>86</v>
      </c>
      <c r="D1932" s="224" t="s">
        <v>9</v>
      </c>
      <c r="E1932" s="224" t="s">
        <v>256</v>
      </c>
      <c r="F1932" s="224" t="s">
        <v>250</v>
      </c>
      <c r="G1932" s="223" t="str">
        <f>VLOOKUP($B1932,'FRS geographical categories'!$A$2:$C$45,2,FALSE)</f>
        <v>Predominantly Urban</v>
      </c>
      <c r="H1932" s="223" t="str">
        <f>VLOOKUP($B1932,'FRS geographical categories'!$A$2:$C$45,3,FALSE)</f>
        <v>Non-metropolitan</v>
      </c>
      <c r="I1932" s="224">
        <v>3538</v>
      </c>
    </row>
    <row r="1933" spans="1:9" ht="15.5" x14ac:dyDescent="0.35">
      <c r="A1933" s="224" t="s">
        <v>56</v>
      </c>
      <c r="B1933" s="224" t="s">
        <v>33</v>
      </c>
      <c r="C1933" s="224" t="s">
        <v>86</v>
      </c>
      <c r="D1933" s="224" t="s">
        <v>9</v>
      </c>
      <c r="E1933" s="224" t="s">
        <v>256</v>
      </c>
      <c r="F1933" s="224" t="s">
        <v>111</v>
      </c>
      <c r="G1933" s="223" t="str">
        <f>VLOOKUP($B1933,'FRS geographical categories'!$A$2:$C$45,2,FALSE)</f>
        <v>Predominantly Urban</v>
      </c>
      <c r="H1933" s="223" t="str">
        <f>VLOOKUP($B1933,'FRS geographical categories'!$A$2:$C$45,3,FALSE)</f>
        <v>Non-metropolitan</v>
      </c>
      <c r="I1933" s="224">
        <v>12845</v>
      </c>
    </row>
    <row r="1934" spans="1:9" ht="15.5" x14ac:dyDescent="0.35">
      <c r="A1934" s="224" t="s">
        <v>56</v>
      </c>
      <c r="B1934" s="224" t="s">
        <v>33</v>
      </c>
      <c r="C1934" s="224" t="s">
        <v>86</v>
      </c>
      <c r="D1934" s="224" t="s">
        <v>9</v>
      </c>
      <c r="E1934" s="224" t="s">
        <v>256</v>
      </c>
      <c r="F1934" s="224" t="s">
        <v>10</v>
      </c>
      <c r="G1934" s="223" t="str">
        <f>VLOOKUP($B1934,'FRS geographical categories'!$A$2:$C$45,2,FALSE)</f>
        <v>Predominantly Urban</v>
      </c>
      <c r="H1934" s="223" t="str">
        <f>VLOOKUP($B1934,'FRS geographical categories'!$A$2:$C$45,3,FALSE)</f>
        <v>Non-metropolitan</v>
      </c>
      <c r="I1934" s="224">
        <v>14249</v>
      </c>
    </row>
    <row r="1935" spans="1:9" ht="15.5" x14ac:dyDescent="0.35">
      <c r="A1935" s="224" t="s">
        <v>56</v>
      </c>
      <c r="B1935" s="224" t="s">
        <v>33</v>
      </c>
      <c r="C1935" s="224" t="s">
        <v>86</v>
      </c>
      <c r="D1935" s="224" t="s">
        <v>55</v>
      </c>
      <c r="E1935" s="224" t="s">
        <v>256</v>
      </c>
      <c r="F1935" s="224" t="s">
        <v>248</v>
      </c>
      <c r="G1935" s="223" t="str">
        <f>VLOOKUP($B1935,'FRS geographical categories'!$A$2:$C$45,2,FALSE)</f>
        <v>Predominantly Urban</v>
      </c>
      <c r="H1935" s="223" t="str">
        <f>VLOOKUP($B1935,'FRS geographical categories'!$A$2:$C$45,3,FALSE)</f>
        <v>Non-metropolitan</v>
      </c>
      <c r="I1935" s="224">
        <v>87</v>
      </c>
    </row>
    <row r="1936" spans="1:9" ht="15.5" x14ac:dyDescent="0.35">
      <c r="A1936" s="224" t="s">
        <v>56</v>
      </c>
      <c r="B1936" s="224" t="s">
        <v>33</v>
      </c>
      <c r="C1936" s="224" t="s">
        <v>86</v>
      </c>
      <c r="D1936" s="224" t="s">
        <v>55</v>
      </c>
      <c r="E1936" s="224" t="s">
        <v>256</v>
      </c>
      <c r="F1936" s="224" t="s">
        <v>249</v>
      </c>
      <c r="G1936" s="223" t="str">
        <f>VLOOKUP($B1936,'FRS geographical categories'!$A$2:$C$45,2,FALSE)</f>
        <v>Predominantly Urban</v>
      </c>
      <c r="H1936" s="223" t="str">
        <f>VLOOKUP($B1936,'FRS geographical categories'!$A$2:$C$45,3,FALSE)</f>
        <v>Non-metropolitan</v>
      </c>
      <c r="I1936" s="224">
        <v>450</v>
      </c>
    </row>
    <row r="1937" spans="1:9" ht="15.5" x14ac:dyDescent="0.35">
      <c r="A1937" s="224" t="s">
        <v>56</v>
      </c>
      <c r="B1937" s="224" t="s">
        <v>33</v>
      </c>
      <c r="C1937" s="224" t="s">
        <v>86</v>
      </c>
      <c r="D1937" s="224" t="s">
        <v>55</v>
      </c>
      <c r="E1937" s="224" t="s">
        <v>256</v>
      </c>
      <c r="F1937" s="224" t="s">
        <v>250</v>
      </c>
      <c r="G1937" s="223" t="str">
        <f>VLOOKUP($B1937,'FRS geographical categories'!$A$2:$C$45,2,FALSE)</f>
        <v>Predominantly Urban</v>
      </c>
      <c r="H1937" s="223" t="str">
        <f>VLOOKUP($B1937,'FRS geographical categories'!$A$2:$C$45,3,FALSE)</f>
        <v>Non-metropolitan</v>
      </c>
      <c r="I1937" s="224">
        <v>183</v>
      </c>
    </row>
    <row r="1938" spans="1:9" ht="15.5" x14ac:dyDescent="0.35">
      <c r="A1938" s="224" t="s">
        <v>56</v>
      </c>
      <c r="B1938" s="224" t="s">
        <v>33</v>
      </c>
      <c r="C1938" s="224" t="s">
        <v>86</v>
      </c>
      <c r="D1938" s="224" t="s">
        <v>55</v>
      </c>
      <c r="E1938" s="224" t="s">
        <v>256</v>
      </c>
      <c r="F1938" s="224" t="s">
        <v>111</v>
      </c>
      <c r="G1938" s="223" t="str">
        <f>VLOOKUP($B1938,'FRS geographical categories'!$A$2:$C$45,2,FALSE)</f>
        <v>Predominantly Urban</v>
      </c>
      <c r="H1938" s="223" t="str">
        <f>VLOOKUP($B1938,'FRS geographical categories'!$A$2:$C$45,3,FALSE)</f>
        <v>Non-metropolitan</v>
      </c>
      <c r="I1938" s="224">
        <v>832</v>
      </c>
    </row>
    <row r="1939" spans="1:9" ht="15.5" x14ac:dyDescent="0.35">
      <c r="A1939" s="224" t="s">
        <v>56</v>
      </c>
      <c r="B1939" s="224" t="s">
        <v>33</v>
      </c>
      <c r="C1939" s="224" t="s">
        <v>86</v>
      </c>
      <c r="D1939" s="224" t="s">
        <v>55</v>
      </c>
      <c r="E1939" s="224" t="s">
        <v>256</v>
      </c>
      <c r="F1939" s="224" t="s">
        <v>10</v>
      </c>
      <c r="G1939" s="223" t="str">
        <f>VLOOKUP($B1939,'FRS geographical categories'!$A$2:$C$45,2,FALSE)</f>
        <v>Predominantly Urban</v>
      </c>
      <c r="H1939" s="223" t="str">
        <f>VLOOKUP($B1939,'FRS geographical categories'!$A$2:$C$45,3,FALSE)</f>
        <v>Non-metropolitan</v>
      </c>
      <c r="I1939" s="224">
        <v>913</v>
      </c>
    </row>
    <row r="1940" spans="1:9" ht="15.5" x14ac:dyDescent="0.35">
      <c r="A1940" s="224" t="s">
        <v>56</v>
      </c>
      <c r="B1940" s="224" t="s">
        <v>33</v>
      </c>
      <c r="C1940" s="224" t="s">
        <v>89</v>
      </c>
      <c r="D1940" s="224" t="s">
        <v>9</v>
      </c>
      <c r="E1940" s="224" t="s">
        <v>256</v>
      </c>
      <c r="F1940" s="224" t="s">
        <v>248</v>
      </c>
      <c r="G1940" s="223" t="str">
        <f>VLOOKUP($B1940,'FRS geographical categories'!$A$2:$C$45,2,FALSE)</f>
        <v>Predominantly Urban</v>
      </c>
      <c r="H1940" s="223" t="str">
        <f>VLOOKUP($B1940,'FRS geographical categories'!$A$2:$C$45,3,FALSE)</f>
        <v>Non-metropolitan</v>
      </c>
      <c r="I1940" s="224">
        <v>0</v>
      </c>
    </row>
    <row r="1941" spans="1:9" ht="15.5" x14ac:dyDescent="0.35">
      <c r="A1941" s="224" t="s">
        <v>56</v>
      </c>
      <c r="B1941" s="224" t="s">
        <v>33</v>
      </c>
      <c r="C1941" s="224" t="s">
        <v>89</v>
      </c>
      <c r="D1941" s="224" t="s">
        <v>9</v>
      </c>
      <c r="E1941" s="224" t="s">
        <v>256</v>
      </c>
      <c r="F1941" s="224" t="s">
        <v>249</v>
      </c>
      <c r="G1941" s="223" t="str">
        <f>VLOOKUP($B1941,'FRS geographical categories'!$A$2:$C$45,2,FALSE)</f>
        <v>Predominantly Urban</v>
      </c>
      <c r="H1941" s="223" t="str">
        <f>VLOOKUP($B1941,'FRS geographical categories'!$A$2:$C$45,3,FALSE)</f>
        <v>Non-metropolitan</v>
      </c>
      <c r="I1941" s="224">
        <v>0</v>
      </c>
    </row>
    <row r="1942" spans="1:9" ht="15.5" x14ac:dyDescent="0.35">
      <c r="A1942" s="224" t="s">
        <v>56</v>
      </c>
      <c r="B1942" s="224" t="s">
        <v>33</v>
      </c>
      <c r="C1942" s="224" t="s">
        <v>89</v>
      </c>
      <c r="D1942" s="224" t="s">
        <v>9</v>
      </c>
      <c r="E1942" s="224" t="s">
        <v>256</v>
      </c>
      <c r="F1942" s="224" t="s">
        <v>250</v>
      </c>
      <c r="G1942" s="223" t="str">
        <f>VLOOKUP($B1942,'FRS geographical categories'!$A$2:$C$45,2,FALSE)</f>
        <v>Predominantly Urban</v>
      </c>
      <c r="H1942" s="223" t="str">
        <f>VLOOKUP($B1942,'FRS geographical categories'!$A$2:$C$45,3,FALSE)</f>
        <v>Non-metropolitan</v>
      </c>
      <c r="I1942" s="224">
        <v>0</v>
      </c>
    </row>
    <row r="1943" spans="1:9" ht="15.5" x14ac:dyDescent="0.35">
      <c r="A1943" s="224" t="s">
        <v>56</v>
      </c>
      <c r="B1943" s="224" t="s">
        <v>33</v>
      </c>
      <c r="C1943" s="224" t="s">
        <v>89</v>
      </c>
      <c r="D1943" s="224" t="s">
        <v>9</v>
      </c>
      <c r="E1943" s="224" t="s">
        <v>256</v>
      </c>
      <c r="F1943" s="224" t="s">
        <v>10</v>
      </c>
      <c r="G1943" s="223" t="str">
        <f>VLOOKUP($B1943,'FRS geographical categories'!$A$2:$C$45,2,FALSE)</f>
        <v>Predominantly Urban</v>
      </c>
      <c r="H1943" s="223" t="str">
        <f>VLOOKUP($B1943,'FRS geographical categories'!$A$2:$C$45,3,FALSE)</f>
        <v>Non-metropolitan</v>
      </c>
      <c r="I1943" s="224">
        <v>0</v>
      </c>
    </row>
    <row r="1944" spans="1:9" ht="15.5" x14ac:dyDescent="0.35">
      <c r="A1944" s="224" t="s">
        <v>56</v>
      </c>
      <c r="B1944" s="224" t="s">
        <v>33</v>
      </c>
      <c r="C1944" s="224" t="s">
        <v>89</v>
      </c>
      <c r="D1944" s="224" t="s">
        <v>55</v>
      </c>
      <c r="E1944" s="224" t="s">
        <v>256</v>
      </c>
      <c r="F1944" s="224" t="s">
        <v>248</v>
      </c>
      <c r="G1944" s="223" t="str">
        <f>VLOOKUP($B1944,'FRS geographical categories'!$A$2:$C$45,2,FALSE)</f>
        <v>Predominantly Urban</v>
      </c>
      <c r="H1944" s="223" t="str">
        <f>VLOOKUP($B1944,'FRS geographical categories'!$A$2:$C$45,3,FALSE)</f>
        <v>Non-metropolitan</v>
      </c>
      <c r="I1944" s="224">
        <v>0</v>
      </c>
    </row>
    <row r="1945" spans="1:9" ht="15.5" x14ac:dyDescent="0.35">
      <c r="A1945" s="224" t="s">
        <v>56</v>
      </c>
      <c r="B1945" s="224" t="s">
        <v>33</v>
      </c>
      <c r="C1945" s="224" t="s">
        <v>89</v>
      </c>
      <c r="D1945" s="224" t="s">
        <v>55</v>
      </c>
      <c r="E1945" s="224" t="s">
        <v>256</v>
      </c>
      <c r="F1945" s="224" t="s">
        <v>249</v>
      </c>
      <c r="G1945" s="223" t="str">
        <f>VLOOKUP($B1945,'FRS geographical categories'!$A$2:$C$45,2,FALSE)</f>
        <v>Predominantly Urban</v>
      </c>
      <c r="H1945" s="223" t="str">
        <f>VLOOKUP($B1945,'FRS geographical categories'!$A$2:$C$45,3,FALSE)</f>
        <v>Non-metropolitan</v>
      </c>
      <c r="I1945" s="224">
        <v>0</v>
      </c>
    </row>
    <row r="1946" spans="1:9" ht="15.5" x14ac:dyDescent="0.35">
      <c r="A1946" s="224" t="s">
        <v>56</v>
      </c>
      <c r="B1946" s="224" t="s">
        <v>33</v>
      </c>
      <c r="C1946" s="224" t="s">
        <v>89</v>
      </c>
      <c r="D1946" s="224" t="s">
        <v>55</v>
      </c>
      <c r="E1946" s="224" t="s">
        <v>256</v>
      </c>
      <c r="F1946" s="224" t="s">
        <v>250</v>
      </c>
      <c r="G1946" s="223" t="str">
        <f>VLOOKUP($B1946,'FRS geographical categories'!$A$2:$C$45,2,FALSE)</f>
        <v>Predominantly Urban</v>
      </c>
      <c r="H1946" s="223" t="str">
        <f>VLOOKUP($B1946,'FRS geographical categories'!$A$2:$C$45,3,FALSE)</f>
        <v>Non-metropolitan</v>
      </c>
      <c r="I1946" s="224">
        <v>0</v>
      </c>
    </row>
    <row r="1947" spans="1:9" ht="15.5" x14ac:dyDescent="0.35">
      <c r="A1947" s="224" t="s">
        <v>56</v>
      </c>
      <c r="B1947" s="224" t="s">
        <v>33</v>
      </c>
      <c r="C1947" s="224" t="s">
        <v>89</v>
      </c>
      <c r="D1947" s="224" t="s">
        <v>55</v>
      </c>
      <c r="E1947" s="224" t="s">
        <v>256</v>
      </c>
      <c r="F1947" s="224" t="s">
        <v>10</v>
      </c>
      <c r="G1947" s="223" t="str">
        <f>VLOOKUP($B1947,'FRS geographical categories'!$A$2:$C$45,2,FALSE)</f>
        <v>Predominantly Urban</v>
      </c>
      <c r="H1947" s="223" t="str">
        <f>VLOOKUP($B1947,'FRS geographical categories'!$A$2:$C$45,3,FALSE)</f>
        <v>Non-metropolitan</v>
      </c>
      <c r="I1947" s="224">
        <v>0</v>
      </c>
    </row>
    <row r="1948" spans="1:9" ht="15.5" x14ac:dyDescent="0.35">
      <c r="A1948" s="224" t="s">
        <v>56</v>
      </c>
      <c r="B1948" s="224" t="s">
        <v>34</v>
      </c>
      <c r="C1948" s="224" t="s">
        <v>86</v>
      </c>
      <c r="D1948" s="224" t="s">
        <v>9</v>
      </c>
      <c r="E1948" s="224" t="s">
        <v>256</v>
      </c>
      <c r="F1948" s="224" t="s">
        <v>248</v>
      </c>
      <c r="G1948" s="223" t="str">
        <f>VLOOKUP($B1948,'FRS geographical categories'!$A$2:$C$45,2,FALSE)</f>
        <v>Significantly Rural</v>
      </c>
      <c r="H1948" s="223" t="str">
        <f>VLOOKUP($B1948,'FRS geographical categories'!$A$2:$C$45,3,FALSE)</f>
        <v>Non-metropolitan</v>
      </c>
      <c r="I1948" s="224">
        <v>781</v>
      </c>
    </row>
    <row r="1949" spans="1:9" ht="15.5" x14ac:dyDescent="0.35">
      <c r="A1949" s="224" t="s">
        <v>56</v>
      </c>
      <c r="B1949" s="224" t="s">
        <v>34</v>
      </c>
      <c r="C1949" s="224" t="s">
        <v>86</v>
      </c>
      <c r="D1949" s="224" t="s">
        <v>9</v>
      </c>
      <c r="E1949" s="224" t="s">
        <v>256</v>
      </c>
      <c r="F1949" s="224" t="s">
        <v>249</v>
      </c>
      <c r="G1949" s="223" t="str">
        <f>VLOOKUP($B1949,'FRS geographical categories'!$A$2:$C$45,2,FALSE)</f>
        <v>Significantly Rural</v>
      </c>
      <c r="H1949" s="223" t="str">
        <f>VLOOKUP($B1949,'FRS geographical categories'!$A$2:$C$45,3,FALSE)</f>
        <v>Non-metropolitan</v>
      </c>
      <c r="I1949" s="224">
        <v>1814</v>
      </c>
    </row>
    <row r="1950" spans="1:9" ht="15.5" x14ac:dyDescent="0.35">
      <c r="A1950" s="224" t="s">
        <v>56</v>
      </c>
      <c r="B1950" s="224" t="s">
        <v>34</v>
      </c>
      <c r="C1950" s="224" t="s">
        <v>86</v>
      </c>
      <c r="D1950" s="224" t="s">
        <v>9</v>
      </c>
      <c r="E1950" s="224" t="s">
        <v>256</v>
      </c>
      <c r="F1950" s="224" t="s">
        <v>250</v>
      </c>
      <c r="G1950" s="223" t="str">
        <f>VLOOKUP($B1950,'FRS geographical categories'!$A$2:$C$45,2,FALSE)</f>
        <v>Significantly Rural</v>
      </c>
      <c r="H1950" s="223" t="str">
        <f>VLOOKUP($B1950,'FRS geographical categories'!$A$2:$C$45,3,FALSE)</f>
        <v>Non-metropolitan</v>
      </c>
      <c r="I1950" s="224">
        <v>1470</v>
      </c>
    </row>
    <row r="1951" spans="1:9" ht="15.5" x14ac:dyDescent="0.35">
      <c r="A1951" s="224" t="s">
        <v>56</v>
      </c>
      <c r="B1951" s="224" t="s">
        <v>34</v>
      </c>
      <c r="C1951" s="224" t="s">
        <v>86</v>
      </c>
      <c r="D1951" s="224" t="s">
        <v>9</v>
      </c>
      <c r="E1951" s="224" t="s">
        <v>256</v>
      </c>
      <c r="F1951" s="224" t="s">
        <v>111</v>
      </c>
      <c r="G1951" s="223" t="str">
        <f>VLOOKUP($B1951,'FRS geographical categories'!$A$2:$C$45,2,FALSE)</f>
        <v>Significantly Rural</v>
      </c>
      <c r="H1951" s="223" t="str">
        <f>VLOOKUP($B1951,'FRS geographical categories'!$A$2:$C$45,3,FALSE)</f>
        <v>Non-metropolitan</v>
      </c>
      <c r="I1951" s="224">
        <v>2905</v>
      </c>
    </row>
    <row r="1952" spans="1:9" ht="15.5" x14ac:dyDescent="0.35">
      <c r="A1952" s="224" t="s">
        <v>56</v>
      </c>
      <c r="B1952" s="224" t="s">
        <v>34</v>
      </c>
      <c r="C1952" s="224" t="s">
        <v>86</v>
      </c>
      <c r="D1952" s="224" t="s">
        <v>9</v>
      </c>
      <c r="E1952" s="224" t="s">
        <v>256</v>
      </c>
      <c r="F1952" s="224" t="s">
        <v>10</v>
      </c>
      <c r="G1952" s="223" t="str">
        <f>VLOOKUP($B1952,'FRS geographical categories'!$A$2:$C$45,2,FALSE)</f>
        <v>Significantly Rural</v>
      </c>
      <c r="H1952" s="223" t="str">
        <f>VLOOKUP($B1952,'FRS geographical categories'!$A$2:$C$45,3,FALSE)</f>
        <v>Non-metropolitan</v>
      </c>
      <c r="I1952" s="224">
        <v>9657</v>
      </c>
    </row>
    <row r="1953" spans="1:9" ht="15.5" x14ac:dyDescent="0.35">
      <c r="A1953" s="224" t="s">
        <v>56</v>
      </c>
      <c r="B1953" s="224" t="s">
        <v>34</v>
      </c>
      <c r="C1953" s="224" t="s">
        <v>86</v>
      </c>
      <c r="D1953" s="224" t="s">
        <v>55</v>
      </c>
      <c r="E1953" s="224" t="s">
        <v>256</v>
      </c>
      <c r="F1953" s="224" t="s">
        <v>248</v>
      </c>
      <c r="G1953" s="223" t="str">
        <f>VLOOKUP($B1953,'FRS geographical categories'!$A$2:$C$45,2,FALSE)</f>
        <v>Significantly Rural</v>
      </c>
      <c r="H1953" s="223" t="str">
        <f>VLOOKUP($B1953,'FRS geographical categories'!$A$2:$C$45,3,FALSE)</f>
        <v>Non-metropolitan</v>
      </c>
      <c r="I1953" s="224">
        <v>114</v>
      </c>
    </row>
    <row r="1954" spans="1:9" ht="15.5" x14ac:dyDescent="0.35">
      <c r="A1954" s="224" t="s">
        <v>56</v>
      </c>
      <c r="B1954" s="224" t="s">
        <v>34</v>
      </c>
      <c r="C1954" s="224" t="s">
        <v>86</v>
      </c>
      <c r="D1954" s="224" t="s">
        <v>55</v>
      </c>
      <c r="E1954" s="224" t="s">
        <v>256</v>
      </c>
      <c r="F1954" s="224" t="s">
        <v>249</v>
      </c>
      <c r="G1954" s="223" t="str">
        <f>VLOOKUP($B1954,'FRS geographical categories'!$A$2:$C$45,2,FALSE)</f>
        <v>Significantly Rural</v>
      </c>
      <c r="H1954" s="223" t="str">
        <f>VLOOKUP($B1954,'FRS geographical categories'!$A$2:$C$45,3,FALSE)</f>
        <v>Non-metropolitan</v>
      </c>
      <c r="I1954" s="224">
        <v>486</v>
      </c>
    </row>
    <row r="1955" spans="1:9" ht="15.5" x14ac:dyDescent="0.35">
      <c r="A1955" s="224" t="s">
        <v>56</v>
      </c>
      <c r="B1955" s="224" t="s">
        <v>34</v>
      </c>
      <c r="C1955" s="224" t="s">
        <v>86</v>
      </c>
      <c r="D1955" s="224" t="s">
        <v>55</v>
      </c>
      <c r="E1955" s="224" t="s">
        <v>256</v>
      </c>
      <c r="F1955" s="224" t="s">
        <v>250</v>
      </c>
      <c r="G1955" s="223" t="str">
        <f>VLOOKUP($B1955,'FRS geographical categories'!$A$2:$C$45,2,FALSE)</f>
        <v>Significantly Rural</v>
      </c>
      <c r="H1955" s="223" t="str">
        <f>VLOOKUP($B1955,'FRS geographical categories'!$A$2:$C$45,3,FALSE)</f>
        <v>Non-metropolitan</v>
      </c>
      <c r="I1955" s="224">
        <v>387</v>
      </c>
    </row>
    <row r="1956" spans="1:9" ht="15.5" x14ac:dyDescent="0.35">
      <c r="A1956" s="224" t="s">
        <v>56</v>
      </c>
      <c r="B1956" s="224" t="s">
        <v>34</v>
      </c>
      <c r="C1956" s="224" t="s">
        <v>86</v>
      </c>
      <c r="D1956" s="224" t="s">
        <v>55</v>
      </c>
      <c r="E1956" s="224" t="s">
        <v>256</v>
      </c>
      <c r="F1956" s="224" t="s">
        <v>111</v>
      </c>
      <c r="G1956" s="223" t="str">
        <f>VLOOKUP($B1956,'FRS geographical categories'!$A$2:$C$45,2,FALSE)</f>
        <v>Significantly Rural</v>
      </c>
      <c r="H1956" s="223" t="str">
        <f>VLOOKUP($B1956,'FRS geographical categories'!$A$2:$C$45,3,FALSE)</f>
        <v>Non-metropolitan</v>
      </c>
      <c r="I1956" s="224">
        <v>595</v>
      </c>
    </row>
    <row r="1957" spans="1:9" ht="15.5" x14ac:dyDescent="0.35">
      <c r="A1957" s="224" t="s">
        <v>56</v>
      </c>
      <c r="B1957" s="224" t="s">
        <v>34</v>
      </c>
      <c r="C1957" s="224" t="s">
        <v>86</v>
      </c>
      <c r="D1957" s="224" t="s">
        <v>55</v>
      </c>
      <c r="E1957" s="224" t="s">
        <v>256</v>
      </c>
      <c r="F1957" s="224" t="s">
        <v>10</v>
      </c>
      <c r="G1957" s="223" t="str">
        <f>VLOOKUP($B1957,'FRS geographical categories'!$A$2:$C$45,2,FALSE)</f>
        <v>Significantly Rural</v>
      </c>
      <c r="H1957" s="223" t="str">
        <f>VLOOKUP($B1957,'FRS geographical categories'!$A$2:$C$45,3,FALSE)</f>
        <v>Non-metropolitan</v>
      </c>
      <c r="I1957" s="224">
        <v>3102</v>
      </c>
    </row>
    <row r="1958" spans="1:9" ht="15.5" x14ac:dyDescent="0.35">
      <c r="A1958" s="224" t="s">
        <v>56</v>
      </c>
      <c r="B1958" s="224" t="s">
        <v>34</v>
      </c>
      <c r="C1958" s="224" t="s">
        <v>89</v>
      </c>
      <c r="D1958" s="224" t="s">
        <v>9</v>
      </c>
      <c r="E1958" s="224" t="s">
        <v>256</v>
      </c>
      <c r="F1958" s="224" t="s">
        <v>248</v>
      </c>
      <c r="G1958" s="223" t="str">
        <f>VLOOKUP($B1958,'FRS geographical categories'!$A$2:$C$45,2,FALSE)</f>
        <v>Significantly Rural</v>
      </c>
      <c r="H1958" s="223" t="str">
        <f>VLOOKUP($B1958,'FRS geographical categories'!$A$2:$C$45,3,FALSE)</f>
        <v>Non-metropolitan</v>
      </c>
      <c r="I1958" s="224">
        <v>0</v>
      </c>
    </row>
    <row r="1959" spans="1:9" ht="15.5" x14ac:dyDescent="0.35">
      <c r="A1959" s="224" t="s">
        <v>56</v>
      </c>
      <c r="B1959" s="224" t="s">
        <v>34</v>
      </c>
      <c r="C1959" s="224" t="s">
        <v>89</v>
      </c>
      <c r="D1959" s="224" t="s">
        <v>9</v>
      </c>
      <c r="E1959" s="224" t="s">
        <v>256</v>
      </c>
      <c r="F1959" s="224" t="s">
        <v>249</v>
      </c>
      <c r="G1959" s="223" t="str">
        <f>VLOOKUP($B1959,'FRS geographical categories'!$A$2:$C$45,2,FALSE)</f>
        <v>Significantly Rural</v>
      </c>
      <c r="H1959" s="223" t="str">
        <f>VLOOKUP($B1959,'FRS geographical categories'!$A$2:$C$45,3,FALSE)</f>
        <v>Non-metropolitan</v>
      </c>
      <c r="I1959" s="224">
        <v>0</v>
      </c>
    </row>
    <row r="1960" spans="1:9" ht="15.5" x14ac:dyDescent="0.35">
      <c r="A1960" s="224" t="s">
        <v>56</v>
      </c>
      <c r="B1960" s="224" t="s">
        <v>34</v>
      </c>
      <c r="C1960" s="224" t="s">
        <v>89</v>
      </c>
      <c r="D1960" s="224" t="s">
        <v>9</v>
      </c>
      <c r="E1960" s="224" t="s">
        <v>256</v>
      </c>
      <c r="F1960" s="224" t="s">
        <v>250</v>
      </c>
      <c r="G1960" s="223" t="str">
        <f>VLOOKUP($B1960,'FRS geographical categories'!$A$2:$C$45,2,FALSE)</f>
        <v>Significantly Rural</v>
      </c>
      <c r="H1960" s="223" t="str">
        <f>VLOOKUP($B1960,'FRS geographical categories'!$A$2:$C$45,3,FALSE)</f>
        <v>Non-metropolitan</v>
      </c>
      <c r="I1960" s="224">
        <v>0</v>
      </c>
    </row>
    <row r="1961" spans="1:9" ht="15.5" x14ac:dyDescent="0.35">
      <c r="A1961" s="224" t="s">
        <v>56</v>
      </c>
      <c r="B1961" s="224" t="s">
        <v>34</v>
      </c>
      <c r="C1961" s="224" t="s">
        <v>89</v>
      </c>
      <c r="D1961" s="224" t="s">
        <v>9</v>
      </c>
      <c r="E1961" s="224" t="s">
        <v>256</v>
      </c>
      <c r="F1961" s="224" t="s">
        <v>10</v>
      </c>
      <c r="G1961" s="223" t="str">
        <f>VLOOKUP($B1961,'FRS geographical categories'!$A$2:$C$45,2,FALSE)</f>
        <v>Significantly Rural</v>
      </c>
      <c r="H1961" s="223" t="str">
        <f>VLOOKUP($B1961,'FRS geographical categories'!$A$2:$C$45,3,FALSE)</f>
        <v>Non-metropolitan</v>
      </c>
      <c r="I1961" s="224">
        <v>17</v>
      </c>
    </row>
    <row r="1962" spans="1:9" ht="15.5" x14ac:dyDescent="0.35">
      <c r="A1962" s="224" t="s">
        <v>56</v>
      </c>
      <c r="B1962" s="224" t="s">
        <v>34</v>
      </c>
      <c r="C1962" s="224" t="s">
        <v>89</v>
      </c>
      <c r="D1962" s="224" t="s">
        <v>55</v>
      </c>
      <c r="E1962" s="224" t="s">
        <v>256</v>
      </c>
      <c r="F1962" s="224" t="s">
        <v>248</v>
      </c>
      <c r="G1962" s="223" t="str">
        <f>VLOOKUP($B1962,'FRS geographical categories'!$A$2:$C$45,2,FALSE)</f>
        <v>Significantly Rural</v>
      </c>
      <c r="H1962" s="223" t="str">
        <f>VLOOKUP($B1962,'FRS geographical categories'!$A$2:$C$45,3,FALSE)</f>
        <v>Non-metropolitan</v>
      </c>
      <c r="I1962" s="224">
        <v>2</v>
      </c>
    </row>
    <row r="1963" spans="1:9" ht="15.5" x14ac:dyDescent="0.35">
      <c r="A1963" s="224" t="s">
        <v>56</v>
      </c>
      <c r="B1963" s="224" t="s">
        <v>34</v>
      </c>
      <c r="C1963" s="224" t="s">
        <v>89</v>
      </c>
      <c r="D1963" s="224" t="s">
        <v>55</v>
      </c>
      <c r="E1963" s="224" t="s">
        <v>256</v>
      </c>
      <c r="F1963" s="224" t="s">
        <v>249</v>
      </c>
      <c r="G1963" s="223" t="str">
        <f>VLOOKUP($B1963,'FRS geographical categories'!$A$2:$C$45,2,FALSE)</f>
        <v>Significantly Rural</v>
      </c>
      <c r="H1963" s="223" t="str">
        <f>VLOOKUP($B1963,'FRS geographical categories'!$A$2:$C$45,3,FALSE)</f>
        <v>Non-metropolitan</v>
      </c>
      <c r="I1963" s="224">
        <v>0</v>
      </c>
    </row>
    <row r="1964" spans="1:9" ht="15.5" x14ac:dyDescent="0.35">
      <c r="A1964" s="224" t="s">
        <v>56</v>
      </c>
      <c r="B1964" s="224" t="s">
        <v>34</v>
      </c>
      <c r="C1964" s="224" t="s">
        <v>89</v>
      </c>
      <c r="D1964" s="224" t="s">
        <v>55</v>
      </c>
      <c r="E1964" s="224" t="s">
        <v>256</v>
      </c>
      <c r="F1964" s="224" t="s">
        <v>250</v>
      </c>
      <c r="G1964" s="223" t="str">
        <f>VLOOKUP($B1964,'FRS geographical categories'!$A$2:$C$45,2,FALSE)</f>
        <v>Significantly Rural</v>
      </c>
      <c r="H1964" s="223" t="str">
        <f>VLOOKUP($B1964,'FRS geographical categories'!$A$2:$C$45,3,FALSE)</f>
        <v>Non-metropolitan</v>
      </c>
      <c r="I1964" s="224">
        <v>0</v>
      </c>
    </row>
    <row r="1965" spans="1:9" ht="15.5" x14ac:dyDescent="0.35">
      <c r="A1965" s="224" t="s">
        <v>56</v>
      </c>
      <c r="B1965" s="224" t="s">
        <v>34</v>
      </c>
      <c r="C1965" s="224" t="s">
        <v>89</v>
      </c>
      <c r="D1965" s="224" t="s">
        <v>55</v>
      </c>
      <c r="E1965" s="224" t="s">
        <v>256</v>
      </c>
      <c r="F1965" s="224" t="s">
        <v>10</v>
      </c>
      <c r="G1965" s="223" t="str">
        <f>VLOOKUP($B1965,'FRS geographical categories'!$A$2:$C$45,2,FALSE)</f>
        <v>Significantly Rural</v>
      </c>
      <c r="H1965" s="223" t="str">
        <f>VLOOKUP($B1965,'FRS geographical categories'!$A$2:$C$45,3,FALSE)</f>
        <v>Non-metropolitan</v>
      </c>
      <c r="I1965" s="224">
        <v>163</v>
      </c>
    </row>
    <row r="1966" spans="1:9" ht="15.5" x14ac:dyDescent="0.35">
      <c r="A1966" s="224" t="s">
        <v>56</v>
      </c>
      <c r="B1966" s="224" t="s">
        <v>35</v>
      </c>
      <c r="C1966" s="224" t="s">
        <v>86</v>
      </c>
      <c r="D1966" s="224" t="s">
        <v>9</v>
      </c>
      <c r="E1966" s="224" t="s">
        <v>256</v>
      </c>
      <c r="F1966" s="224" t="s">
        <v>248</v>
      </c>
      <c r="G1966" s="223" t="str">
        <f>VLOOKUP($B1966,'FRS geographical categories'!$A$2:$C$45,2,FALSE)</f>
        <v>Predominantly Rural</v>
      </c>
      <c r="H1966" s="223" t="str">
        <f>VLOOKUP($B1966,'FRS geographical categories'!$A$2:$C$45,3,FALSE)</f>
        <v>Non-metropolitan</v>
      </c>
      <c r="I1966" s="224">
        <v>390</v>
      </c>
    </row>
    <row r="1967" spans="1:9" ht="15.5" x14ac:dyDescent="0.35">
      <c r="A1967" s="224" t="s">
        <v>56</v>
      </c>
      <c r="B1967" s="224" t="s">
        <v>35</v>
      </c>
      <c r="C1967" s="224" t="s">
        <v>86</v>
      </c>
      <c r="D1967" s="224" t="s">
        <v>9</v>
      </c>
      <c r="E1967" s="224" t="s">
        <v>256</v>
      </c>
      <c r="F1967" s="224" t="s">
        <v>249</v>
      </c>
      <c r="G1967" s="223" t="str">
        <f>VLOOKUP($B1967,'FRS geographical categories'!$A$2:$C$45,2,FALSE)</f>
        <v>Predominantly Rural</v>
      </c>
      <c r="H1967" s="223" t="str">
        <f>VLOOKUP($B1967,'FRS geographical categories'!$A$2:$C$45,3,FALSE)</f>
        <v>Non-metropolitan</v>
      </c>
      <c r="I1967" s="224">
        <v>225</v>
      </c>
    </row>
    <row r="1968" spans="1:9" ht="15.5" x14ac:dyDescent="0.35">
      <c r="A1968" s="224" t="s">
        <v>56</v>
      </c>
      <c r="B1968" s="224" t="s">
        <v>35</v>
      </c>
      <c r="C1968" s="224" t="s">
        <v>86</v>
      </c>
      <c r="D1968" s="224" t="s">
        <v>9</v>
      </c>
      <c r="E1968" s="224" t="s">
        <v>256</v>
      </c>
      <c r="F1968" s="224" t="s">
        <v>250</v>
      </c>
      <c r="G1968" s="223" t="str">
        <f>VLOOKUP($B1968,'FRS geographical categories'!$A$2:$C$45,2,FALSE)</f>
        <v>Predominantly Rural</v>
      </c>
      <c r="H1968" s="223" t="str">
        <f>VLOOKUP($B1968,'FRS geographical categories'!$A$2:$C$45,3,FALSE)</f>
        <v>Non-metropolitan</v>
      </c>
      <c r="I1968" s="224">
        <v>89</v>
      </c>
    </row>
    <row r="1969" spans="1:9" ht="15.5" x14ac:dyDescent="0.35">
      <c r="A1969" s="224" t="s">
        <v>56</v>
      </c>
      <c r="B1969" s="224" t="s">
        <v>35</v>
      </c>
      <c r="C1969" s="224" t="s">
        <v>86</v>
      </c>
      <c r="D1969" s="224" t="s">
        <v>9</v>
      </c>
      <c r="E1969" s="224" t="s">
        <v>256</v>
      </c>
      <c r="F1969" s="224" t="s">
        <v>111</v>
      </c>
      <c r="G1969" s="223" t="str">
        <f>VLOOKUP($B1969,'FRS geographical categories'!$A$2:$C$45,2,FALSE)</f>
        <v>Predominantly Rural</v>
      </c>
      <c r="H1969" s="223" t="str">
        <f>VLOOKUP($B1969,'FRS geographical categories'!$A$2:$C$45,3,FALSE)</f>
        <v>Non-metropolitan</v>
      </c>
      <c r="I1969" s="224">
        <v>1795</v>
      </c>
    </row>
    <row r="1970" spans="1:9" ht="15.5" x14ac:dyDescent="0.35">
      <c r="A1970" s="224" t="s">
        <v>56</v>
      </c>
      <c r="B1970" s="224" t="s">
        <v>35</v>
      </c>
      <c r="C1970" s="224" t="s">
        <v>86</v>
      </c>
      <c r="D1970" s="224" t="s">
        <v>9</v>
      </c>
      <c r="E1970" s="224" t="s">
        <v>256</v>
      </c>
      <c r="F1970" s="224" t="s">
        <v>10</v>
      </c>
      <c r="G1970" s="223" t="str">
        <f>VLOOKUP($B1970,'FRS geographical categories'!$A$2:$C$45,2,FALSE)</f>
        <v>Predominantly Rural</v>
      </c>
      <c r="H1970" s="223" t="str">
        <f>VLOOKUP($B1970,'FRS geographical categories'!$A$2:$C$45,3,FALSE)</f>
        <v>Non-metropolitan</v>
      </c>
      <c r="I1970" s="224">
        <v>3505</v>
      </c>
    </row>
    <row r="1971" spans="1:9" ht="15.5" x14ac:dyDescent="0.35">
      <c r="A1971" s="224" t="s">
        <v>56</v>
      </c>
      <c r="B1971" s="224" t="s">
        <v>35</v>
      </c>
      <c r="C1971" s="224" t="s">
        <v>86</v>
      </c>
      <c r="D1971" s="224" t="s">
        <v>55</v>
      </c>
      <c r="E1971" s="224" t="s">
        <v>256</v>
      </c>
      <c r="F1971" s="224" t="s">
        <v>248</v>
      </c>
      <c r="G1971" s="223" t="str">
        <f>VLOOKUP($B1971,'FRS geographical categories'!$A$2:$C$45,2,FALSE)</f>
        <v>Predominantly Rural</v>
      </c>
      <c r="H1971" s="223" t="str">
        <f>VLOOKUP($B1971,'FRS geographical categories'!$A$2:$C$45,3,FALSE)</f>
        <v>Non-metropolitan</v>
      </c>
      <c r="I1971" s="224">
        <v>65</v>
      </c>
    </row>
    <row r="1972" spans="1:9" ht="15.5" x14ac:dyDescent="0.35">
      <c r="A1972" s="224" t="s">
        <v>56</v>
      </c>
      <c r="B1972" s="224" t="s">
        <v>35</v>
      </c>
      <c r="C1972" s="224" t="s">
        <v>86</v>
      </c>
      <c r="D1972" s="224" t="s">
        <v>55</v>
      </c>
      <c r="E1972" s="224" t="s">
        <v>256</v>
      </c>
      <c r="F1972" s="224" t="s">
        <v>249</v>
      </c>
      <c r="G1972" s="223" t="str">
        <f>VLOOKUP($B1972,'FRS geographical categories'!$A$2:$C$45,2,FALSE)</f>
        <v>Predominantly Rural</v>
      </c>
      <c r="H1972" s="223" t="str">
        <f>VLOOKUP($B1972,'FRS geographical categories'!$A$2:$C$45,3,FALSE)</f>
        <v>Non-metropolitan</v>
      </c>
      <c r="I1972" s="224">
        <v>46</v>
      </c>
    </row>
    <row r="1973" spans="1:9" ht="15.5" x14ac:dyDescent="0.35">
      <c r="A1973" s="224" t="s">
        <v>56</v>
      </c>
      <c r="B1973" s="224" t="s">
        <v>35</v>
      </c>
      <c r="C1973" s="224" t="s">
        <v>86</v>
      </c>
      <c r="D1973" s="224" t="s">
        <v>55</v>
      </c>
      <c r="E1973" s="224" t="s">
        <v>256</v>
      </c>
      <c r="F1973" s="224" t="s">
        <v>250</v>
      </c>
      <c r="G1973" s="223" t="str">
        <f>VLOOKUP($B1973,'FRS geographical categories'!$A$2:$C$45,2,FALSE)</f>
        <v>Predominantly Rural</v>
      </c>
      <c r="H1973" s="223" t="str">
        <f>VLOOKUP($B1973,'FRS geographical categories'!$A$2:$C$45,3,FALSE)</f>
        <v>Non-metropolitan</v>
      </c>
      <c r="I1973" s="224">
        <v>23</v>
      </c>
    </row>
    <row r="1974" spans="1:9" ht="15.5" x14ac:dyDescent="0.35">
      <c r="A1974" s="224" t="s">
        <v>56</v>
      </c>
      <c r="B1974" s="224" t="s">
        <v>35</v>
      </c>
      <c r="C1974" s="224" t="s">
        <v>86</v>
      </c>
      <c r="D1974" s="224" t="s">
        <v>55</v>
      </c>
      <c r="E1974" s="224" t="s">
        <v>256</v>
      </c>
      <c r="F1974" s="224" t="s">
        <v>111</v>
      </c>
      <c r="G1974" s="223" t="str">
        <f>VLOOKUP($B1974,'FRS geographical categories'!$A$2:$C$45,2,FALSE)</f>
        <v>Predominantly Rural</v>
      </c>
      <c r="H1974" s="223" t="str">
        <f>VLOOKUP($B1974,'FRS geographical categories'!$A$2:$C$45,3,FALSE)</f>
        <v>Non-metropolitan</v>
      </c>
      <c r="I1974" s="224">
        <v>238</v>
      </c>
    </row>
    <row r="1975" spans="1:9" ht="15.5" x14ac:dyDescent="0.35">
      <c r="A1975" s="224" t="s">
        <v>56</v>
      </c>
      <c r="B1975" s="224" t="s">
        <v>35</v>
      </c>
      <c r="C1975" s="224" t="s">
        <v>86</v>
      </c>
      <c r="D1975" s="224" t="s">
        <v>55</v>
      </c>
      <c r="E1975" s="224" t="s">
        <v>256</v>
      </c>
      <c r="F1975" s="224" t="s">
        <v>10</v>
      </c>
      <c r="G1975" s="223" t="str">
        <f>VLOOKUP($B1975,'FRS geographical categories'!$A$2:$C$45,2,FALSE)</f>
        <v>Predominantly Rural</v>
      </c>
      <c r="H1975" s="223" t="str">
        <f>VLOOKUP($B1975,'FRS geographical categories'!$A$2:$C$45,3,FALSE)</f>
        <v>Non-metropolitan</v>
      </c>
      <c r="I1975" s="224">
        <v>975</v>
      </c>
    </row>
    <row r="1976" spans="1:9" ht="15.5" x14ac:dyDescent="0.35">
      <c r="A1976" s="224" t="s">
        <v>56</v>
      </c>
      <c r="B1976" s="224" t="s">
        <v>35</v>
      </c>
      <c r="C1976" s="224" t="s">
        <v>89</v>
      </c>
      <c r="D1976" s="224" t="s">
        <v>9</v>
      </c>
      <c r="E1976" s="224" t="s">
        <v>256</v>
      </c>
      <c r="F1976" s="224" t="s">
        <v>248</v>
      </c>
      <c r="G1976" s="223" t="str">
        <f>VLOOKUP($B1976,'FRS geographical categories'!$A$2:$C$45,2,FALSE)</f>
        <v>Predominantly Rural</v>
      </c>
      <c r="H1976" s="223" t="str">
        <f>VLOOKUP($B1976,'FRS geographical categories'!$A$2:$C$45,3,FALSE)</f>
        <v>Non-metropolitan</v>
      </c>
      <c r="I1976" s="224">
        <v>0</v>
      </c>
    </row>
    <row r="1977" spans="1:9" ht="15.5" x14ac:dyDescent="0.35">
      <c r="A1977" s="224" t="s">
        <v>56</v>
      </c>
      <c r="B1977" s="224" t="s">
        <v>35</v>
      </c>
      <c r="C1977" s="224" t="s">
        <v>89</v>
      </c>
      <c r="D1977" s="224" t="s">
        <v>9</v>
      </c>
      <c r="E1977" s="224" t="s">
        <v>256</v>
      </c>
      <c r="F1977" s="224" t="s">
        <v>249</v>
      </c>
      <c r="G1977" s="223" t="str">
        <f>VLOOKUP($B1977,'FRS geographical categories'!$A$2:$C$45,2,FALSE)</f>
        <v>Predominantly Rural</v>
      </c>
      <c r="H1977" s="223" t="str">
        <f>VLOOKUP($B1977,'FRS geographical categories'!$A$2:$C$45,3,FALSE)</f>
        <v>Non-metropolitan</v>
      </c>
      <c r="I1977" s="224">
        <v>0</v>
      </c>
    </row>
    <row r="1978" spans="1:9" ht="15.5" x14ac:dyDescent="0.35">
      <c r="A1978" s="224" t="s">
        <v>56</v>
      </c>
      <c r="B1978" s="224" t="s">
        <v>35</v>
      </c>
      <c r="C1978" s="224" t="s">
        <v>89</v>
      </c>
      <c r="D1978" s="224" t="s">
        <v>9</v>
      </c>
      <c r="E1978" s="224" t="s">
        <v>256</v>
      </c>
      <c r="F1978" s="224" t="s">
        <v>250</v>
      </c>
      <c r="G1978" s="223" t="str">
        <f>VLOOKUP($B1978,'FRS geographical categories'!$A$2:$C$45,2,FALSE)</f>
        <v>Predominantly Rural</v>
      </c>
      <c r="H1978" s="223" t="str">
        <f>VLOOKUP($B1978,'FRS geographical categories'!$A$2:$C$45,3,FALSE)</f>
        <v>Non-metropolitan</v>
      </c>
      <c r="I1978" s="224">
        <v>0</v>
      </c>
    </row>
    <row r="1979" spans="1:9" ht="15.5" x14ac:dyDescent="0.35">
      <c r="A1979" s="224" t="s">
        <v>56</v>
      </c>
      <c r="B1979" s="224" t="s">
        <v>35</v>
      </c>
      <c r="C1979" s="224" t="s">
        <v>89</v>
      </c>
      <c r="D1979" s="224" t="s">
        <v>9</v>
      </c>
      <c r="E1979" s="224" t="s">
        <v>256</v>
      </c>
      <c r="F1979" s="224" t="s">
        <v>10</v>
      </c>
      <c r="G1979" s="223" t="str">
        <f>VLOOKUP($B1979,'FRS geographical categories'!$A$2:$C$45,2,FALSE)</f>
        <v>Predominantly Rural</v>
      </c>
      <c r="H1979" s="223" t="str">
        <f>VLOOKUP($B1979,'FRS geographical categories'!$A$2:$C$45,3,FALSE)</f>
        <v>Non-metropolitan</v>
      </c>
      <c r="I1979" s="224">
        <v>0</v>
      </c>
    </row>
    <row r="1980" spans="1:9" ht="15.5" x14ac:dyDescent="0.35">
      <c r="A1980" s="224" t="s">
        <v>56</v>
      </c>
      <c r="B1980" s="224" t="s">
        <v>35</v>
      </c>
      <c r="C1980" s="224" t="s">
        <v>89</v>
      </c>
      <c r="D1980" s="224" t="s">
        <v>55</v>
      </c>
      <c r="E1980" s="224" t="s">
        <v>256</v>
      </c>
      <c r="F1980" s="224" t="s">
        <v>248</v>
      </c>
      <c r="G1980" s="223" t="str">
        <f>VLOOKUP($B1980,'FRS geographical categories'!$A$2:$C$45,2,FALSE)</f>
        <v>Predominantly Rural</v>
      </c>
      <c r="H1980" s="223" t="str">
        <f>VLOOKUP($B1980,'FRS geographical categories'!$A$2:$C$45,3,FALSE)</f>
        <v>Non-metropolitan</v>
      </c>
      <c r="I1980" s="224">
        <v>0</v>
      </c>
    </row>
    <row r="1981" spans="1:9" ht="15.5" x14ac:dyDescent="0.35">
      <c r="A1981" s="224" t="s">
        <v>56</v>
      </c>
      <c r="B1981" s="224" t="s">
        <v>35</v>
      </c>
      <c r="C1981" s="224" t="s">
        <v>89</v>
      </c>
      <c r="D1981" s="224" t="s">
        <v>55</v>
      </c>
      <c r="E1981" s="224" t="s">
        <v>256</v>
      </c>
      <c r="F1981" s="224" t="s">
        <v>249</v>
      </c>
      <c r="G1981" s="223" t="str">
        <f>VLOOKUP($B1981,'FRS geographical categories'!$A$2:$C$45,2,FALSE)</f>
        <v>Predominantly Rural</v>
      </c>
      <c r="H1981" s="223" t="str">
        <f>VLOOKUP($B1981,'FRS geographical categories'!$A$2:$C$45,3,FALSE)</f>
        <v>Non-metropolitan</v>
      </c>
      <c r="I1981" s="224">
        <v>0</v>
      </c>
    </row>
    <row r="1982" spans="1:9" ht="15.5" x14ac:dyDescent="0.35">
      <c r="A1982" s="224" t="s">
        <v>56</v>
      </c>
      <c r="B1982" s="224" t="s">
        <v>35</v>
      </c>
      <c r="C1982" s="224" t="s">
        <v>89</v>
      </c>
      <c r="D1982" s="224" t="s">
        <v>55</v>
      </c>
      <c r="E1982" s="224" t="s">
        <v>256</v>
      </c>
      <c r="F1982" s="224" t="s">
        <v>250</v>
      </c>
      <c r="G1982" s="223" t="str">
        <f>VLOOKUP($B1982,'FRS geographical categories'!$A$2:$C$45,2,FALSE)</f>
        <v>Predominantly Rural</v>
      </c>
      <c r="H1982" s="223" t="str">
        <f>VLOOKUP($B1982,'FRS geographical categories'!$A$2:$C$45,3,FALSE)</f>
        <v>Non-metropolitan</v>
      </c>
      <c r="I1982" s="224">
        <v>0</v>
      </c>
    </row>
    <row r="1983" spans="1:9" ht="15.5" x14ac:dyDescent="0.35">
      <c r="A1983" s="224" t="s">
        <v>56</v>
      </c>
      <c r="B1983" s="224" t="s">
        <v>35</v>
      </c>
      <c r="C1983" s="224" t="s">
        <v>89</v>
      </c>
      <c r="D1983" s="224" t="s">
        <v>55</v>
      </c>
      <c r="E1983" s="224" t="s">
        <v>256</v>
      </c>
      <c r="F1983" s="224" t="s">
        <v>10</v>
      </c>
      <c r="G1983" s="223" t="str">
        <f>VLOOKUP($B1983,'FRS geographical categories'!$A$2:$C$45,2,FALSE)</f>
        <v>Predominantly Rural</v>
      </c>
      <c r="H1983" s="223" t="str">
        <f>VLOOKUP($B1983,'FRS geographical categories'!$A$2:$C$45,3,FALSE)</f>
        <v>Non-metropolitan</v>
      </c>
      <c r="I1983" s="224">
        <v>0</v>
      </c>
    </row>
    <row r="1984" spans="1:9" ht="15.5" x14ac:dyDescent="0.35">
      <c r="A1984" s="224" t="s">
        <v>56</v>
      </c>
      <c r="B1984" s="224" t="s">
        <v>36</v>
      </c>
      <c r="C1984" s="224" t="s">
        <v>86</v>
      </c>
      <c r="D1984" s="224" t="s">
        <v>9</v>
      </c>
      <c r="E1984" s="224" t="s">
        <v>256</v>
      </c>
      <c r="F1984" s="224" t="s">
        <v>248</v>
      </c>
      <c r="G1984" s="223" t="str">
        <f>VLOOKUP($B1984,'FRS geographical categories'!$A$2:$C$45,2,FALSE)</f>
        <v>Predominantly Urban</v>
      </c>
      <c r="H1984" s="223" t="str">
        <f>VLOOKUP($B1984,'FRS geographical categories'!$A$2:$C$45,3,FALSE)</f>
        <v>Metropolitan</v>
      </c>
      <c r="I1984" s="224">
        <v>2523</v>
      </c>
    </row>
    <row r="1985" spans="1:9" ht="15.5" x14ac:dyDescent="0.35">
      <c r="A1985" s="224" t="s">
        <v>56</v>
      </c>
      <c r="B1985" s="224" t="s">
        <v>36</v>
      </c>
      <c r="C1985" s="224" t="s">
        <v>86</v>
      </c>
      <c r="D1985" s="224" t="s">
        <v>9</v>
      </c>
      <c r="E1985" s="224" t="s">
        <v>256</v>
      </c>
      <c r="F1985" s="224" t="s">
        <v>249</v>
      </c>
      <c r="G1985" s="223" t="str">
        <f>VLOOKUP($B1985,'FRS geographical categories'!$A$2:$C$45,2,FALSE)</f>
        <v>Predominantly Urban</v>
      </c>
      <c r="H1985" s="223" t="str">
        <f>VLOOKUP($B1985,'FRS geographical categories'!$A$2:$C$45,3,FALSE)</f>
        <v>Metropolitan</v>
      </c>
      <c r="I1985" s="224">
        <v>6717</v>
      </c>
    </row>
    <row r="1986" spans="1:9" ht="15.5" x14ac:dyDescent="0.35">
      <c r="A1986" s="224" t="s">
        <v>56</v>
      </c>
      <c r="B1986" s="224" t="s">
        <v>36</v>
      </c>
      <c r="C1986" s="224" t="s">
        <v>86</v>
      </c>
      <c r="D1986" s="224" t="s">
        <v>9</v>
      </c>
      <c r="E1986" s="224" t="s">
        <v>256</v>
      </c>
      <c r="F1986" s="224" t="s">
        <v>250</v>
      </c>
      <c r="G1986" s="223" t="str">
        <f>VLOOKUP($B1986,'FRS geographical categories'!$A$2:$C$45,2,FALSE)</f>
        <v>Predominantly Urban</v>
      </c>
      <c r="H1986" s="223" t="str">
        <f>VLOOKUP($B1986,'FRS geographical categories'!$A$2:$C$45,3,FALSE)</f>
        <v>Metropolitan</v>
      </c>
      <c r="I1986" s="224">
        <v>15454</v>
      </c>
    </row>
    <row r="1987" spans="1:9" ht="15.5" x14ac:dyDescent="0.35">
      <c r="A1987" s="224" t="s">
        <v>56</v>
      </c>
      <c r="B1987" s="224" t="s">
        <v>36</v>
      </c>
      <c r="C1987" s="224" t="s">
        <v>86</v>
      </c>
      <c r="D1987" s="224" t="s">
        <v>9</v>
      </c>
      <c r="E1987" s="224" t="s">
        <v>256</v>
      </c>
      <c r="F1987" s="224" t="s">
        <v>111</v>
      </c>
      <c r="G1987" s="223" t="str">
        <f>VLOOKUP($B1987,'FRS geographical categories'!$A$2:$C$45,2,FALSE)</f>
        <v>Predominantly Urban</v>
      </c>
      <c r="H1987" s="223" t="str">
        <f>VLOOKUP($B1987,'FRS geographical categories'!$A$2:$C$45,3,FALSE)</f>
        <v>Metropolitan</v>
      </c>
      <c r="I1987" s="224">
        <v>30489</v>
      </c>
    </row>
    <row r="1988" spans="1:9" ht="15.5" x14ac:dyDescent="0.35">
      <c r="A1988" s="224" t="s">
        <v>56</v>
      </c>
      <c r="B1988" s="224" t="s">
        <v>36</v>
      </c>
      <c r="C1988" s="224" t="s">
        <v>86</v>
      </c>
      <c r="D1988" s="224" t="s">
        <v>9</v>
      </c>
      <c r="E1988" s="224" t="s">
        <v>256</v>
      </c>
      <c r="F1988" s="224" t="s">
        <v>10</v>
      </c>
      <c r="G1988" s="223" t="str">
        <f>VLOOKUP($B1988,'FRS geographical categories'!$A$2:$C$45,2,FALSE)</f>
        <v>Predominantly Urban</v>
      </c>
      <c r="H1988" s="223" t="str">
        <f>VLOOKUP($B1988,'FRS geographical categories'!$A$2:$C$45,3,FALSE)</f>
        <v>Metropolitan</v>
      </c>
      <c r="I1988" s="224">
        <v>39943</v>
      </c>
    </row>
    <row r="1989" spans="1:9" ht="15.5" x14ac:dyDescent="0.35">
      <c r="A1989" s="224" t="s">
        <v>56</v>
      </c>
      <c r="B1989" s="224" t="s">
        <v>36</v>
      </c>
      <c r="C1989" s="224" t="s">
        <v>86</v>
      </c>
      <c r="D1989" s="224" t="s">
        <v>55</v>
      </c>
      <c r="E1989" s="224" t="s">
        <v>256</v>
      </c>
      <c r="F1989" s="224" t="s">
        <v>248</v>
      </c>
      <c r="G1989" s="223" t="str">
        <f>VLOOKUP($B1989,'FRS geographical categories'!$A$2:$C$45,2,FALSE)</f>
        <v>Predominantly Urban</v>
      </c>
      <c r="H1989" s="223" t="str">
        <f>VLOOKUP($B1989,'FRS geographical categories'!$A$2:$C$45,3,FALSE)</f>
        <v>Metropolitan</v>
      </c>
      <c r="I1989" s="224">
        <v>0</v>
      </c>
    </row>
    <row r="1990" spans="1:9" ht="15.5" x14ac:dyDescent="0.35">
      <c r="A1990" s="224" t="s">
        <v>56</v>
      </c>
      <c r="B1990" s="224" t="s">
        <v>36</v>
      </c>
      <c r="C1990" s="224" t="s">
        <v>86</v>
      </c>
      <c r="D1990" s="224" t="s">
        <v>55</v>
      </c>
      <c r="E1990" s="224" t="s">
        <v>256</v>
      </c>
      <c r="F1990" s="224" t="s">
        <v>249</v>
      </c>
      <c r="G1990" s="223" t="str">
        <f>VLOOKUP($B1990,'FRS geographical categories'!$A$2:$C$45,2,FALSE)</f>
        <v>Predominantly Urban</v>
      </c>
      <c r="H1990" s="223" t="str">
        <f>VLOOKUP($B1990,'FRS geographical categories'!$A$2:$C$45,3,FALSE)</f>
        <v>Metropolitan</v>
      </c>
      <c r="I1990" s="224">
        <v>0</v>
      </c>
    </row>
    <row r="1991" spans="1:9" ht="15.5" x14ac:dyDescent="0.35">
      <c r="A1991" s="224" t="s">
        <v>56</v>
      </c>
      <c r="B1991" s="224" t="s">
        <v>36</v>
      </c>
      <c r="C1991" s="224" t="s">
        <v>86</v>
      </c>
      <c r="D1991" s="224" t="s">
        <v>55</v>
      </c>
      <c r="E1991" s="224" t="s">
        <v>256</v>
      </c>
      <c r="F1991" s="224" t="s">
        <v>250</v>
      </c>
      <c r="G1991" s="223" t="str">
        <f>VLOOKUP($B1991,'FRS geographical categories'!$A$2:$C$45,2,FALSE)</f>
        <v>Predominantly Urban</v>
      </c>
      <c r="H1991" s="223" t="str">
        <f>VLOOKUP($B1991,'FRS geographical categories'!$A$2:$C$45,3,FALSE)</f>
        <v>Metropolitan</v>
      </c>
      <c r="I1991" s="224">
        <v>0</v>
      </c>
    </row>
    <row r="1992" spans="1:9" ht="15.5" x14ac:dyDescent="0.35">
      <c r="A1992" s="224" t="s">
        <v>56</v>
      </c>
      <c r="B1992" s="224" t="s">
        <v>36</v>
      </c>
      <c r="C1992" s="224" t="s">
        <v>86</v>
      </c>
      <c r="D1992" s="224" t="s">
        <v>55</v>
      </c>
      <c r="E1992" s="224" t="s">
        <v>256</v>
      </c>
      <c r="F1992" s="224" t="s">
        <v>111</v>
      </c>
      <c r="G1992" s="223" t="str">
        <f>VLOOKUP($B1992,'FRS geographical categories'!$A$2:$C$45,2,FALSE)</f>
        <v>Predominantly Urban</v>
      </c>
      <c r="H1992" s="223" t="str">
        <f>VLOOKUP($B1992,'FRS geographical categories'!$A$2:$C$45,3,FALSE)</f>
        <v>Metropolitan</v>
      </c>
      <c r="I1992" s="224">
        <v>0</v>
      </c>
    </row>
    <row r="1993" spans="1:9" ht="15.5" x14ac:dyDescent="0.35">
      <c r="A1993" s="224" t="s">
        <v>56</v>
      </c>
      <c r="B1993" s="224" t="s">
        <v>36</v>
      </c>
      <c r="C1993" s="224" t="s">
        <v>86</v>
      </c>
      <c r="D1993" s="224" t="s">
        <v>55</v>
      </c>
      <c r="E1993" s="224" t="s">
        <v>256</v>
      </c>
      <c r="F1993" s="224" t="s">
        <v>10</v>
      </c>
      <c r="G1993" s="223" t="str">
        <f>VLOOKUP($B1993,'FRS geographical categories'!$A$2:$C$45,2,FALSE)</f>
        <v>Predominantly Urban</v>
      </c>
      <c r="H1993" s="223" t="str">
        <f>VLOOKUP($B1993,'FRS geographical categories'!$A$2:$C$45,3,FALSE)</f>
        <v>Metropolitan</v>
      </c>
      <c r="I1993" s="224">
        <v>0</v>
      </c>
    </row>
    <row r="1994" spans="1:9" ht="15.5" x14ac:dyDescent="0.35">
      <c r="A1994" s="224" t="s">
        <v>56</v>
      </c>
      <c r="B1994" s="224" t="s">
        <v>36</v>
      </c>
      <c r="C1994" s="224" t="s">
        <v>89</v>
      </c>
      <c r="D1994" s="224" t="s">
        <v>9</v>
      </c>
      <c r="E1994" s="224" t="s">
        <v>256</v>
      </c>
      <c r="F1994" s="224" t="s">
        <v>248</v>
      </c>
      <c r="G1994" s="223" t="str">
        <f>VLOOKUP($B1994,'FRS geographical categories'!$A$2:$C$45,2,FALSE)</f>
        <v>Predominantly Urban</v>
      </c>
      <c r="H1994" s="223" t="str">
        <f>VLOOKUP($B1994,'FRS geographical categories'!$A$2:$C$45,3,FALSE)</f>
        <v>Metropolitan</v>
      </c>
      <c r="I1994" s="224">
        <v>0</v>
      </c>
    </row>
    <row r="1995" spans="1:9" ht="15.5" x14ac:dyDescent="0.35">
      <c r="A1995" s="224" t="s">
        <v>56</v>
      </c>
      <c r="B1995" s="224" t="s">
        <v>36</v>
      </c>
      <c r="C1995" s="224" t="s">
        <v>89</v>
      </c>
      <c r="D1995" s="224" t="s">
        <v>9</v>
      </c>
      <c r="E1995" s="224" t="s">
        <v>256</v>
      </c>
      <c r="F1995" s="224" t="s">
        <v>249</v>
      </c>
      <c r="G1995" s="223" t="str">
        <f>VLOOKUP($B1995,'FRS geographical categories'!$A$2:$C$45,2,FALSE)</f>
        <v>Predominantly Urban</v>
      </c>
      <c r="H1995" s="223" t="str">
        <f>VLOOKUP($B1995,'FRS geographical categories'!$A$2:$C$45,3,FALSE)</f>
        <v>Metropolitan</v>
      </c>
      <c r="I1995" s="224">
        <v>0</v>
      </c>
    </row>
    <row r="1996" spans="1:9" ht="15.5" x14ac:dyDescent="0.35">
      <c r="A1996" s="224" t="s">
        <v>56</v>
      </c>
      <c r="B1996" s="224" t="s">
        <v>36</v>
      </c>
      <c r="C1996" s="224" t="s">
        <v>89</v>
      </c>
      <c r="D1996" s="224" t="s">
        <v>9</v>
      </c>
      <c r="E1996" s="224" t="s">
        <v>256</v>
      </c>
      <c r="F1996" s="224" t="s">
        <v>250</v>
      </c>
      <c r="G1996" s="223" t="str">
        <f>VLOOKUP($B1996,'FRS geographical categories'!$A$2:$C$45,2,FALSE)</f>
        <v>Predominantly Urban</v>
      </c>
      <c r="H1996" s="223" t="str">
        <f>VLOOKUP($B1996,'FRS geographical categories'!$A$2:$C$45,3,FALSE)</f>
        <v>Metropolitan</v>
      </c>
      <c r="I1996" s="224">
        <v>0</v>
      </c>
    </row>
    <row r="1997" spans="1:9" ht="15.5" x14ac:dyDescent="0.35">
      <c r="A1997" s="224" t="s">
        <v>56</v>
      </c>
      <c r="B1997" s="224" t="s">
        <v>36</v>
      </c>
      <c r="C1997" s="224" t="s">
        <v>89</v>
      </c>
      <c r="D1997" s="224" t="s">
        <v>9</v>
      </c>
      <c r="E1997" s="224" t="s">
        <v>256</v>
      </c>
      <c r="F1997" s="224" t="s">
        <v>10</v>
      </c>
      <c r="G1997" s="223" t="str">
        <f>VLOOKUP($B1997,'FRS geographical categories'!$A$2:$C$45,2,FALSE)</f>
        <v>Predominantly Urban</v>
      </c>
      <c r="H1997" s="223" t="str">
        <f>VLOOKUP($B1997,'FRS geographical categories'!$A$2:$C$45,3,FALSE)</f>
        <v>Metropolitan</v>
      </c>
      <c r="I1997" s="224">
        <v>0</v>
      </c>
    </row>
    <row r="1998" spans="1:9" ht="15.5" x14ac:dyDescent="0.35">
      <c r="A1998" s="224" t="s">
        <v>56</v>
      </c>
      <c r="B1998" s="224" t="s">
        <v>36</v>
      </c>
      <c r="C1998" s="224" t="s">
        <v>89</v>
      </c>
      <c r="D1998" s="224" t="s">
        <v>55</v>
      </c>
      <c r="E1998" s="224" t="s">
        <v>256</v>
      </c>
      <c r="F1998" s="224" t="s">
        <v>248</v>
      </c>
      <c r="G1998" s="223" t="str">
        <f>VLOOKUP($B1998,'FRS geographical categories'!$A$2:$C$45,2,FALSE)</f>
        <v>Predominantly Urban</v>
      </c>
      <c r="H1998" s="223" t="str">
        <f>VLOOKUP($B1998,'FRS geographical categories'!$A$2:$C$45,3,FALSE)</f>
        <v>Metropolitan</v>
      </c>
      <c r="I1998" s="224">
        <v>0</v>
      </c>
    </row>
    <row r="1999" spans="1:9" ht="15.5" x14ac:dyDescent="0.35">
      <c r="A1999" s="224" t="s">
        <v>56</v>
      </c>
      <c r="B1999" s="224" t="s">
        <v>36</v>
      </c>
      <c r="C1999" s="224" t="s">
        <v>89</v>
      </c>
      <c r="D1999" s="224" t="s">
        <v>55</v>
      </c>
      <c r="E1999" s="224" t="s">
        <v>256</v>
      </c>
      <c r="F1999" s="224" t="s">
        <v>249</v>
      </c>
      <c r="G1999" s="223" t="str">
        <f>VLOOKUP($B1999,'FRS geographical categories'!$A$2:$C$45,2,FALSE)</f>
        <v>Predominantly Urban</v>
      </c>
      <c r="H1999" s="223" t="str">
        <f>VLOOKUP($B1999,'FRS geographical categories'!$A$2:$C$45,3,FALSE)</f>
        <v>Metropolitan</v>
      </c>
      <c r="I1999" s="224">
        <v>0</v>
      </c>
    </row>
    <row r="2000" spans="1:9" ht="15.5" x14ac:dyDescent="0.35">
      <c r="A2000" s="224" t="s">
        <v>56</v>
      </c>
      <c r="B2000" s="224" t="s">
        <v>36</v>
      </c>
      <c r="C2000" s="224" t="s">
        <v>89</v>
      </c>
      <c r="D2000" s="224" t="s">
        <v>55</v>
      </c>
      <c r="E2000" s="224" t="s">
        <v>256</v>
      </c>
      <c r="F2000" s="224" t="s">
        <v>250</v>
      </c>
      <c r="G2000" s="223" t="str">
        <f>VLOOKUP($B2000,'FRS geographical categories'!$A$2:$C$45,2,FALSE)</f>
        <v>Predominantly Urban</v>
      </c>
      <c r="H2000" s="223" t="str">
        <f>VLOOKUP($B2000,'FRS geographical categories'!$A$2:$C$45,3,FALSE)</f>
        <v>Metropolitan</v>
      </c>
      <c r="I2000" s="224">
        <v>0</v>
      </c>
    </row>
    <row r="2001" spans="1:9" ht="15.5" x14ac:dyDescent="0.35">
      <c r="A2001" s="224" t="s">
        <v>56</v>
      </c>
      <c r="B2001" s="224" t="s">
        <v>36</v>
      </c>
      <c r="C2001" s="224" t="s">
        <v>89</v>
      </c>
      <c r="D2001" s="224" t="s">
        <v>55</v>
      </c>
      <c r="E2001" s="224" t="s">
        <v>256</v>
      </c>
      <c r="F2001" s="224" t="s">
        <v>10</v>
      </c>
      <c r="G2001" s="223" t="str">
        <f>VLOOKUP($B2001,'FRS geographical categories'!$A$2:$C$45,2,FALSE)</f>
        <v>Predominantly Urban</v>
      </c>
      <c r="H2001" s="223" t="str">
        <f>VLOOKUP($B2001,'FRS geographical categories'!$A$2:$C$45,3,FALSE)</f>
        <v>Metropolitan</v>
      </c>
      <c r="I2001" s="224">
        <v>0</v>
      </c>
    </row>
    <row r="2002" spans="1:9" ht="15.5" x14ac:dyDescent="0.35">
      <c r="A2002" s="224" t="s">
        <v>56</v>
      </c>
      <c r="B2002" s="224" t="s">
        <v>37</v>
      </c>
      <c r="C2002" s="224" t="s">
        <v>86</v>
      </c>
      <c r="D2002" s="224" t="s">
        <v>9</v>
      </c>
      <c r="E2002" s="224" t="s">
        <v>256</v>
      </c>
      <c r="F2002" s="224" t="s">
        <v>248</v>
      </c>
      <c r="G2002" s="223" t="str">
        <f>VLOOKUP($B2002,'FRS geographical categories'!$A$2:$C$45,2,FALSE)</f>
        <v>Predominantly Rural</v>
      </c>
      <c r="H2002" s="223" t="str">
        <f>VLOOKUP($B2002,'FRS geographical categories'!$A$2:$C$45,3,FALSE)</f>
        <v>Non-metropolitan</v>
      </c>
      <c r="I2002" s="224">
        <v>144</v>
      </c>
    </row>
    <row r="2003" spans="1:9" ht="15.5" x14ac:dyDescent="0.35">
      <c r="A2003" s="224" t="s">
        <v>56</v>
      </c>
      <c r="B2003" s="224" t="s">
        <v>37</v>
      </c>
      <c r="C2003" s="224" t="s">
        <v>86</v>
      </c>
      <c r="D2003" s="224" t="s">
        <v>9</v>
      </c>
      <c r="E2003" s="224" t="s">
        <v>256</v>
      </c>
      <c r="F2003" s="224" t="s">
        <v>249</v>
      </c>
      <c r="G2003" s="223" t="str">
        <f>VLOOKUP($B2003,'FRS geographical categories'!$A$2:$C$45,2,FALSE)</f>
        <v>Predominantly Rural</v>
      </c>
      <c r="H2003" s="223" t="str">
        <f>VLOOKUP($B2003,'FRS geographical categories'!$A$2:$C$45,3,FALSE)</f>
        <v>Non-metropolitan</v>
      </c>
      <c r="I2003" s="224">
        <v>520</v>
      </c>
    </row>
    <row r="2004" spans="1:9" ht="15.5" x14ac:dyDescent="0.35">
      <c r="A2004" s="224" t="s">
        <v>56</v>
      </c>
      <c r="B2004" s="224" t="s">
        <v>37</v>
      </c>
      <c r="C2004" s="224" t="s">
        <v>86</v>
      </c>
      <c r="D2004" s="224" t="s">
        <v>9</v>
      </c>
      <c r="E2004" s="224" t="s">
        <v>256</v>
      </c>
      <c r="F2004" s="224" t="s">
        <v>250</v>
      </c>
      <c r="G2004" s="223" t="str">
        <f>VLOOKUP($B2004,'FRS geographical categories'!$A$2:$C$45,2,FALSE)</f>
        <v>Predominantly Rural</v>
      </c>
      <c r="H2004" s="223" t="str">
        <f>VLOOKUP($B2004,'FRS geographical categories'!$A$2:$C$45,3,FALSE)</f>
        <v>Non-metropolitan</v>
      </c>
      <c r="I2004" s="224">
        <v>123</v>
      </c>
    </row>
    <row r="2005" spans="1:9" ht="15.5" x14ac:dyDescent="0.35">
      <c r="A2005" s="224" t="s">
        <v>56</v>
      </c>
      <c r="B2005" s="224" t="s">
        <v>37</v>
      </c>
      <c r="C2005" s="224" t="s">
        <v>86</v>
      </c>
      <c r="D2005" s="224" t="s">
        <v>9</v>
      </c>
      <c r="E2005" s="224" t="s">
        <v>256</v>
      </c>
      <c r="F2005" s="224" t="s">
        <v>111</v>
      </c>
      <c r="G2005" s="223" t="str">
        <f>VLOOKUP($B2005,'FRS geographical categories'!$A$2:$C$45,2,FALSE)</f>
        <v>Predominantly Rural</v>
      </c>
      <c r="H2005" s="223" t="str">
        <f>VLOOKUP($B2005,'FRS geographical categories'!$A$2:$C$45,3,FALSE)</f>
        <v>Non-metropolitan</v>
      </c>
      <c r="I2005" s="224">
        <v>787</v>
      </c>
    </row>
    <row r="2006" spans="1:9" ht="15.5" x14ac:dyDescent="0.35">
      <c r="A2006" s="224" t="s">
        <v>56</v>
      </c>
      <c r="B2006" s="224" t="s">
        <v>37</v>
      </c>
      <c r="C2006" s="224" t="s">
        <v>86</v>
      </c>
      <c r="D2006" s="224" t="s">
        <v>9</v>
      </c>
      <c r="E2006" s="224" t="s">
        <v>256</v>
      </c>
      <c r="F2006" s="224" t="s">
        <v>10</v>
      </c>
      <c r="G2006" s="223" t="str">
        <f>VLOOKUP($B2006,'FRS geographical categories'!$A$2:$C$45,2,FALSE)</f>
        <v>Predominantly Rural</v>
      </c>
      <c r="H2006" s="223" t="str">
        <f>VLOOKUP($B2006,'FRS geographical categories'!$A$2:$C$45,3,FALSE)</f>
        <v>Non-metropolitan</v>
      </c>
      <c r="I2006" s="224">
        <v>955</v>
      </c>
    </row>
    <row r="2007" spans="1:9" ht="15.5" x14ac:dyDescent="0.35">
      <c r="A2007" s="224" t="s">
        <v>56</v>
      </c>
      <c r="B2007" s="224" t="s">
        <v>37</v>
      </c>
      <c r="C2007" s="224" t="s">
        <v>86</v>
      </c>
      <c r="D2007" s="224" t="s">
        <v>55</v>
      </c>
      <c r="E2007" s="224" t="s">
        <v>256</v>
      </c>
      <c r="F2007" s="224" t="s">
        <v>248</v>
      </c>
      <c r="G2007" s="223" t="str">
        <f>VLOOKUP($B2007,'FRS geographical categories'!$A$2:$C$45,2,FALSE)</f>
        <v>Predominantly Rural</v>
      </c>
      <c r="H2007" s="223" t="str">
        <f>VLOOKUP($B2007,'FRS geographical categories'!$A$2:$C$45,3,FALSE)</f>
        <v>Non-metropolitan</v>
      </c>
      <c r="I2007" s="224">
        <v>19</v>
      </c>
    </row>
    <row r="2008" spans="1:9" ht="15.5" x14ac:dyDescent="0.35">
      <c r="A2008" s="224" t="s">
        <v>56</v>
      </c>
      <c r="B2008" s="224" t="s">
        <v>37</v>
      </c>
      <c r="C2008" s="224" t="s">
        <v>86</v>
      </c>
      <c r="D2008" s="224" t="s">
        <v>55</v>
      </c>
      <c r="E2008" s="224" t="s">
        <v>256</v>
      </c>
      <c r="F2008" s="224" t="s">
        <v>249</v>
      </c>
      <c r="G2008" s="223" t="str">
        <f>VLOOKUP($B2008,'FRS geographical categories'!$A$2:$C$45,2,FALSE)</f>
        <v>Predominantly Rural</v>
      </c>
      <c r="H2008" s="223" t="str">
        <f>VLOOKUP($B2008,'FRS geographical categories'!$A$2:$C$45,3,FALSE)</f>
        <v>Non-metropolitan</v>
      </c>
      <c r="I2008" s="224">
        <v>73</v>
      </c>
    </row>
    <row r="2009" spans="1:9" ht="15.5" x14ac:dyDescent="0.35">
      <c r="A2009" s="224" t="s">
        <v>56</v>
      </c>
      <c r="B2009" s="224" t="s">
        <v>37</v>
      </c>
      <c r="C2009" s="224" t="s">
        <v>86</v>
      </c>
      <c r="D2009" s="224" t="s">
        <v>55</v>
      </c>
      <c r="E2009" s="224" t="s">
        <v>256</v>
      </c>
      <c r="F2009" s="224" t="s">
        <v>250</v>
      </c>
      <c r="G2009" s="223" t="str">
        <f>VLOOKUP($B2009,'FRS geographical categories'!$A$2:$C$45,2,FALSE)</f>
        <v>Predominantly Rural</v>
      </c>
      <c r="H2009" s="223" t="str">
        <f>VLOOKUP($B2009,'FRS geographical categories'!$A$2:$C$45,3,FALSE)</f>
        <v>Non-metropolitan</v>
      </c>
      <c r="I2009" s="224">
        <v>14</v>
      </c>
    </row>
    <row r="2010" spans="1:9" ht="15.5" x14ac:dyDescent="0.35">
      <c r="A2010" s="224" t="s">
        <v>56</v>
      </c>
      <c r="B2010" s="224" t="s">
        <v>37</v>
      </c>
      <c r="C2010" s="224" t="s">
        <v>86</v>
      </c>
      <c r="D2010" s="224" t="s">
        <v>55</v>
      </c>
      <c r="E2010" s="224" t="s">
        <v>256</v>
      </c>
      <c r="F2010" s="224" t="s">
        <v>111</v>
      </c>
      <c r="G2010" s="223" t="str">
        <f>VLOOKUP($B2010,'FRS geographical categories'!$A$2:$C$45,2,FALSE)</f>
        <v>Predominantly Rural</v>
      </c>
      <c r="H2010" s="223" t="str">
        <f>VLOOKUP($B2010,'FRS geographical categories'!$A$2:$C$45,3,FALSE)</f>
        <v>Non-metropolitan</v>
      </c>
      <c r="I2010" s="224">
        <v>106</v>
      </c>
    </row>
    <row r="2011" spans="1:9" ht="15.5" x14ac:dyDescent="0.35">
      <c r="A2011" s="224" t="s">
        <v>56</v>
      </c>
      <c r="B2011" s="224" t="s">
        <v>37</v>
      </c>
      <c r="C2011" s="224" t="s">
        <v>86</v>
      </c>
      <c r="D2011" s="224" t="s">
        <v>55</v>
      </c>
      <c r="E2011" s="224" t="s">
        <v>256</v>
      </c>
      <c r="F2011" s="224" t="s">
        <v>10</v>
      </c>
      <c r="G2011" s="223" t="str">
        <f>VLOOKUP($B2011,'FRS geographical categories'!$A$2:$C$45,2,FALSE)</f>
        <v>Predominantly Rural</v>
      </c>
      <c r="H2011" s="223" t="str">
        <f>VLOOKUP($B2011,'FRS geographical categories'!$A$2:$C$45,3,FALSE)</f>
        <v>Non-metropolitan</v>
      </c>
      <c r="I2011" s="224">
        <v>263</v>
      </c>
    </row>
    <row r="2012" spans="1:9" ht="15.5" x14ac:dyDescent="0.35">
      <c r="A2012" s="224" t="s">
        <v>56</v>
      </c>
      <c r="B2012" s="224" t="s">
        <v>37</v>
      </c>
      <c r="C2012" s="224" t="s">
        <v>89</v>
      </c>
      <c r="D2012" s="224" t="s">
        <v>9</v>
      </c>
      <c r="E2012" s="224" t="s">
        <v>256</v>
      </c>
      <c r="F2012" s="224" t="s">
        <v>248</v>
      </c>
      <c r="G2012" s="223" t="str">
        <f>VLOOKUP($B2012,'FRS geographical categories'!$A$2:$C$45,2,FALSE)</f>
        <v>Predominantly Rural</v>
      </c>
      <c r="H2012" s="223" t="str">
        <f>VLOOKUP($B2012,'FRS geographical categories'!$A$2:$C$45,3,FALSE)</f>
        <v>Non-metropolitan</v>
      </c>
      <c r="I2012" s="224">
        <v>0</v>
      </c>
    </row>
    <row r="2013" spans="1:9" ht="15.5" x14ac:dyDescent="0.35">
      <c r="A2013" s="224" t="s">
        <v>56</v>
      </c>
      <c r="B2013" s="224" t="s">
        <v>37</v>
      </c>
      <c r="C2013" s="224" t="s">
        <v>89</v>
      </c>
      <c r="D2013" s="224" t="s">
        <v>9</v>
      </c>
      <c r="E2013" s="224" t="s">
        <v>256</v>
      </c>
      <c r="F2013" s="224" t="s">
        <v>249</v>
      </c>
      <c r="G2013" s="223" t="str">
        <f>VLOOKUP($B2013,'FRS geographical categories'!$A$2:$C$45,2,FALSE)</f>
        <v>Predominantly Rural</v>
      </c>
      <c r="H2013" s="223" t="str">
        <f>VLOOKUP($B2013,'FRS geographical categories'!$A$2:$C$45,3,FALSE)</f>
        <v>Non-metropolitan</v>
      </c>
      <c r="I2013" s="224">
        <v>0</v>
      </c>
    </row>
    <row r="2014" spans="1:9" ht="15.5" x14ac:dyDescent="0.35">
      <c r="A2014" s="224" t="s">
        <v>56</v>
      </c>
      <c r="B2014" s="224" t="s">
        <v>37</v>
      </c>
      <c r="C2014" s="224" t="s">
        <v>89</v>
      </c>
      <c r="D2014" s="224" t="s">
        <v>9</v>
      </c>
      <c r="E2014" s="224" t="s">
        <v>256</v>
      </c>
      <c r="F2014" s="224" t="s">
        <v>250</v>
      </c>
      <c r="G2014" s="223" t="str">
        <f>VLOOKUP($B2014,'FRS geographical categories'!$A$2:$C$45,2,FALSE)</f>
        <v>Predominantly Rural</v>
      </c>
      <c r="H2014" s="223" t="str">
        <f>VLOOKUP($B2014,'FRS geographical categories'!$A$2:$C$45,3,FALSE)</f>
        <v>Non-metropolitan</v>
      </c>
      <c r="I2014" s="224">
        <v>0</v>
      </c>
    </row>
    <row r="2015" spans="1:9" ht="15.5" x14ac:dyDescent="0.35">
      <c r="A2015" s="224" t="s">
        <v>56</v>
      </c>
      <c r="B2015" s="224" t="s">
        <v>37</v>
      </c>
      <c r="C2015" s="224" t="s">
        <v>89</v>
      </c>
      <c r="D2015" s="224" t="s">
        <v>9</v>
      </c>
      <c r="E2015" s="224" t="s">
        <v>256</v>
      </c>
      <c r="F2015" s="224" t="s">
        <v>10</v>
      </c>
      <c r="G2015" s="223" t="str">
        <f>VLOOKUP($B2015,'FRS geographical categories'!$A$2:$C$45,2,FALSE)</f>
        <v>Predominantly Rural</v>
      </c>
      <c r="H2015" s="223" t="str">
        <f>VLOOKUP($B2015,'FRS geographical categories'!$A$2:$C$45,3,FALSE)</f>
        <v>Non-metropolitan</v>
      </c>
      <c r="I2015" s="224">
        <v>0</v>
      </c>
    </row>
    <row r="2016" spans="1:9" ht="15.5" x14ac:dyDescent="0.35">
      <c r="A2016" s="224" t="s">
        <v>56</v>
      </c>
      <c r="B2016" s="224" t="s">
        <v>37</v>
      </c>
      <c r="C2016" s="224" t="s">
        <v>89</v>
      </c>
      <c r="D2016" s="224" t="s">
        <v>55</v>
      </c>
      <c r="E2016" s="224" t="s">
        <v>256</v>
      </c>
      <c r="F2016" s="224" t="s">
        <v>248</v>
      </c>
      <c r="G2016" s="223" t="str">
        <f>VLOOKUP($B2016,'FRS geographical categories'!$A$2:$C$45,2,FALSE)</f>
        <v>Predominantly Rural</v>
      </c>
      <c r="H2016" s="223" t="str">
        <f>VLOOKUP($B2016,'FRS geographical categories'!$A$2:$C$45,3,FALSE)</f>
        <v>Non-metropolitan</v>
      </c>
      <c r="I2016" s="224">
        <v>0</v>
      </c>
    </row>
    <row r="2017" spans="1:9" ht="15.5" x14ac:dyDescent="0.35">
      <c r="A2017" s="224" t="s">
        <v>56</v>
      </c>
      <c r="B2017" s="224" t="s">
        <v>37</v>
      </c>
      <c r="C2017" s="224" t="s">
        <v>89</v>
      </c>
      <c r="D2017" s="224" t="s">
        <v>55</v>
      </c>
      <c r="E2017" s="224" t="s">
        <v>256</v>
      </c>
      <c r="F2017" s="224" t="s">
        <v>249</v>
      </c>
      <c r="G2017" s="223" t="str">
        <f>VLOOKUP($B2017,'FRS geographical categories'!$A$2:$C$45,2,FALSE)</f>
        <v>Predominantly Rural</v>
      </c>
      <c r="H2017" s="223" t="str">
        <f>VLOOKUP($B2017,'FRS geographical categories'!$A$2:$C$45,3,FALSE)</f>
        <v>Non-metropolitan</v>
      </c>
      <c r="I2017" s="224">
        <v>0</v>
      </c>
    </row>
    <row r="2018" spans="1:9" ht="15.5" x14ac:dyDescent="0.35">
      <c r="A2018" s="224" t="s">
        <v>56</v>
      </c>
      <c r="B2018" s="224" t="s">
        <v>37</v>
      </c>
      <c r="C2018" s="224" t="s">
        <v>89</v>
      </c>
      <c r="D2018" s="224" t="s">
        <v>55</v>
      </c>
      <c r="E2018" s="224" t="s">
        <v>256</v>
      </c>
      <c r="F2018" s="224" t="s">
        <v>250</v>
      </c>
      <c r="G2018" s="223" t="str">
        <f>VLOOKUP($B2018,'FRS geographical categories'!$A$2:$C$45,2,FALSE)</f>
        <v>Predominantly Rural</v>
      </c>
      <c r="H2018" s="223" t="str">
        <f>VLOOKUP($B2018,'FRS geographical categories'!$A$2:$C$45,3,FALSE)</f>
        <v>Non-metropolitan</v>
      </c>
      <c r="I2018" s="224">
        <v>0</v>
      </c>
    </row>
    <row r="2019" spans="1:9" ht="15.5" x14ac:dyDescent="0.35">
      <c r="A2019" s="224" t="s">
        <v>56</v>
      </c>
      <c r="B2019" s="224" t="s">
        <v>37</v>
      </c>
      <c r="C2019" s="224" t="s">
        <v>89</v>
      </c>
      <c r="D2019" s="224" t="s">
        <v>55</v>
      </c>
      <c r="E2019" s="224" t="s">
        <v>256</v>
      </c>
      <c r="F2019" s="224" t="s">
        <v>10</v>
      </c>
      <c r="G2019" s="223" t="str">
        <f>VLOOKUP($B2019,'FRS geographical categories'!$A$2:$C$45,2,FALSE)</f>
        <v>Predominantly Rural</v>
      </c>
      <c r="H2019" s="223" t="str">
        <f>VLOOKUP($B2019,'FRS geographical categories'!$A$2:$C$45,3,FALSE)</f>
        <v>Non-metropolitan</v>
      </c>
      <c r="I2019" s="224">
        <v>0</v>
      </c>
    </row>
    <row r="2020" spans="1:9" ht="15.5" x14ac:dyDescent="0.35">
      <c r="A2020" s="224" t="s">
        <v>56</v>
      </c>
      <c r="B2020" s="224" t="s">
        <v>38</v>
      </c>
      <c r="C2020" s="224" t="s">
        <v>86</v>
      </c>
      <c r="D2020" s="224" t="s">
        <v>9</v>
      </c>
      <c r="E2020" s="224" t="s">
        <v>256</v>
      </c>
      <c r="F2020" s="224" t="s">
        <v>248</v>
      </c>
      <c r="G2020" s="223" t="str">
        <f>VLOOKUP($B2020,'FRS geographical categories'!$A$2:$C$45,2,FALSE)</f>
        <v>Predominantly Rural</v>
      </c>
      <c r="H2020" s="223" t="str">
        <f>VLOOKUP($B2020,'FRS geographical categories'!$A$2:$C$45,3,FALSE)</f>
        <v>Non-metropolitan</v>
      </c>
      <c r="I2020" s="224">
        <v>0</v>
      </c>
    </row>
    <row r="2021" spans="1:9" ht="15.5" x14ac:dyDescent="0.35">
      <c r="A2021" s="224" t="s">
        <v>56</v>
      </c>
      <c r="B2021" s="224" t="s">
        <v>38</v>
      </c>
      <c r="C2021" s="224" t="s">
        <v>86</v>
      </c>
      <c r="D2021" s="224" t="s">
        <v>9</v>
      </c>
      <c r="E2021" s="224" t="s">
        <v>256</v>
      </c>
      <c r="F2021" s="224" t="s">
        <v>249</v>
      </c>
      <c r="G2021" s="223" t="str">
        <f>VLOOKUP($B2021,'FRS geographical categories'!$A$2:$C$45,2,FALSE)</f>
        <v>Predominantly Rural</v>
      </c>
      <c r="H2021" s="223" t="str">
        <f>VLOOKUP($B2021,'FRS geographical categories'!$A$2:$C$45,3,FALSE)</f>
        <v>Non-metropolitan</v>
      </c>
      <c r="I2021" s="224">
        <v>0</v>
      </c>
    </row>
    <row r="2022" spans="1:9" ht="15.5" x14ac:dyDescent="0.35">
      <c r="A2022" s="224" t="s">
        <v>56</v>
      </c>
      <c r="B2022" s="224" t="s">
        <v>38</v>
      </c>
      <c r="C2022" s="224" t="s">
        <v>86</v>
      </c>
      <c r="D2022" s="224" t="s">
        <v>9</v>
      </c>
      <c r="E2022" s="224" t="s">
        <v>256</v>
      </c>
      <c r="F2022" s="224" t="s">
        <v>250</v>
      </c>
      <c r="G2022" s="223" t="str">
        <f>VLOOKUP($B2022,'FRS geographical categories'!$A$2:$C$45,2,FALSE)</f>
        <v>Predominantly Rural</v>
      </c>
      <c r="H2022" s="223" t="str">
        <f>VLOOKUP($B2022,'FRS geographical categories'!$A$2:$C$45,3,FALSE)</f>
        <v>Non-metropolitan</v>
      </c>
      <c r="I2022" s="224">
        <v>0</v>
      </c>
    </row>
    <row r="2023" spans="1:9" ht="15.5" x14ac:dyDescent="0.35">
      <c r="A2023" s="224" t="s">
        <v>56</v>
      </c>
      <c r="B2023" s="224" t="s">
        <v>38</v>
      </c>
      <c r="C2023" s="224" t="s">
        <v>86</v>
      </c>
      <c r="D2023" s="224" t="s">
        <v>9</v>
      </c>
      <c r="E2023" s="224" t="s">
        <v>256</v>
      </c>
      <c r="F2023" s="224" t="s">
        <v>111</v>
      </c>
      <c r="G2023" s="223" t="str">
        <f>VLOOKUP($B2023,'FRS geographical categories'!$A$2:$C$45,2,FALSE)</f>
        <v>Predominantly Rural</v>
      </c>
      <c r="H2023" s="223" t="str">
        <f>VLOOKUP($B2023,'FRS geographical categories'!$A$2:$C$45,3,FALSE)</f>
        <v>Non-metropolitan</v>
      </c>
      <c r="I2023" s="224">
        <v>0</v>
      </c>
    </row>
    <row r="2024" spans="1:9" ht="15.5" x14ac:dyDescent="0.35">
      <c r="A2024" s="224" t="s">
        <v>56</v>
      </c>
      <c r="B2024" s="224" t="s">
        <v>38</v>
      </c>
      <c r="C2024" s="224" t="s">
        <v>86</v>
      </c>
      <c r="D2024" s="224" t="s">
        <v>9</v>
      </c>
      <c r="E2024" s="224" t="s">
        <v>256</v>
      </c>
      <c r="F2024" s="224" t="s">
        <v>10</v>
      </c>
      <c r="G2024" s="223" t="str">
        <f>VLOOKUP($B2024,'FRS geographical categories'!$A$2:$C$45,2,FALSE)</f>
        <v>Predominantly Rural</v>
      </c>
      <c r="H2024" s="223" t="str">
        <f>VLOOKUP($B2024,'FRS geographical categories'!$A$2:$C$45,3,FALSE)</f>
        <v>Non-metropolitan</v>
      </c>
      <c r="I2024" s="224">
        <v>1930</v>
      </c>
    </row>
    <row r="2025" spans="1:9" ht="15.5" x14ac:dyDescent="0.35">
      <c r="A2025" s="224" t="s">
        <v>56</v>
      </c>
      <c r="B2025" s="224" t="s">
        <v>38</v>
      </c>
      <c r="C2025" s="224" t="s">
        <v>86</v>
      </c>
      <c r="D2025" s="224" t="s">
        <v>55</v>
      </c>
      <c r="E2025" s="224" t="s">
        <v>256</v>
      </c>
      <c r="F2025" s="224" t="s">
        <v>248</v>
      </c>
      <c r="G2025" s="223" t="str">
        <f>VLOOKUP($B2025,'FRS geographical categories'!$A$2:$C$45,2,FALSE)</f>
        <v>Predominantly Rural</v>
      </c>
      <c r="H2025" s="223" t="str">
        <f>VLOOKUP($B2025,'FRS geographical categories'!$A$2:$C$45,3,FALSE)</f>
        <v>Non-metropolitan</v>
      </c>
      <c r="I2025" s="224">
        <v>0</v>
      </c>
    </row>
    <row r="2026" spans="1:9" ht="15.5" x14ac:dyDescent="0.35">
      <c r="A2026" s="224" t="s">
        <v>56</v>
      </c>
      <c r="B2026" s="224" t="s">
        <v>38</v>
      </c>
      <c r="C2026" s="224" t="s">
        <v>86</v>
      </c>
      <c r="D2026" s="224" t="s">
        <v>55</v>
      </c>
      <c r="E2026" s="224" t="s">
        <v>256</v>
      </c>
      <c r="F2026" s="224" t="s">
        <v>249</v>
      </c>
      <c r="G2026" s="223" t="str">
        <f>VLOOKUP($B2026,'FRS geographical categories'!$A$2:$C$45,2,FALSE)</f>
        <v>Predominantly Rural</v>
      </c>
      <c r="H2026" s="223" t="str">
        <f>VLOOKUP($B2026,'FRS geographical categories'!$A$2:$C$45,3,FALSE)</f>
        <v>Non-metropolitan</v>
      </c>
      <c r="I2026" s="224">
        <v>0</v>
      </c>
    </row>
    <row r="2027" spans="1:9" ht="15.5" x14ac:dyDescent="0.35">
      <c r="A2027" s="224" t="s">
        <v>56</v>
      </c>
      <c r="B2027" s="224" t="s">
        <v>38</v>
      </c>
      <c r="C2027" s="224" t="s">
        <v>86</v>
      </c>
      <c r="D2027" s="224" t="s">
        <v>55</v>
      </c>
      <c r="E2027" s="224" t="s">
        <v>256</v>
      </c>
      <c r="F2027" s="224" t="s">
        <v>250</v>
      </c>
      <c r="G2027" s="223" t="str">
        <f>VLOOKUP($B2027,'FRS geographical categories'!$A$2:$C$45,2,FALSE)</f>
        <v>Predominantly Rural</v>
      </c>
      <c r="H2027" s="223" t="str">
        <f>VLOOKUP($B2027,'FRS geographical categories'!$A$2:$C$45,3,FALSE)</f>
        <v>Non-metropolitan</v>
      </c>
      <c r="I2027" s="224">
        <v>0</v>
      </c>
    </row>
    <row r="2028" spans="1:9" ht="15.5" x14ac:dyDescent="0.35">
      <c r="A2028" s="224" t="s">
        <v>56</v>
      </c>
      <c r="B2028" s="224" t="s">
        <v>38</v>
      </c>
      <c r="C2028" s="224" t="s">
        <v>86</v>
      </c>
      <c r="D2028" s="224" t="s">
        <v>55</v>
      </c>
      <c r="E2028" s="224" t="s">
        <v>256</v>
      </c>
      <c r="F2028" s="224" t="s">
        <v>111</v>
      </c>
      <c r="G2028" s="223" t="str">
        <f>VLOOKUP($B2028,'FRS geographical categories'!$A$2:$C$45,2,FALSE)</f>
        <v>Predominantly Rural</v>
      </c>
      <c r="H2028" s="223" t="str">
        <f>VLOOKUP($B2028,'FRS geographical categories'!$A$2:$C$45,3,FALSE)</f>
        <v>Non-metropolitan</v>
      </c>
      <c r="I2028" s="224">
        <v>0</v>
      </c>
    </row>
    <row r="2029" spans="1:9" ht="15.5" x14ac:dyDescent="0.35">
      <c r="A2029" s="224" t="s">
        <v>56</v>
      </c>
      <c r="B2029" s="224" t="s">
        <v>38</v>
      </c>
      <c r="C2029" s="224" t="s">
        <v>86</v>
      </c>
      <c r="D2029" s="224" t="s">
        <v>55</v>
      </c>
      <c r="E2029" s="224" t="s">
        <v>256</v>
      </c>
      <c r="F2029" s="224" t="s">
        <v>10</v>
      </c>
      <c r="G2029" s="223" t="str">
        <f>VLOOKUP($B2029,'FRS geographical categories'!$A$2:$C$45,2,FALSE)</f>
        <v>Predominantly Rural</v>
      </c>
      <c r="H2029" s="223" t="str">
        <f>VLOOKUP($B2029,'FRS geographical categories'!$A$2:$C$45,3,FALSE)</f>
        <v>Non-metropolitan</v>
      </c>
      <c r="I2029" s="224">
        <v>122</v>
      </c>
    </row>
    <row r="2030" spans="1:9" ht="15.5" x14ac:dyDescent="0.35">
      <c r="A2030" s="224" t="s">
        <v>56</v>
      </c>
      <c r="B2030" s="224" t="s">
        <v>38</v>
      </c>
      <c r="C2030" s="224" t="s">
        <v>89</v>
      </c>
      <c r="D2030" s="224" t="s">
        <v>9</v>
      </c>
      <c r="E2030" s="224" t="s">
        <v>256</v>
      </c>
      <c r="F2030" s="224" t="s">
        <v>248</v>
      </c>
      <c r="G2030" s="223" t="str">
        <f>VLOOKUP($B2030,'FRS geographical categories'!$A$2:$C$45,2,FALSE)</f>
        <v>Predominantly Rural</v>
      </c>
      <c r="H2030" s="223" t="str">
        <f>VLOOKUP($B2030,'FRS geographical categories'!$A$2:$C$45,3,FALSE)</f>
        <v>Non-metropolitan</v>
      </c>
      <c r="I2030" s="224">
        <v>0</v>
      </c>
    </row>
    <row r="2031" spans="1:9" ht="15.5" x14ac:dyDescent="0.35">
      <c r="A2031" s="224" t="s">
        <v>56</v>
      </c>
      <c r="B2031" s="224" t="s">
        <v>38</v>
      </c>
      <c r="C2031" s="224" t="s">
        <v>89</v>
      </c>
      <c r="D2031" s="224" t="s">
        <v>9</v>
      </c>
      <c r="E2031" s="224" t="s">
        <v>256</v>
      </c>
      <c r="F2031" s="224" t="s">
        <v>249</v>
      </c>
      <c r="G2031" s="223" t="str">
        <f>VLOOKUP($B2031,'FRS geographical categories'!$A$2:$C$45,2,FALSE)</f>
        <v>Predominantly Rural</v>
      </c>
      <c r="H2031" s="223" t="str">
        <f>VLOOKUP($B2031,'FRS geographical categories'!$A$2:$C$45,3,FALSE)</f>
        <v>Non-metropolitan</v>
      </c>
      <c r="I2031" s="224">
        <v>0</v>
      </c>
    </row>
    <row r="2032" spans="1:9" ht="15.5" x14ac:dyDescent="0.35">
      <c r="A2032" s="224" t="s">
        <v>56</v>
      </c>
      <c r="B2032" s="224" t="s">
        <v>38</v>
      </c>
      <c r="C2032" s="224" t="s">
        <v>89</v>
      </c>
      <c r="D2032" s="224" t="s">
        <v>9</v>
      </c>
      <c r="E2032" s="224" t="s">
        <v>256</v>
      </c>
      <c r="F2032" s="224" t="s">
        <v>250</v>
      </c>
      <c r="G2032" s="223" t="str">
        <f>VLOOKUP($B2032,'FRS geographical categories'!$A$2:$C$45,2,FALSE)</f>
        <v>Predominantly Rural</v>
      </c>
      <c r="H2032" s="223" t="str">
        <f>VLOOKUP($B2032,'FRS geographical categories'!$A$2:$C$45,3,FALSE)</f>
        <v>Non-metropolitan</v>
      </c>
      <c r="I2032" s="224">
        <v>0</v>
      </c>
    </row>
    <row r="2033" spans="1:9" ht="15.5" x14ac:dyDescent="0.35">
      <c r="A2033" s="224" t="s">
        <v>56</v>
      </c>
      <c r="B2033" s="224" t="s">
        <v>38</v>
      </c>
      <c r="C2033" s="224" t="s">
        <v>89</v>
      </c>
      <c r="D2033" s="224" t="s">
        <v>9</v>
      </c>
      <c r="E2033" s="224" t="s">
        <v>256</v>
      </c>
      <c r="F2033" s="224" t="s">
        <v>10</v>
      </c>
      <c r="G2033" s="223" t="str">
        <f>VLOOKUP($B2033,'FRS geographical categories'!$A$2:$C$45,2,FALSE)</f>
        <v>Predominantly Rural</v>
      </c>
      <c r="H2033" s="223" t="str">
        <f>VLOOKUP($B2033,'FRS geographical categories'!$A$2:$C$45,3,FALSE)</f>
        <v>Non-metropolitan</v>
      </c>
      <c r="I2033" s="224">
        <v>3</v>
      </c>
    </row>
    <row r="2034" spans="1:9" ht="15.5" x14ac:dyDescent="0.35">
      <c r="A2034" s="224" t="s">
        <v>56</v>
      </c>
      <c r="B2034" s="224" t="s">
        <v>38</v>
      </c>
      <c r="C2034" s="224" t="s">
        <v>89</v>
      </c>
      <c r="D2034" s="224" t="s">
        <v>55</v>
      </c>
      <c r="E2034" s="224" t="s">
        <v>256</v>
      </c>
      <c r="F2034" s="224" t="s">
        <v>248</v>
      </c>
      <c r="G2034" s="223" t="str">
        <f>VLOOKUP($B2034,'FRS geographical categories'!$A$2:$C$45,2,FALSE)</f>
        <v>Predominantly Rural</v>
      </c>
      <c r="H2034" s="223" t="str">
        <f>VLOOKUP($B2034,'FRS geographical categories'!$A$2:$C$45,3,FALSE)</f>
        <v>Non-metropolitan</v>
      </c>
      <c r="I2034" s="224">
        <v>0</v>
      </c>
    </row>
    <row r="2035" spans="1:9" ht="15.5" x14ac:dyDescent="0.35">
      <c r="A2035" s="224" t="s">
        <v>56</v>
      </c>
      <c r="B2035" s="224" t="s">
        <v>38</v>
      </c>
      <c r="C2035" s="224" t="s">
        <v>89</v>
      </c>
      <c r="D2035" s="224" t="s">
        <v>55</v>
      </c>
      <c r="E2035" s="224" t="s">
        <v>256</v>
      </c>
      <c r="F2035" s="224" t="s">
        <v>249</v>
      </c>
      <c r="G2035" s="223" t="str">
        <f>VLOOKUP($B2035,'FRS geographical categories'!$A$2:$C$45,2,FALSE)</f>
        <v>Predominantly Rural</v>
      </c>
      <c r="H2035" s="223" t="str">
        <f>VLOOKUP($B2035,'FRS geographical categories'!$A$2:$C$45,3,FALSE)</f>
        <v>Non-metropolitan</v>
      </c>
      <c r="I2035" s="224">
        <v>0</v>
      </c>
    </row>
    <row r="2036" spans="1:9" ht="15.5" x14ac:dyDescent="0.35">
      <c r="A2036" s="224" t="s">
        <v>56</v>
      </c>
      <c r="B2036" s="224" t="s">
        <v>38</v>
      </c>
      <c r="C2036" s="224" t="s">
        <v>89</v>
      </c>
      <c r="D2036" s="224" t="s">
        <v>55</v>
      </c>
      <c r="E2036" s="224" t="s">
        <v>256</v>
      </c>
      <c r="F2036" s="224" t="s">
        <v>250</v>
      </c>
      <c r="G2036" s="223" t="str">
        <f>VLOOKUP($B2036,'FRS geographical categories'!$A$2:$C$45,2,FALSE)</f>
        <v>Predominantly Rural</v>
      </c>
      <c r="H2036" s="223" t="str">
        <f>VLOOKUP($B2036,'FRS geographical categories'!$A$2:$C$45,3,FALSE)</f>
        <v>Non-metropolitan</v>
      </c>
      <c r="I2036" s="224">
        <v>0</v>
      </c>
    </row>
    <row r="2037" spans="1:9" ht="15.5" x14ac:dyDescent="0.35">
      <c r="A2037" s="224" t="s">
        <v>56</v>
      </c>
      <c r="B2037" s="224" t="s">
        <v>38</v>
      </c>
      <c r="C2037" s="224" t="s">
        <v>89</v>
      </c>
      <c r="D2037" s="224" t="s">
        <v>55</v>
      </c>
      <c r="E2037" s="224" t="s">
        <v>256</v>
      </c>
      <c r="F2037" s="224" t="s">
        <v>10</v>
      </c>
      <c r="G2037" s="223" t="str">
        <f>VLOOKUP($B2037,'FRS geographical categories'!$A$2:$C$45,2,FALSE)</f>
        <v>Predominantly Rural</v>
      </c>
      <c r="H2037" s="223" t="str">
        <f>VLOOKUP($B2037,'FRS geographical categories'!$A$2:$C$45,3,FALSE)</f>
        <v>Non-metropolitan</v>
      </c>
      <c r="I2037" s="224">
        <v>0</v>
      </c>
    </row>
    <row r="2038" spans="1:9" ht="15.5" x14ac:dyDescent="0.35">
      <c r="A2038" s="224" t="s">
        <v>56</v>
      </c>
      <c r="B2038" s="224" t="s">
        <v>39</v>
      </c>
      <c r="C2038" s="224" t="s">
        <v>86</v>
      </c>
      <c r="D2038" s="224" t="s">
        <v>9</v>
      </c>
      <c r="E2038" s="224" t="s">
        <v>256</v>
      </c>
      <c r="F2038" s="224" t="s">
        <v>248</v>
      </c>
      <c r="G2038" s="223" t="str">
        <f>VLOOKUP($B2038,'FRS geographical categories'!$A$2:$C$45,2,FALSE)</f>
        <v>Significantly Rural</v>
      </c>
      <c r="H2038" s="223" t="str">
        <f>VLOOKUP($B2038,'FRS geographical categories'!$A$2:$C$45,3,FALSE)</f>
        <v>Non-metropolitan</v>
      </c>
      <c r="I2038" s="224">
        <v>250</v>
      </c>
    </row>
    <row r="2039" spans="1:9" ht="15.5" x14ac:dyDescent="0.35">
      <c r="A2039" s="224" t="s">
        <v>56</v>
      </c>
      <c r="B2039" s="224" t="s">
        <v>39</v>
      </c>
      <c r="C2039" s="224" t="s">
        <v>86</v>
      </c>
      <c r="D2039" s="224" t="s">
        <v>9</v>
      </c>
      <c r="E2039" s="224" t="s">
        <v>256</v>
      </c>
      <c r="F2039" s="224" t="s">
        <v>249</v>
      </c>
      <c r="G2039" s="223" t="str">
        <f>VLOOKUP($B2039,'FRS geographical categories'!$A$2:$C$45,2,FALSE)</f>
        <v>Significantly Rural</v>
      </c>
      <c r="H2039" s="223" t="str">
        <f>VLOOKUP($B2039,'FRS geographical categories'!$A$2:$C$45,3,FALSE)</f>
        <v>Non-metropolitan</v>
      </c>
      <c r="I2039" s="224">
        <v>842</v>
      </c>
    </row>
    <row r="2040" spans="1:9" ht="15.5" x14ac:dyDescent="0.35">
      <c r="A2040" s="224" t="s">
        <v>56</v>
      </c>
      <c r="B2040" s="224" t="s">
        <v>39</v>
      </c>
      <c r="C2040" s="224" t="s">
        <v>86</v>
      </c>
      <c r="D2040" s="224" t="s">
        <v>9</v>
      </c>
      <c r="E2040" s="224" t="s">
        <v>256</v>
      </c>
      <c r="F2040" s="224" t="s">
        <v>250</v>
      </c>
      <c r="G2040" s="223" t="str">
        <f>VLOOKUP($B2040,'FRS geographical categories'!$A$2:$C$45,2,FALSE)</f>
        <v>Significantly Rural</v>
      </c>
      <c r="H2040" s="223" t="str">
        <f>VLOOKUP($B2040,'FRS geographical categories'!$A$2:$C$45,3,FALSE)</f>
        <v>Non-metropolitan</v>
      </c>
      <c r="I2040" s="224">
        <v>815</v>
      </c>
    </row>
    <row r="2041" spans="1:9" ht="15.5" x14ac:dyDescent="0.35">
      <c r="A2041" s="224" t="s">
        <v>56</v>
      </c>
      <c r="B2041" s="224" t="s">
        <v>39</v>
      </c>
      <c r="C2041" s="224" t="s">
        <v>86</v>
      </c>
      <c r="D2041" s="224" t="s">
        <v>9</v>
      </c>
      <c r="E2041" s="224" t="s">
        <v>256</v>
      </c>
      <c r="F2041" s="224" t="s">
        <v>111</v>
      </c>
      <c r="G2041" s="223" t="str">
        <f>VLOOKUP($B2041,'FRS geographical categories'!$A$2:$C$45,2,FALSE)</f>
        <v>Significantly Rural</v>
      </c>
      <c r="H2041" s="223" t="str">
        <f>VLOOKUP($B2041,'FRS geographical categories'!$A$2:$C$45,3,FALSE)</f>
        <v>Non-metropolitan</v>
      </c>
      <c r="I2041" s="224">
        <v>2756</v>
      </c>
    </row>
    <row r="2042" spans="1:9" ht="15.5" x14ac:dyDescent="0.35">
      <c r="A2042" s="224" t="s">
        <v>56</v>
      </c>
      <c r="B2042" s="224" t="s">
        <v>39</v>
      </c>
      <c r="C2042" s="224" t="s">
        <v>86</v>
      </c>
      <c r="D2042" s="224" t="s">
        <v>9</v>
      </c>
      <c r="E2042" s="224" t="s">
        <v>256</v>
      </c>
      <c r="F2042" s="224" t="s">
        <v>10</v>
      </c>
      <c r="G2042" s="223" t="str">
        <f>VLOOKUP($B2042,'FRS geographical categories'!$A$2:$C$45,2,FALSE)</f>
        <v>Significantly Rural</v>
      </c>
      <c r="H2042" s="223" t="str">
        <f>VLOOKUP($B2042,'FRS geographical categories'!$A$2:$C$45,3,FALSE)</f>
        <v>Non-metropolitan</v>
      </c>
      <c r="I2042" s="224">
        <v>2756</v>
      </c>
    </row>
    <row r="2043" spans="1:9" ht="15.5" x14ac:dyDescent="0.35">
      <c r="A2043" s="224" t="s">
        <v>56</v>
      </c>
      <c r="B2043" s="224" t="s">
        <v>39</v>
      </c>
      <c r="C2043" s="224" t="s">
        <v>86</v>
      </c>
      <c r="D2043" s="224" t="s">
        <v>55</v>
      </c>
      <c r="E2043" s="224" t="s">
        <v>256</v>
      </c>
      <c r="F2043" s="224" t="s">
        <v>248</v>
      </c>
      <c r="G2043" s="223" t="str">
        <f>VLOOKUP($B2043,'FRS geographical categories'!$A$2:$C$45,2,FALSE)</f>
        <v>Significantly Rural</v>
      </c>
      <c r="H2043" s="223" t="str">
        <f>VLOOKUP($B2043,'FRS geographical categories'!$A$2:$C$45,3,FALSE)</f>
        <v>Non-metropolitan</v>
      </c>
      <c r="I2043" s="224">
        <v>5</v>
      </c>
    </row>
    <row r="2044" spans="1:9" ht="15.5" x14ac:dyDescent="0.35">
      <c r="A2044" s="224" t="s">
        <v>56</v>
      </c>
      <c r="B2044" s="224" t="s">
        <v>39</v>
      </c>
      <c r="C2044" s="224" t="s">
        <v>86</v>
      </c>
      <c r="D2044" s="224" t="s">
        <v>55</v>
      </c>
      <c r="E2044" s="224" t="s">
        <v>256</v>
      </c>
      <c r="F2044" s="224" t="s">
        <v>249</v>
      </c>
      <c r="G2044" s="223" t="str">
        <f>VLOOKUP($B2044,'FRS geographical categories'!$A$2:$C$45,2,FALSE)</f>
        <v>Significantly Rural</v>
      </c>
      <c r="H2044" s="223" t="str">
        <f>VLOOKUP($B2044,'FRS geographical categories'!$A$2:$C$45,3,FALSE)</f>
        <v>Non-metropolitan</v>
      </c>
      <c r="I2044" s="224">
        <v>8</v>
      </c>
    </row>
    <row r="2045" spans="1:9" ht="15.5" x14ac:dyDescent="0.35">
      <c r="A2045" s="224" t="s">
        <v>56</v>
      </c>
      <c r="B2045" s="224" t="s">
        <v>39</v>
      </c>
      <c r="C2045" s="224" t="s">
        <v>86</v>
      </c>
      <c r="D2045" s="224" t="s">
        <v>55</v>
      </c>
      <c r="E2045" s="224" t="s">
        <v>256</v>
      </c>
      <c r="F2045" s="224" t="s">
        <v>250</v>
      </c>
      <c r="G2045" s="223" t="str">
        <f>VLOOKUP($B2045,'FRS geographical categories'!$A$2:$C$45,2,FALSE)</f>
        <v>Significantly Rural</v>
      </c>
      <c r="H2045" s="223" t="str">
        <f>VLOOKUP($B2045,'FRS geographical categories'!$A$2:$C$45,3,FALSE)</f>
        <v>Non-metropolitan</v>
      </c>
      <c r="I2045" s="224">
        <v>26</v>
      </c>
    </row>
    <row r="2046" spans="1:9" ht="15.5" x14ac:dyDescent="0.35">
      <c r="A2046" s="224" t="s">
        <v>56</v>
      </c>
      <c r="B2046" s="224" t="s">
        <v>39</v>
      </c>
      <c r="C2046" s="224" t="s">
        <v>86</v>
      </c>
      <c r="D2046" s="224" t="s">
        <v>55</v>
      </c>
      <c r="E2046" s="224" t="s">
        <v>256</v>
      </c>
      <c r="F2046" s="224" t="s">
        <v>111</v>
      </c>
      <c r="G2046" s="223" t="str">
        <f>VLOOKUP($B2046,'FRS geographical categories'!$A$2:$C$45,2,FALSE)</f>
        <v>Significantly Rural</v>
      </c>
      <c r="H2046" s="223" t="str">
        <f>VLOOKUP($B2046,'FRS geographical categories'!$A$2:$C$45,3,FALSE)</f>
        <v>Non-metropolitan</v>
      </c>
      <c r="I2046" s="224">
        <v>146</v>
      </c>
    </row>
    <row r="2047" spans="1:9" ht="15.5" x14ac:dyDescent="0.35">
      <c r="A2047" s="224" t="s">
        <v>56</v>
      </c>
      <c r="B2047" s="224" t="s">
        <v>39</v>
      </c>
      <c r="C2047" s="224" t="s">
        <v>86</v>
      </c>
      <c r="D2047" s="224" t="s">
        <v>55</v>
      </c>
      <c r="E2047" s="224" t="s">
        <v>256</v>
      </c>
      <c r="F2047" s="224" t="s">
        <v>10</v>
      </c>
      <c r="G2047" s="223" t="str">
        <f>VLOOKUP($B2047,'FRS geographical categories'!$A$2:$C$45,2,FALSE)</f>
        <v>Significantly Rural</v>
      </c>
      <c r="H2047" s="223" t="str">
        <f>VLOOKUP($B2047,'FRS geographical categories'!$A$2:$C$45,3,FALSE)</f>
        <v>Non-metropolitan</v>
      </c>
      <c r="I2047" s="224">
        <v>146</v>
      </c>
    </row>
    <row r="2048" spans="1:9" ht="15.5" x14ac:dyDescent="0.35">
      <c r="A2048" s="224" t="s">
        <v>56</v>
      </c>
      <c r="B2048" s="224" t="s">
        <v>39</v>
      </c>
      <c r="C2048" s="224" t="s">
        <v>89</v>
      </c>
      <c r="D2048" s="224" t="s">
        <v>9</v>
      </c>
      <c r="E2048" s="224" t="s">
        <v>256</v>
      </c>
      <c r="F2048" s="224" t="s">
        <v>248</v>
      </c>
      <c r="G2048" s="223" t="str">
        <f>VLOOKUP($B2048,'FRS geographical categories'!$A$2:$C$45,2,FALSE)</f>
        <v>Significantly Rural</v>
      </c>
      <c r="H2048" s="223" t="str">
        <f>VLOOKUP($B2048,'FRS geographical categories'!$A$2:$C$45,3,FALSE)</f>
        <v>Non-metropolitan</v>
      </c>
      <c r="I2048" s="224">
        <v>0</v>
      </c>
    </row>
    <row r="2049" spans="1:9" ht="15.5" x14ac:dyDescent="0.35">
      <c r="A2049" s="224" t="s">
        <v>56</v>
      </c>
      <c r="B2049" s="224" t="s">
        <v>39</v>
      </c>
      <c r="C2049" s="224" t="s">
        <v>89</v>
      </c>
      <c r="D2049" s="224" t="s">
        <v>9</v>
      </c>
      <c r="E2049" s="224" t="s">
        <v>256</v>
      </c>
      <c r="F2049" s="224" t="s">
        <v>249</v>
      </c>
      <c r="G2049" s="223" t="str">
        <f>VLOOKUP($B2049,'FRS geographical categories'!$A$2:$C$45,2,FALSE)</f>
        <v>Significantly Rural</v>
      </c>
      <c r="H2049" s="223" t="str">
        <f>VLOOKUP($B2049,'FRS geographical categories'!$A$2:$C$45,3,FALSE)</f>
        <v>Non-metropolitan</v>
      </c>
      <c r="I2049" s="224">
        <v>0</v>
      </c>
    </row>
    <row r="2050" spans="1:9" ht="15.5" x14ac:dyDescent="0.35">
      <c r="A2050" s="224" t="s">
        <v>56</v>
      </c>
      <c r="B2050" s="224" t="s">
        <v>39</v>
      </c>
      <c r="C2050" s="224" t="s">
        <v>89</v>
      </c>
      <c r="D2050" s="224" t="s">
        <v>9</v>
      </c>
      <c r="E2050" s="224" t="s">
        <v>256</v>
      </c>
      <c r="F2050" s="224" t="s">
        <v>250</v>
      </c>
      <c r="G2050" s="223" t="str">
        <f>VLOOKUP($B2050,'FRS geographical categories'!$A$2:$C$45,2,FALSE)</f>
        <v>Significantly Rural</v>
      </c>
      <c r="H2050" s="223" t="str">
        <f>VLOOKUP($B2050,'FRS geographical categories'!$A$2:$C$45,3,FALSE)</f>
        <v>Non-metropolitan</v>
      </c>
      <c r="I2050" s="224">
        <v>0</v>
      </c>
    </row>
    <row r="2051" spans="1:9" ht="15.5" x14ac:dyDescent="0.35">
      <c r="A2051" s="224" t="s">
        <v>56</v>
      </c>
      <c r="B2051" s="224" t="s">
        <v>39</v>
      </c>
      <c r="C2051" s="224" t="s">
        <v>89</v>
      </c>
      <c r="D2051" s="224" t="s">
        <v>9</v>
      </c>
      <c r="E2051" s="224" t="s">
        <v>256</v>
      </c>
      <c r="F2051" s="224" t="s">
        <v>10</v>
      </c>
      <c r="G2051" s="223" t="str">
        <f>VLOOKUP($B2051,'FRS geographical categories'!$A$2:$C$45,2,FALSE)</f>
        <v>Significantly Rural</v>
      </c>
      <c r="H2051" s="223" t="str">
        <f>VLOOKUP($B2051,'FRS geographical categories'!$A$2:$C$45,3,FALSE)</f>
        <v>Non-metropolitan</v>
      </c>
      <c r="I2051" s="224">
        <v>0</v>
      </c>
    </row>
    <row r="2052" spans="1:9" ht="15.5" x14ac:dyDescent="0.35">
      <c r="A2052" s="224" t="s">
        <v>56</v>
      </c>
      <c r="B2052" s="224" t="s">
        <v>39</v>
      </c>
      <c r="C2052" s="224" t="s">
        <v>89</v>
      </c>
      <c r="D2052" s="224" t="s">
        <v>55</v>
      </c>
      <c r="E2052" s="224" t="s">
        <v>256</v>
      </c>
      <c r="F2052" s="224" t="s">
        <v>248</v>
      </c>
      <c r="G2052" s="223" t="str">
        <f>VLOOKUP($B2052,'FRS geographical categories'!$A$2:$C$45,2,FALSE)</f>
        <v>Significantly Rural</v>
      </c>
      <c r="H2052" s="223" t="str">
        <f>VLOOKUP($B2052,'FRS geographical categories'!$A$2:$C$45,3,FALSE)</f>
        <v>Non-metropolitan</v>
      </c>
      <c r="I2052" s="224">
        <v>0</v>
      </c>
    </row>
    <row r="2053" spans="1:9" ht="15.5" x14ac:dyDescent="0.35">
      <c r="A2053" s="224" t="s">
        <v>56</v>
      </c>
      <c r="B2053" s="224" t="s">
        <v>39</v>
      </c>
      <c r="C2053" s="224" t="s">
        <v>89</v>
      </c>
      <c r="D2053" s="224" t="s">
        <v>55</v>
      </c>
      <c r="E2053" s="224" t="s">
        <v>256</v>
      </c>
      <c r="F2053" s="224" t="s">
        <v>249</v>
      </c>
      <c r="G2053" s="223" t="str">
        <f>VLOOKUP($B2053,'FRS geographical categories'!$A$2:$C$45,2,FALSE)</f>
        <v>Significantly Rural</v>
      </c>
      <c r="H2053" s="223" t="str">
        <f>VLOOKUP($B2053,'FRS geographical categories'!$A$2:$C$45,3,FALSE)</f>
        <v>Non-metropolitan</v>
      </c>
      <c r="I2053" s="224">
        <v>0</v>
      </c>
    </row>
    <row r="2054" spans="1:9" ht="15.5" x14ac:dyDescent="0.35">
      <c r="A2054" s="224" t="s">
        <v>56</v>
      </c>
      <c r="B2054" s="224" t="s">
        <v>39</v>
      </c>
      <c r="C2054" s="224" t="s">
        <v>89</v>
      </c>
      <c r="D2054" s="224" t="s">
        <v>55</v>
      </c>
      <c r="E2054" s="224" t="s">
        <v>256</v>
      </c>
      <c r="F2054" s="224" t="s">
        <v>250</v>
      </c>
      <c r="G2054" s="223" t="str">
        <f>VLOOKUP($B2054,'FRS geographical categories'!$A$2:$C$45,2,FALSE)</f>
        <v>Significantly Rural</v>
      </c>
      <c r="H2054" s="223" t="str">
        <f>VLOOKUP($B2054,'FRS geographical categories'!$A$2:$C$45,3,FALSE)</f>
        <v>Non-metropolitan</v>
      </c>
      <c r="I2054" s="224">
        <v>0</v>
      </c>
    </row>
    <row r="2055" spans="1:9" ht="15.5" x14ac:dyDescent="0.35">
      <c r="A2055" s="224" t="s">
        <v>56</v>
      </c>
      <c r="B2055" s="224" t="s">
        <v>39</v>
      </c>
      <c r="C2055" s="224" t="s">
        <v>89</v>
      </c>
      <c r="D2055" s="224" t="s">
        <v>55</v>
      </c>
      <c r="E2055" s="224" t="s">
        <v>256</v>
      </c>
      <c r="F2055" s="224" t="s">
        <v>10</v>
      </c>
      <c r="G2055" s="223" t="str">
        <f>VLOOKUP($B2055,'FRS geographical categories'!$A$2:$C$45,2,FALSE)</f>
        <v>Significantly Rural</v>
      </c>
      <c r="H2055" s="223" t="str">
        <f>VLOOKUP($B2055,'FRS geographical categories'!$A$2:$C$45,3,FALSE)</f>
        <v>Non-metropolitan</v>
      </c>
      <c r="I2055" s="224">
        <v>0</v>
      </c>
    </row>
    <row r="2056" spans="1:9" ht="15.5" x14ac:dyDescent="0.35">
      <c r="A2056" s="224" t="s">
        <v>56</v>
      </c>
      <c r="B2056" s="224" t="s">
        <v>40</v>
      </c>
      <c r="C2056" s="224" t="s">
        <v>86</v>
      </c>
      <c r="D2056" s="224" t="s">
        <v>9</v>
      </c>
      <c r="E2056" s="224" t="s">
        <v>256</v>
      </c>
      <c r="F2056" s="224" t="s">
        <v>248</v>
      </c>
      <c r="G2056" s="223" t="str">
        <f>VLOOKUP($B2056,'FRS geographical categories'!$A$2:$C$45,2,FALSE)</f>
        <v>Predominantly Rural</v>
      </c>
      <c r="H2056" s="223" t="str">
        <f>VLOOKUP($B2056,'FRS geographical categories'!$A$2:$C$45,3,FALSE)</f>
        <v>Non-metropolitan</v>
      </c>
      <c r="I2056" s="224">
        <v>244</v>
      </c>
    </row>
    <row r="2057" spans="1:9" ht="15.5" x14ac:dyDescent="0.35">
      <c r="A2057" s="224" t="s">
        <v>56</v>
      </c>
      <c r="B2057" s="224" t="s">
        <v>40</v>
      </c>
      <c r="C2057" s="224" t="s">
        <v>86</v>
      </c>
      <c r="D2057" s="224" t="s">
        <v>9</v>
      </c>
      <c r="E2057" s="224" t="s">
        <v>256</v>
      </c>
      <c r="F2057" s="224" t="s">
        <v>249</v>
      </c>
      <c r="G2057" s="223" t="str">
        <f>VLOOKUP($B2057,'FRS geographical categories'!$A$2:$C$45,2,FALSE)</f>
        <v>Predominantly Rural</v>
      </c>
      <c r="H2057" s="223" t="str">
        <f>VLOOKUP($B2057,'FRS geographical categories'!$A$2:$C$45,3,FALSE)</f>
        <v>Non-metropolitan</v>
      </c>
      <c r="I2057" s="224">
        <v>209</v>
      </c>
    </row>
    <row r="2058" spans="1:9" ht="15.5" x14ac:dyDescent="0.35">
      <c r="A2058" s="224" t="s">
        <v>56</v>
      </c>
      <c r="B2058" s="224" t="s">
        <v>40</v>
      </c>
      <c r="C2058" s="224" t="s">
        <v>86</v>
      </c>
      <c r="D2058" s="224" t="s">
        <v>9</v>
      </c>
      <c r="E2058" s="224" t="s">
        <v>256</v>
      </c>
      <c r="F2058" s="224" t="s">
        <v>250</v>
      </c>
      <c r="G2058" s="223" t="str">
        <f>VLOOKUP($B2058,'FRS geographical categories'!$A$2:$C$45,2,FALSE)</f>
        <v>Predominantly Rural</v>
      </c>
      <c r="H2058" s="223" t="str">
        <f>VLOOKUP($B2058,'FRS geographical categories'!$A$2:$C$45,3,FALSE)</f>
        <v>Non-metropolitan</v>
      </c>
      <c r="I2058" s="224">
        <v>2722</v>
      </c>
    </row>
    <row r="2059" spans="1:9" ht="15.5" x14ac:dyDescent="0.35">
      <c r="A2059" s="224" t="s">
        <v>56</v>
      </c>
      <c r="B2059" s="224" t="s">
        <v>40</v>
      </c>
      <c r="C2059" s="224" t="s">
        <v>86</v>
      </c>
      <c r="D2059" s="224" t="s">
        <v>9</v>
      </c>
      <c r="E2059" s="224" t="s">
        <v>256</v>
      </c>
      <c r="F2059" s="224" t="s">
        <v>111</v>
      </c>
      <c r="G2059" s="223" t="str">
        <f>VLOOKUP($B2059,'FRS geographical categories'!$A$2:$C$45,2,FALSE)</f>
        <v>Predominantly Rural</v>
      </c>
      <c r="H2059" s="223" t="str">
        <f>VLOOKUP($B2059,'FRS geographical categories'!$A$2:$C$45,3,FALSE)</f>
        <v>Non-metropolitan</v>
      </c>
      <c r="I2059" s="224">
        <v>4807</v>
      </c>
    </row>
    <row r="2060" spans="1:9" ht="15.5" x14ac:dyDescent="0.35">
      <c r="A2060" s="224" t="s">
        <v>56</v>
      </c>
      <c r="B2060" s="224" t="s">
        <v>40</v>
      </c>
      <c r="C2060" s="224" t="s">
        <v>86</v>
      </c>
      <c r="D2060" s="224" t="s">
        <v>9</v>
      </c>
      <c r="E2060" s="224" t="s">
        <v>256</v>
      </c>
      <c r="F2060" s="224" t="s">
        <v>10</v>
      </c>
      <c r="G2060" s="223" t="str">
        <f>VLOOKUP($B2060,'FRS geographical categories'!$A$2:$C$45,2,FALSE)</f>
        <v>Predominantly Rural</v>
      </c>
      <c r="H2060" s="223" t="str">
        <f>VLOOKUP($B2060,'FRS geographical categories'!$A$2:$C$45,3,FALSE)</f>
        <v>Non-metropolitan</v>
      </c>
      <c r="I2060" s="224">
        <v>4967</v>
      </c>
    </row>
    <row r="2061" spans="1:9" ht="15.5" x14ac:dyDescent="0.35">
      <c r="A2061" s="224" t="s">
        <v>56</v>
      </c>
      <c r="B2061" s="224" t="s">
        <v>40</v>
      </c>
      <c r="C2061" s="224" t="s">
        <v>86</v>
      </c>
      <c r="D2061" s="224" t="s">
        <v>55</v>
      </c>
      <c r="E2061" s="224" t="s">
        <v>256</v>
      </c>
      <c r="F2061" s="224" t="s">
        <v>248</v>
      </c>
      <c r="G2061" s="223" t="str">
        <f>VLOOKUP($B2061,'FRS geographical categories'!$A$2:$C$45,2,FALSE)</f>
        <v>Predominantly Rural</v>
      </c>
      <c r="H2061" s="223" t="str">
        <f>VLOOKUP($B2061,'FRS geographical categories'!$A$2:$C$45,3,FALSE)</f>
        <v>Non-metropolitan</v>
      </c>
      <c r="I2061" s="224">
        <v>0</v>
      </c>
    </row>
    <row r="2062" spans="1:9" ht="15.5" x14ac:dyDescent="0.35">
      <c r="A2062" s="224" t="s">
        <v>56</v>
      </c>
      <c r="B2062" s="224" t="s">
        <v>40</v>
      </c>
      <c r="C2062" s="224" t="s">
        <v>86</v>
      </c>
      <c r="D2062" s="224" t="s">
        <v>55</v>
      </c>
      <c r="E2062" s="224" t="s">
        <v>256</v>
      </c>
      <c r="F2062" s="224" t="s">
        <v>249</v>
      </c>
      <c r="G2062" s="223" t="str">
        <f>VLOOKUP($B2062,'FRS geographical categories'!$A$2:$C$45,2,FALSE)</f>
        <v>Predominantly Rural</v>
      </c>
      <c r="H2062" s="223" t="str">
        <f>VLOOKUP($B2062,'FRS geographical categories'!$A$2:$C$45,3,FALSE)</f>
        <v>Non-metropolitan</v>
      </c>
      <c r="I2062" s="224">
        <v>9</v>
      </c>
    </row>
    <row r="2063" spans="1:9" ht="15.5" x14ac:dyDescent="0.35">
      <c r="A2063" s="224" t="s">
        <v>56</v>
      </c>
      <c r="B2063" s="224" t="s">
        <v>40</v>
      </c>
      <c r="C2063" s="224" t="s">
        <v>86</v>
      </c>
      <c r="D2063" s="224" t="s">
        <v>55</v>
      </c>
      <c r="E2063" s="224" t="s">
        <v>256</v>
      </c>
      <c r="F2063" s="224" t="s">
        <v>250</v>
      </c>
      <c r="G2063" s="223" t="str">
        <f>VLOOKUP($B2063,'FRS geographical categories'!$A$2:$C$45,2,FALSE)</f>
        <v>Predominantly Rural</v>
      </c>
      <c r="H2063" s="223" t="str">
        <f>VLOOKUP($B2063,'FRS geographical categories'!$A$2:$C$45,3,FALSE)</f>
        <v>Non-metropolitan</v>
      </c>
      <c r="I2063" s="224">
        <v>9</v>
      </c>
    </row>
    <row r="2064" spans="1:9" ht="15.5" x14ac:dyDescent="0.35">
      <c r="A2064" s="224" t="s">
        <v>56</v>
      </c>
      <c r="B2064" s="224" t="s">
        <v>40</v>
      </c>
      <c r="C2064" s="224" t="s">
        <v>86</v>
      </c>
      <c r="D2064" s="224" t="s">
        <v>55</v>
      </c>
      <c r="E2064" s="224" t="s">
        <v>256</v>
      </c>
      <c r="F2064" s="224" t="s">
        <v>111</v>
      </c>
      <c r="G2064" s="223" t="str">
        <f>VLOOKUP($B2064,'FRS geographical categories'!$A$2:$C$45,2,FALSE)</f>
        <v>Predominantly Rural</v>
      </c>
      <c r="H2064" s="223" t="str">
        <f>VLOOKUP($B2064,'FRS geographical categories'!$A$2:$C$45,3,FALSE)</f>
        <v>Non-metropolitan</v>
      </c>
      <c r="I2064" s="224">
        <v>8</v>
      </c>
    </row>
    <row r="2065" spans="1:9" ht="15.5" x14ac:dyDescent="0.35">
      <c r="A2065" s="224" t="s">
        <v>56</v>
      </c>
      <c r="B2065" s="224" t="s">
        <v>40</v>
      </c>
      <c r="C2065" s="224" t="s">
        <v>86</v>
      </c>
      <c r="D2065" s="224" t="s">
        <v>55</v>
      </c>
      <c r="E2065" s="224" t="s">
        <v>256</v>
      </c>
      <c r="F2065" s="224" t="s">
        <v>10</v>
      </c>
      <c r="G2065" s="223" t="str">
        <f>VLOOKUP($B2065,'FRS geographical categories'!$A$2:$C$45,2,FALSE)</f>
        <v>Predominantly Rural</v>
      </c>
      <c r="H2065" s="223" t="str">
        <f>VLOOKUP($B2065,'FRS geographical categories'!$A$2:$C$45,3,FALSE)</f>
        <v>Non-metropolitan</v>
      </c>
      <c r="I2065" s="224">
        <v>18</v>
      </c>
    </row>
    <row r="2066" spans="1:9" ht="15.5" x14ac:dyDescent="0.35">
      <c r="A2066" s="224" t="s">
        <v>56</v>
      </c>
      <c r="B2066" s="224" t="s">
        <v>40</v>
      </c>
      <c r="C2066" s="224" t="s">
        <v>89</v>
      </c>
      <c r="D2066" s="224" t="s">
        <v>9</v>
      </c>
      <c r="E2066" s="224" t="s">
        <v>256</v>
      </c>
      <c r="F2066" s="224" t="s">
        <v>248</v>
      </c>
      <c r="G2066" s="223" t="str">
        <f>VLOOKUP($B2066,'FRS geographical categories'!$A$2:$C$45,2,FALSE)</f>
        <v>Predominantly Rural</v>
      </c>
      <c r="H2066" s="223" t="str">
        <f>VLOOKUP($B2066,'FRS geographical categories'!$A$2:$C$45,3,FALSE)</f>
        <v>Non-metropolitan</v>
      </c>
      <c r="I2066" s="224">
        <v>0</v>
      </c>
    </row>
    <row r="2067" spans="1:9" ht="15.5" x14ac:dyDescent="0.35">
      <c r="A2067" s="224" t="s">
        <v>56</v>
      </c>
      <c r="B2067" s="224" t="s">
        <v>40</v>
      </c>
      <c r="C2067" s="224" t="s">
        <v>89</v>
      </c>
      <c r="D2067" s="224" t="s">
        <v>9</v>
      </c>
      <c r="E2067" s="224" t="s">
        <v>256</v>
      </c>
      <c r="F2067" s="224" t="s">
        <v>249</v>
      </c>
      <c r="G2067" s="223" t="str">
        <f>VLOOKUP($B2067,'FRS geographical categories'!$A$2:$C$45,2,FALSE)</f>
        <v>Predominantly Rural</v>
      </c>
      <c r="H2067" s="223" t="str">
        <f>VLOOKUP($B2067,'FRS geographical categories'!$A$2:$C$45,3,FALSE)</f>
        <v>Non-metropolitan</v>
      </c>
      <c r="I2067" s="224">
        <v>0</v>
      </c>
    </row>
    <row r="2068" spans="1:9" ht="15.5" x14ac:dyDescent="0.35">
      <c r="A2068" s="224" t="s">
        <v>56</v>
      </c>
      <c r="B2068" s="224" t="s">
        <v>40</v>
      </c>
      <c r="C2068" s="224" t="s">
        <v>89</v>
      </c>
      <c r="D2068" s="224" t="s">
        <v>9</v>
      </c>
      <c r="E2068" s="224" t="s">
        <v>256</v>
      </c>
      <c r="F2068" s="224" t="s">
        <v>250</v>
      </c>
      <c r="G2068" s="223" t="str">
        <f>VLOOKUP($B2068,'FRS geographical categories'!$A$2:$C$45,2,FALSE)</f>
        <v>Predominantly Rural</v>
      </c>
      <c r="H2068" s="223" t="str">
        <f>VLOOKUP($B2068,'FRS geographical categories'!$A$2:$C$45,3,FALSE)</f>
        <v>Non-metropolitan</v>
      </c>
      <c r="I2068" s="224">
        <v>0</v>
      </c>
    </row>
    <row r="2069" spans="1:9" ht="15.5" x14ac:dyDescent="0.35">
      <c r="A2069" s="224" t="s">
        <v>56</v>
      </c>
      <c r="B2069" s="224" t="s">
        <v>40</v>
      </c>
      <c r="C2069" s="224" t="s">
        <v>89</v>
      </c>
      <c r="D2069" s="224" t="s">
        <v>9</v>
      </c>
      <c r="E2069" s="224" t="s">
        <v>256</v>
      </c>
      <c r="F2069" s="224" t="s">
        <v>10</v>
      </c>
      <c r="G2069" s="223" t="str">
        <f>VLOOKUP($B2069,'FRS geographical categories'!$A$2:$C$45,2,FALSE)</f>
        <v>Predominantly Rural</v>
      </c>
      <c r="H2069" s="223" t="str">
        <f>VLOOKUP($B2069,'FRS geographical categories'!$A$2:$C$45,3,FALSE)</f>
        <v>Non-metropolitan</v>
      </c>
      <c r="I2069" s="224">
        <v>0</v>
      </c>
    </row>
    <row r="2070" spans="1:9" ht="15.5" x14ac:dyDescent="0.35">
      <c r="A2070" s="224" t="s">
        <v>56</v>
      </c>
      <c r="B2070" s="224" t="s">
        <v>40</v>
      </c>
      <c r="C2070" s="224" t="s">
        <v>89</v>
      </c>
      <c r="D2070" s="224" t="s">
        <v>55</v>
      </c>
      <c r="E2070" s="224" t="s">
        <v>256</v>
      </c>
      <c r="F2070" s="224" t="s">
        <v>248</v>
      </c>
      <c r="G2070" s="223" t="str">
        <f>VLOOKUP($B2070,'FRS geographical categories'!$A$2:$C$45,2,FALSE)</f>
        <v>Predominantly Rural</v>
      </c>
      <c r="H2070" s="223" t="str">
        <f>VLOOKUP($B2070,'FRS geographical categories'!$A$2:$C$45,3,FALSE)</f>
        <v>Non-metropolitan</v>
      </c>
      <c r="I2070" s="224">
        <v>0</v>
      </c>
    </row>
    <row r="2071" spans="1:9" ht="15.5" x14ac:dyDescent="0.35">
      <c r="A2071" s="224" t="s">
        <v>56</v>
      </c>
      <c r="B2071" s="224" t="s">
        <v>40</v>
      </c>
      <c r="C2071" s="224" t="s">
        <v>89</v>
      </c>
      <c r="D2071" s="224" t="s">
        <v>55</v>
      </c>
      <c r="E2071" s="224" t="s">
        <v>256</v>
      </c>
      <c r="F2071" s="224" t="s">
        <v>249</v>
      </c>
      <c r="G2071" s="223" t="str">
        <f>VLOOKUP($B2071,'FRS geographical categories'!$A$2:$C$45,2,FALSE)</f>
        <v>Predominantly Rural</v>
      </c>
      <c r="H2071" s="223" t="str">
        <f>VLOOKUP($B2071,'FRS geographical categories'!$A$2:$C$45,3,FALSE)</f>
        <v>Non-metropolitan</v>
      </c>
      <c r="I2071" s="224">
        <v>0</v>
      </c>
    </row>
    <row r="2072" spans="1:9" ht="15.5" x14ac:dyDescent="0.35">
      <c r="A2072" s="224" t="s">
        <v>56</v>
      </c>
      <c r="B2072" s="224" t="s">
        <v>40</v>
      </c>
      <c r="C2072" s="224" t="s">
        <v>89</v>
      </c>
      <c r="D2072" s="224" t="s">
        <v>55</v>
      </c>
      <c r="E2072" s="224" t="s">
        <v>256</v>
      </c>
      <c r="F2072" s="224" t="s">
        <v>250</v>
      </c>
      <c r="G2072" s="223" t="str">
        <f>VLOOKUP($B2072,'FRS geographical categories'!$A$2:$C$45,2,FALSE)</f>
        <v>Predominantly Rural</v>
      </c>
      <c r="H2072" s="223" t="str">
        <f>VLOOKUP($B2072,'FRS geographical categories'!$A$2:$C$45,3,FALSE)</f>
        <v>Non-metropolitan</v>
      </c>
      <c r="I2072" s="224">
        <v>0</v>
      </c>
    </row>
    <row r="2073" spans="1:9" ht="15.5" x14ac:dyDescent="0.35">
      <c r="A2073" s="224" t="s">
        <v>56</v>
      </c>
      <c r="B2073" s="224" t="s">
        <v>40</v>
      </c>
      <c r="C2073" s="224" t="s">
        <v>89</v>
      </c>
      <c r="D2073" s="224" t="s">
        <v>55</v>
      </c>
      <c r="E2073" s="224" t="s">
        <v>256</v>
      </c>
      <c r="F2073" s="224" t="s">
        <v>10</v>
      </c>
      <c r="G2073" s="223" t="str">
        <f>VLOOKUP($B2073,'FRS geographical categories'!$A$2:$C$45,2,FALSE)</f>
        <v>Predominantly Rural</v>
      </c>
      <c r="H2073" s="223" t="str">
        <f>VLOOKUP($B2073,'FRS geographical categories'!$A$2:$C$45,3,FALSE)</f>
        <v>Non-metropolitan</v>
      </c>
      <c r="I2073" s="224">
        <v>0</v>
      </c>
    </row>
    <row r="2074" spans="1:9" ht="15.5" x14ac:dyDescent="0.35">
      <c r="A2074" s="224" t="s">
        <v>56</v>
      </c>
      <c r="B2074" s="224" t="s">
        <v>41</v>
      </c>
      <c r="C2074" s="224" t="s">
        <v>86</v>
      </c>
      <c r="D2074" s="224" t="s">
        <v>9</v>
      </c>
      <c r="E2074" s="224" t="s">
        <v>256</v>
      </c>
      <c r="F2074" s="224" t="s">
        <v>248</v>
      </c>
      <c r="G2074" s="223" t="str">
        <f>VLOOKUP($B2074,'FRS geographical categories'!$A$2:$C$45,2,FALSE)</f>
        <v>Predominantly Urban</v>
      </c>
      <c r="H2074" s="223" t="str">
        <f>VLOOKUP($B2074,'FRS geographical categories'!$A$2:$C$45,3,FALSE)</f>
        <v>Non-metropolitan</v>
      </c>
      <c r="I2074" s="224">
        <v>1025</v>
      </c>
    </row>
    <row r="2075" spans="1:9" ht="15.5" x14ac:dyDescent="0.35">
      <c r="A2075" s="224" t="s">
        <v>56</v>
      </c>
      <c r="B2075" s="224" t="s">
        <v>41</v>
      </c>
      <c r="C2075" s="224" t="s">
        <v>86</v>
      </c>
      <c r="D2075" s="224" t="s">
        <v>9</v>
      </c>
      <c r="E2075" s="224" t="s">
        <v>256</v>
      </c>
      <c r="F2075" s="224" t="s">
        <v>249</v>
      </c>
      <c r="G2075" s="223" t="str">
        <f>VLOOKUP($B2075,'FRS geographical categories'!$A$2:$C$45,2,FALSE)</f>
        <v>Predominantly Urban</v>
      </c>
      <c r="H2075" s="223" t="str">
        <f>VLOOKUP($B2075,'FRS geographical categories'!$A$2:$C$45,3,FALSE)</f>
        <v>Non-metropolitan</v>
      </c>
      <c r="I2075" s="224">
        <v>2577</v>
      </c>
    </row>
    <row r="2076" spans="1:9" ht="15.5" x14ac:dyDescent="0.35">
      <c r="A2076" s="224" t="s">
        <v>56</v>
      </c>
      <c r="B2076" s="224" t="s">
        <v>41</v>
      </c>
      <c r="C2076" s="224" t="s">
        <v>86</v>
      </c>
      <c r="D2076" s="224" t="s">
        <v>9</v>
      </c>
      <c r="E2076" s="224" t="s">
        <v>256</v>
      </c>
      <c r="F2076" s="224" t="s">
        <v>250</v>
      </c>
      <c r="G2076" s="223" t="str">
        <f>VLOOKUP($B2076,'FRS geographical categories'!$A$2:$C$45,2,FALSE)</f>
        <v>Predominantly Urban</v>
      </c>
      <c r="H2076" s="223" t="str">
        <f>VLOOKUP($B2076,'FRS geographical categories'!$A$2:$C$45,3,FALSE)</f>
        <v>Non-metropolitan</v>
      </c>
      <c r="I2076" s="224">
        <v>6950</v>
      </c>
    </row>
    <row r="2077" spans="1:9" ht="15.5" x14ac:dyDescent="0.35">
      <c r="A2077" s="224" t="s">
        <v>56</v>
      </c>
      <c r="B2077" s="224" t="s">
        <v>41</v>
      </c>
      <c r="C2077" s="224" t="s">
        <v>86</v>
      </c>
      <c r="D2077" s="224" t="s">
        <v>9</v>
      </c>
      <c r="E2077" s="224" t="s">
        <v>256</v>
      </c>
      <c r="F2077" s="224" t="s">
        <v>111</v>
      </c>
      <c r="G2077" s="223" t="str">
        <f>VLOOKUP($B2077,'FRS geographical categories'!$A$2:$C$45,2,FALSE)</f>
        <v>Predominantly Urban</v>
      </c>
      <c r="H2077" s="223" t="str">
        <f>VLOOKUP($B2077,'FRS geographical categories'!$A$2:$C$45,3,FALSE)</f>
        <v>Non-metropolitan</v>
      </c>
      <c r="I2077" s="224">
        <v>12848</v>
      </c>
    </row>
    <row r="2078" spans="1:9" ht="15.5" x14ac:dyDescent="0.35">
      <c r="A2078" s="224" t="s">
        <v>56</v>
      </c>
      <c r="B2078" s="224" t="s">
        <v>41</v>
      </c>
      <c r="C2078" s="224" t="s">
        <v>86</v>
      </c>
      <c r="D2078" s="224" t="s">
        <v>9</v>
      </c>
      <c r="E2078" s="224" t="s">
        <v>256</v>
      </c>
      <c r="F2078" s="224" t="s">
        <v>10</v>
      </c>
      <c r="G2078" s="223" t="str">
        <f>VLOOKUP($B2078,'FRS geographical categories'!$A$2:$C$45,2,FALSE)</f>
        <v>Predominantly Urban</v>
      </c>
      <c r="H2078" s="223" t="str">
        <f>VLOOKUP($B2078,'FRS geographical categories'!$A$2:$C$45,3,FALSE)</f>
        <v>Non-metropolitan</v>
      </c>
      <c r="I2078" s="224">
        <v>12848</v>
      </c>
    </row>
    <row r="2079" spans="1:9" ht="15.5" x14ac:dyDescent="0.35">
      <c r="A2079" s="224" t="s">
        <v>56</v>
      </c>
      <c r="B2079" s="224" t="s">
        <v>41</v>
      </c>
      <c r="C2079" s="224" t="s">
        <v>86</v>
      </c>
      <c r="D2079" s="224" t="s">
        <v>55</v>
      </c>
      <c r="E2079" s="224" t="s">
        <v>256</v>
      </c>
      <c r="F2079" s="224" t="s">
        <v>248</v>
      </c>
      <c r="G2079" s="223" t="str">
        <f>VLOOKUP($B2079,'FRS geographical categories'!$A$2:$C$45,2,FALSE)</f>
        <v>Predominantly Urban</v>
      </c>
      <c r="H2079" s="223" t="str">
        <f>VLOOKUP($B2079,'FRS geographical categories'!$A$2:$C$45,3,FALSE)</f>
        <v>Non-metropolitan</v>
      </c>
      <c r="I2079" s="224">
        <v>22</v>
      </c>
    </row>
    <row r="2080" spans="1:9" ht="15.5" x14ac:dyDescent="0.35">
      <c r="A2080" s="224" t="s">
        <v>56</v>
      </c>
      <c r="B2080" s="224" t="s">
        <v>41</v>
      </c>
      <c r="C2080" s="224" t="s">
        <v>86</v>
      </c>
      <c r="D2080" s="224" t="s">
        <v>55</v>
      </c>
      <c r="E2080" s="224" t="s">
        <v>256</v>
      </c>
      <c r="F2080" s="224" t="s">
        <v>249</v>
      </c>
      <c r="G2080" s="223" t="str">
        <f>VLOOKUP($B2080,'FRS geographical categories'!$A$2:$C$45,2,FALSE)</f>
        <v>Predominantly Urban</v>
      </c>
      <c r="H2080" s="223" t="str">
        <f>VLOOKUP($B2080,'FRS geographical categories'!$A$2:$C$45,3,FALSE)</f>
        <v>Non-metropolitan</v>
      </c>
      <c r="I2080" s="224">
        <v>39</v>
      </c>
    </row>
    <row r="2081" spans="1:9" ht="15.5" x14ac:dyDescent="0.35">
      <c r="A2081" s="224" t="s">
        <v>56</v>
      </c>
      <c r="B2081" s="224" t="s">
        <v>41</v>
      </c>
      <c r="C2081" s="224" t="s">
        <v>86</v>
      </c>
      <c r="D2081" s="224" t="s">
        <v>55</v>
      </c>
      <c r="E2081" s="224" t="s">
        <v>256</v>
      </c>
      <c r="F2081" s="224" t="s">
        <v>250</v>
      </c>
      <c r="G2081" s="223" t="str">
        <f>VLOOKUP($B2081,'FRS geographical categories'!$A$2:$C$45,2,FALSE)</f>
        <v>Predominantly Urban</v>
      </c>
      <c r="H2081" s="223" t="str">
        <f>VLOOKUP($B2081,'FRS geographical categories'!$A$2:$C$45,3,FALSE)</f>
        <v>Non-metropolitan</v>
      </c>
      <c r="I2081" s="224">
        <v>118</v>
      </c>
    </row>
    <row r="2082" spans="1:9" ht="15.5" x14ac:dyDescent="0.35">
      <c r="A2082" s="224" t="s">
        <v>56</v>
      </c>
      <c r="B2082" s="224" t="s">
        <v>41</v>
      </c>
      <c r="C2082" s="224" t="s">
        <v>86</v>
      </c>
      <c r="D2082" s="224" t="s">
        <v>55</v>
      </c>
      <c r="E2082" s="224" t="s">
        <v>256</v>
      </c>
      <c r="F2082" s="224" t="s">
        <v>111</v>
      </c>
      <c r="G2082" s="223" t="str">
        <f>VLOOKUP($B2082,'FRS geographical categories'!$A$2:$C$45,2,FALSE)</f>
        <v>Predominantly Urban</v>
      </c>
      <c r="H2082" s="223" t="str">
        <f>VLOOKUP($B2082,'FRS geographical categories'!$A$2:$C$45,3,FALSE)</f>
        <v>Non-metropolitan</v>
      </c>
      <c r="I2082" s="224">
        <v>170</v>
      </c>
    </row>
    <row r="2083" spans="1:9" ht="15.5" x14ac:dyDescent="0.35">
      <c r="A2083" s="224" t="s">
        <v>56</v>
      </c>
      <c r="B2083" s="224" t="s">
        <v>41</v>
      </c>
      <c r="C2083" s="224" t="s">
        <v>86</v>
      </c>
      <c r="D2083" s="224" t="s">
        <v>55</v>
      </c>
      <c r="E2083" s="224" t="s">
        <v>256</v>
      </c>
      <c r="F2083" s="224" t="s">
        <v>10</v>
      </c>
      <c r="G2083" s="223" t="str">
        <f>VLOOKUP($B2083,'FRS geographical categories'!$A$2:$C$45,2,FALSE)</f>
        <v>Predominantly Urban</v>
      </c>
      <c r="H2083" s="223" t="str">
        <f>VLOOKUP($B2083,'FRS geographical categories'!$A$2:$C$45,3,FALSE)</f>
        <v>Non-metropolitan</v>
      </c>
      <c r="I2083" s="224">
        <v>170</v>
      </c>
    </row>
    <row r="2084" spans="1:9" ht="15.5" x14ac:dyDescent="0.35">
      <c r="A2084" s="224" t="s">
        <v>56</v>
      </c>
      <c r="B2084" s="224" t="s">
        <v>41</v>
      </c>
      <c r="C2084" s="224" t="s">
        <v>89</v>
      </c>
      <c r="D2084" s="224" t="s">
        <v>9</v>
      </c>
      <c r="E2084" s="224" t="s">
        <v>256</v>
      </c>
      <c r="F2084" s="224" t="s">
        <v>248</v>
      </c>
      <c r="G2084" s="223" t="str">
        <f>VLOOKUP($B2084,'FRS geographical categories'!$A$2:$C$45,2,FALSE)</f>
        <v>Predominantly Urban</v>
      </c>
      <c r="H2084" s="223" t="str">
        <f>VLOOKUP($B2084,'FRS geographical categories'!$A$2:$C$45,3,FALSE)</f>
        <v>Non-metropolitan</v>
      </c>
      <c r="I2084" s="224">
        <v>0</v>
      </c>
    </row>
    <row r="2085" spans="1:9" ht="15.5" x14ac:dyDescent="0.35">
      <c r="A2085" s="224" t="s">
        <v>56</v>
      </c>
      <c r="B2085" s="224" t="s">
        <v>41</v>
      </c>
      <c r="C2085" s="224" t="s">
        <v>89</v>
      </c>
      <c r="D2085" s="224" t="s">
        <v>9</v>
      </c>
      <c r="E2085" s="224" t="s">
        <v>256</v>
      </c>
      <c r="F2085" s="224" t="s">
        <v>249</v>
      </c>
      <c r="G2085" s="223" t="str">
        <f>VLOOKUP($B2085,'FRS geographical categories'!$A$2:$C$45,2,FALSE)</f>
        <v>Predominantly Urban</v>
      </c>
      <c r="H2085" s="223" t="str">
        <f>VLOOKUP($B2085,'FRS geographical categories'!$A$2:$C$45,3,FALSE)</f>
        <v>Non-metropolitan</v>
      </c>
      <c r="I2085" s="224">
        <v>0</v>
      </c>
    </row>
    <row r="2086" spans="1:9" ht="15.5" x14ac:dyDescent="0.35">
      <c r="A2086" s="224" t="s">
        <v>56</v>
      </c>
      <c r="B2086" s="224" t="s">
        <v>41</v>
      </c>
      <c r="C2086" s="224" t="s">
        <v>89</v>
      </c>
      <c r="D2086" s="224" t="s">
        <v>9</v>
      </c>
      <c r="E2086" s="224" t="s">
        <v>256</v>
      </c>
      <c r="F2086" s="224" t="s">
        <v>250</v>
      </c>
      <c r="G2086" s="223" t="str">
        <f>VLOOKUP($B2086,'FRS geographical categories'!$A$2:$C$45,2,FALSE)</f>
        <v>Predominantly Urban</v>
      </c>
      <c r="H2086" s="223" t="str">
        <f>VLOOKUP($B2086,'FRS geographical categories'!$A$2:$C$45,3,FALSE)</f>
        <v>Non-metropolitan</v>
      </c>
      <c r="I2086" s="224">
        <v>0</v>
      </c>
    </row>
    <row r="2087" spans="1:9" ht="15.5" x14ac:dyDescent="0.35">
      <c r="A2087" s="224" t="s">
        <v>56</v>
      </c>
      <c r="B2087" s="224" t="s">
        <v>41</v>
      </c>
      <c r="C2087" s="224" t="s">
        <v>89</v>
      </c>
      <c r="D2087" s="224" t="s">
        <v>9</v>
      </c>
      <c r="E2087" s="224" t="s">
        <v>256</v>
      </c>
      <c r="F2087" s="224" t="s">
        <v>10</v>
      </c>
      <c r="G2087" s="223" t="str">
        <f>VLOOKUP($B2087,'FRS geographical categories'!$A$2:$C$45,2,FALSE)</f>
        <v>Predominantly Urban</v>
      </c>
      <c r="H2087" s="223" t="str">
        <f>VLOOKUP($B2087,'FRS geographical categories'!$A$2:$C$45,3,FALSE)</f>
        <v>Non-metropolitan</v>
      </c>
      <c r="I2087" s="224">
        <v>0</v>
      </c>
    </row>
    <row r="2088" spans="1:9" ht="15.5" x14ac:dyDescent="0.35">
      <c r="A2088" s="224" t="s">
        <v>56</v>
      </c>
      <c r="B2088" s="224" t="s">
        <v>41</v>
      </c>
      <c r="C2088" s="224" t="s">
        <v>89</v>
      </c>
      <c r="D2088" s="224" t="s">
        <v>55</v>
      </c>
      <c r="E2088" s="224" t="s">
        <v>256</v>
      </c>
      <c r="F2088" s="224" t="s">
        <v>248</v>
      </c>
      <c r="G2088" s="223" t="str">
        <f>VLOOKUP($B2088,'FRS geographical categories'!$A$2:$C$45,2,FALSE)</f>
        <v>Predominantly Urban</v>
      </c>
      <c r="H2088" s="223" t="str">
        <f>VLOOKUP($B2088,'FRS geographical categories'!$A$2:$C$45,3,FALSE)</f>
        <v>Non-metropolitan</v>
      </c>
      <c r="I2088" s="224">
        <v>0</v>
      </c>
    </row>
    <row r="2089" spans="1:9" ht="15.5" x14ac:dyDescent="0.35">
      <c r="A2089" s="224" t="s">
        <v>56</v>
      </c>
      <c r="B2089" s="224" t="s">
        <v>41</v>
      </c>
      <c r="C2089" s="224" t="s">
        <v>89</v>
      </c>
      <c r="D2089" s="224" t="s">
        <v>55</v>
      </c>
      <c r="E2089" s="224" t="s">
        <v>256</v>
      </c>
      <c r="F2089" s="224" t="s">
        <v>249</v>
      </c>
      <c r="G2089" s="223" t="str">
        <f>VLOOKUP($B2089,'FRS geographical categories'!$A$2:$C$45,2,FALSE)</f>
        <v>Predominantly Urban</v>
      </c>
      <c r="H2089" s="223" t="str">
        <f>VLOOKUP($B2089,'FRS geographical categories'!$A$2:$C$45,3,FALSE)</f>
        <v>Non-metropolitan</v>
      </c>
      <c r="I2089" s="224">
        <v>0</v>
      </c>
    </row>
    <row r="2090" spans="1:9" ht="15.5" x14ac:dyDescent="0.35">
      <c r="A2090" s="224" t="s">
        <v>56</v>
      </c>
      <c r="B2090" s="224" t="s">
        <v>41</v>
      </c>
      <c r="C2090" s="224" t="s">
        <v>89</v>
      </c>
      <c r="D2090" s="224" t="s">
        <v>55</v>
      </c>
      <c r="E2090" s="224" t="s">
        <v>256</v>
      </c>
      <c r="F2090" s="224" t="s">
        <v>250</v>
      </c>
      <c r="G2090" s="223" t="str">
        <f>VLOOKUP($B2090,'FRS geographical categories'!$A$2:$C$45,2,FALSE)</f>
        <v>Predominantly Urban</v>
      </c>
      <c r="H2090" s="223" t="str">
        <f>VLOOKUP($B2090,'FRS geographical categories'!$A$2:$C$45,3,FALSE)</f>
        <v>Non-metropolitan</v>
      </c>
      <c r="I2090" s="224">
        <v>0</v>
      </c>
    </row>
    <row r="2091" spans="1:9" ht="15.5" x14ac:dyDescent="0.35">
      <c r="A2091" s="224" t="s">
        <v>56</v>
      </c>
      <c r="B2091" s="224" t="s">
        <v>41</v>
      </c>
      <c r="C2091" s="224" t="s">
        <v>89</v>
      </c>
      <c r="D2091" s="224" t="s">
        <v>55</v>
      </c>
      <c r="E2091" s="224" t="s">
        <v>256</v>
      </c>
      <c r="F2091" s="224" t="s">
        <v>10</v>
      </c>
      <c r="G2091" s="223" t="str">
        <f>VLOOKUP($B2091,'FRS geographical categories'!$A$2:$C$45,2,FALSE)</f>
        <v>Predominantly Urban</v>
      </c>
      <c r="H2091" s="223" t="str">
        <f>VLOOKUP($B2091,'FRS geographical categories'!$A$2:$C$45,3,FALSE)</f>
        <v>Non-metropolitan</v>
      </c>
      <c r="I2091" s="224">
        <v>0</v>
      </c>
    </row>
    <row r="2092" spans="1:9" ht="15.5" x14ac:dyDescent="0.35">
      <c r="A2092" s="224" t="s">
        <v>56</v>
      </c>
      <c r="B2092" s="224" t="s">
        <v>42</v>
      </c>
      <c r="C2092" s="224" t="s">
        <v>86</v>
      </c>
      <c r="D2092" s="224" t="s">
        <v>9</v>
      </c>
      <c r="E2092" s="224" t="s">
        <v>256</v>
      </c>
      <c r="F2092" s="224" t="s">
        <v>248</v>
      </c>
      <c r="G2092" s="223" t="str">
        <f>VLOOKUP($B2092,'FRS geographical categories'!$A$2:$C$45,2,FALSE)</f>
        <v>Predominantly Rural</v>
      </c>
      <c r="H2092" s="223" t="str">
        <f>VLOOKUP($B2092,'FRS geographical categories'!$A$2:$C$45,3,FALSE)</f>
        <v>Non-metropolitan</v>
      </c>
      <c r="I2092" s="224">
        <v>297</v>
      </c>
    </row>
    <row r="2093" spans="1:9" ht="15.5" x14ac:dyDescent="0.35">
      <c r="A2093" s="224" t="s">
        <v>56</v>
      </c>
      <c r="B2093" s="224" t="s">
        <v>42</v>
      </c>
      <c r="C2093" s="224" t="s">
        <v>86</v>
      </c>
      <c r="D2093" s="224" t="s">
        <v>9</v>
      </c>
      <c r="E2093" s="224" t="s">
        <v>256</v>
      </c>
      <c r="F2093" s="224" t="s">
        <v>249</v>
      </c>
      <c r="G2093" s="223" t="str">
        <f>VLOOKUP($B2093,'FRS geographical categories'!$A$2:$C$45,2,FALSE)</f>
        <v>Predominantly Rural</v>
      </c>
      <c r="H2093" s="223" t="str">
        <f>VLOOKUP($B2093,'FRS geographical categories'!$A$2:$C$45,3,FALSE)</f>
        <v>Non-metropolitan</v>
      </c>
      <c r="I2093" s="224">
        <v>515</v>
      </c>
    </row>
    <row r="2094" spans="1:9" ht="15.5" x14ac:dyDescent="0.35">
      <c r="A2094" s="224" t="s">
        <v>56</v>
      </c>
      <c r="B2094" s="224" t="s">
        <v>42</v>
      </c>
      <c r="C2094" s="224" t="s">
        <v>86</v>
      </c>
      <c r="D2094" s="224" t="s">
        <v>9</v>
      </c>
      <c r="E2094" s="224" t="s">
        <v>256</v>
      </c>
      <c r="F2094" s="224" t="s">
        <v>250</v>
      </c>
      <c r="G2094" s="223" t="str">
        <f>VLOOKUP($B2094,'FRS geographical categories'!$A$2:$C$45,2,FALSE)</f>
        <v>Predominantly Rural</v>
      </c>
      <c r="H2094" s="223" t="str">
        <f>VLOOKUP($B2094,'FRS geographical categories'!$A$2:$C$45,3,FALSE)</f>
        <v>Non-metropolitan</v>
      </c>
      <c r="I2094" s="224">
        <v>1096</v>
      </c>
    </row>
    <row r="2095" spans="1:9" ht="15.5" x14ac:dyDescent="0.35">
      <c r="A2095" s="224" t="s">
        <v>56</v>
      </c>
      <c r="B2095" s="224" t="s">
        <v>42</v>
      </c>
      <c r="C2095" s="224" t="s">
        <v>86</v>
      </c>
      <c r="D2095" s="224" t="s">
        <v>9</v>
      </c>
      <c r="E2095" s="224" t="s">
        <v>256</v>
      </c>
      <c r="F2095" s="224" t="s">
        <v>111</v>
      </c>
      <c r="G2095" s="223" t="str">
        <f>VLOOKUP($B2095,'FRS geographical categories'!$A$2:$C$45,2,FALSE)</f>
        <v>Predominantly Rural</v>
      </c>
      <c r="H2095" s="223" t="str">
        <f>VLOOKUP($B2095,'FRS geographical categories'!$A$2:$C$45,3,FALSE)</f>
        <v>Non-metropolitan</v>
      </c>
      <c r="I2095" s="224">
        <v>2037</v>
      </c>
    </row>
    <row r="2096" spans="1:9" ht="15.5" x14ac:dyDescent="0.35">
      <c r="A2096" s="224" t="s">
        <v>56</v>
      </c>
      <c r="B2096" s="224" t="s">
        <v>42</v>
      </c>
      <c r="C2096" s="224" t="s">
        <v>86</v>
      </c>
      <c r="D2096" s="224" t="s">
        <v>9</v>
      </c>
      <c r="E2096" s="224" t="s">
        <v>256</v>
      </c>
      <c r="F2096" s="224" t="s">
        <v>10</v>
      </c>
      <c r="G2096" s="223" t="str">
        <f>VLOOKUP($B2096,'FRS geographical categories'!$A$2:$C$45,2,FALSE)</f>
        <v>Predominantly Rural</v>
      </c>
      <c r="H2096" s="223" t="str">
        <f>VLOOKUP($B2096,'FRS geographical categories'!$A$2:$C$45,3,FALSE)</f>
        <v>Non-metropolitan</v>
      </c>
      <c r="I2096" s="224">
        <v>2966</v>
      </c>
    </row>
    <row r="2097" spans="1:9" ht="15.5" x14ac:dyDescent="0.35">
      <c r="A2097" s="224" t="s">
        <v>56</v>
      </c>
      <c r="B2097" s="224" t="s">
        <v>42</v>
      </c>
      <c r="C2097" s="224" t="s">
        <v>86</v>
      </c>
      <c r="D2097" s="224" t="s">
        <v>55</v>
      </c>
      <c r="E2097" s="224" t="s">
        <v>256</v>
      </c>
      <c r="F2097" s="224" t="s">
        <v>248</v>
      </c>
      <c r="G2097" s="223" t="str">
        <f>VLOOKUP($B2097,'FRS geographical categories'!$A$2:$C$45,2,FALSE)</f>
        <v>Predominantly Rural</v>
      </c>
      <c r="H2097" s="223" t="str">
        <f>VLOOKUP($B2097,'FRS geographical categories'!$A$2:$C$45,3,FALSE)</f>
        <v>Non-metropolitan</v>
      </c>
      <c r="I2097" s="224">
        <v>2</v>
      </c>
    </row>
    <row r="2098" spans="1:9" ht="15.5" x14ac:dyDescent="0.35">
      <c r="A2098" s="224" t="s">
        <v>56</v>
      </c>
      <c r="B2098" s="224" t="s">
        <v>42</v>
      </c>
      <c r="C2098" s="224" t="s">
        <v>86</v>
      </c>
      <c r="D2098" s="224" t="s">
        <v>55</v>
      </c>
      <c r="E2098" s="224" t="s">
        <v>256</v>
      </c>
      <c r="F2098" s="224" t="s">
        <v>249</v>
      </c>
      <c r="G2098" s="223" t="str">
        <f>VLOOKUP($B2098,'FRS geographical categories'!$A$2:$C$45,2,FALSE)</f>
        <v>Predominantly Rural</v>
      </c>
      <c r="H2098" s="223" t="str">
        <f>VLOOKUP($B2098,'FRS geographical categories'!$A$2:$C$45,3,FALSE)</f>
        <v>Non-metropolitan</v>
      </c>
      <c r="I2098" s="224">
        <v>30</v>
      </c>
    </row>
    <row r="2099" spans="1:9" ht="15.5" x14ac:dyDescent="0.35">
      <c r="A2099" s="224" t="s">
        <v>56</v>
      </c>
      <c r="B2099" s="224" t="s">
        <v>42</v>
      </c>
      <c r="C2099" s="224" t="s">
        <v>86</v>
      </c>
      <c r="D2099" s="224" t="s">
        <v>55</v>
      </c>
      <c r="E2099" s="224" t="s">
        <v>256</v>
      </c>
      <c r="F2099" s="224" t="s">
        <v>250</v>
      </c>
      <c r="G2099" s="223" t="str">
        <f>VLOOKUP($B2099,'FRS geographical categories'!$A$2:$C$45,2,FALSE)</f>
        <v>Predominantly Rural</v>
      </c>
      <c r="H2099" s="223" t="str">
        <f>VLOOKUP($B2099,'FRS geographical categories'!$A$2:$C$45,3,FALSE)</f>
        <v>Non-metropolitan</v>
      </c>
      <c r="I2099" s="224">
        <v>64</v>
      </c>
    </row>
    <row r="2100" spans="1:9" ht="15.5" x14ac:dyDescent="0.35">
      <c r="A2100" s="224" t="s">
        <v>56</v>
      </c>
      <c r="B2100" s="224" t="s">
        <v>42</v>
      </c>
      <c r="C2100" s="224" t="s">
        <v>86</v>
      </c>
      <c r="D2100" s="224" t="s">
        <v>55</v>
      </c>
      <c r="E2100" s="224" t="s">
        <v>256</v>
      </c>
      <c r="F2100" s="224" t="s">
        <v>111</v>
      </c>
      <c r="G2100" s="223" t="str">
        <f>VLOOKUP($B2100,'FRS geographical categories'!$A$2:$C$45,2,FALSE)</f>
        <v>Predominantly Rural</v>
      </c>
      <c r="H2100" s="223" t="str">
        <f>VLOOKUP($B2100,'FRS geographical categories'!$A$2:$C$45,3,FALSE)</f>
        <v>Non-metropolitan</v>
      </c>
      <c r="I2100" s="224">
        <v>31</v>
      </c>
    </row>
    <row r="2101" spans="1:9" ht="15.5" x14ac:dyDescent="0.35">
      <c r="A2101" s="224" t="s">
        <v>56</v>
      </c>
      <c r="B2101" s="224" t="s">
        <v>42</v>
      </c>
      <c r="C2101" s="224" t="s">
        <v>86</v>
      </c>
      <c r="D2101" s="224" t="s">
        <v>55</v>
      </c>
      <c r="E2101" s="224" t="s">
        <v>256</v>
      </c>
      <c r="F2101" s="224" t="s">
        <v>10</v>
      </c>
      <c r="G2101" s="223" t="str">
        <f>VLOOKUP($B2101,'FRS geographical categories'!$A$2:$C$45,2,FALSE)</f>
        <v>Predominantly Rural</v>
      </c>
      <c r="H2101" s="223" t="str">
        <f>VLOOKUP($B2101,'FRS geographical categories'!$A$2:$C$45,3,FALSE)</f>
        <v>Non-metropolitan</v>
      </c>
      <c r="I2101" s="224">
        <v>138</v>
      </c>
    </row>
    <row r="2102" spans="1:9" ht="15.5" x14ac:dyDescent="0.35">
      <c r="A2102" s="224" t="s">
        <v>56</v>
      </c>
      <c r="B2102" s="224" t="s">
        <v>42</v>
      </c>
      <c r="C2102" s="224" t="s">
        <v>89</v>
      </c>
      <c r="D2102" s="224" t="s">
        <v>9</v>
      </c>
      <c r="E2102" s="224" t="s">
        <v>256</v>
      </c>
      <c r="F2102" s="224" t="s">
        <v>248</v>
      </c>
      <c r="G2102" s="223" t="str">
        <f>VLOOKUP($B2102,'FRS geographical categories'!$A$2:$C$45,2,FALSE)</f>
        <v>Predominantly Rural</v>
      </c>
      <c r="H2102" s="223" t="str">
        <f>VLOOKUP($B2102,'FRS geographical categories'!$A$2:$C$45,3,FALSE)</f>
        <v>Non-metropolitan</v>
      </c>
      <c r="I2102" s="224">
        <v>0</v>
      </c>
    </row>
    <row r="2103" spans="1:9" ht="15.5" x14ac:dyDescent="0.35">
      <c r="A2103" s="224" t="s">
        <v>56</v>
      </c>
      <c r="B2103" s="224" t="s">
        <v>42</v>
      </c>
      <c r="C2103" s="224" t="s">
        <v>89</v>
      </c>
      <c r="D2103" s="224" t="s">
        <v>9</v>
      </c>
      <c r="E2103" s="224" t="s">
        <v>256</v>
      </c>
      <c r="F2103" s="224" t="s">
        <v>249</v>
      </c>
      <c r="G2103" s="223" t="str">
        <f>VLOOKUP($B2103,'FRS geographical categories'!$A$2:$C$45,2,FALSE)</f>
        <v>Predominantly Rural</v>
      </c>
      <c r="H2103" s="223" t="str">
        <f>VLOOKUP($B2103,'FRS geographical categories'!$A$2:$C$45,3,FALSE)</f>
        <v>Non-metropolitan</v>
      </c>
      <c r="I2103" s="224">
        <v>0</v>
      </c>
    </row>
    <row r="2104" spans="1:9" ht="15.5" x14ac:dyDescent="0.35">
      <c r="A2104" s="224" t="s">
        <v>56</v>
      </c>
      <c r="B2104" s="224" t="s">
        <v>42</v>
      </c>
      <c r="C2104" s="224" t="s">
        <v>89</v>
      </c>
      <c r="D2104" s="224" t="s">
        <v>9</v>
      </c>
      <c r="E2104" s="224" t="s">
        <v>256</v>
      </c>
      <c r="F2104" s="224" t="s">
        <v>250</v>
      </c>
      <c r="G2104" s="223" t="str">
        <f>VLOOKUP($B2104,'FRS geographical categories'!$A$2:$C$45,2,FALSE)</f>
        <v>Predominantly Rural</v>
      </c>
      <c r="H2104" s="223" t="str">
        <f>VLOOKUP($B2104,'FRS geographical categories'!$A$2:$C$45,3,FALSE)</f>
        <v>Non-metropolitan</v>
      </c>
      <c r="I2104" s="224">
        <v>0</v>
      </c>
    </row>
    <row r="2105" spans="1:9" ht="15.5" x14ac:dyDescent="0.35">
      <c r="A2105" s="224" t="s">
        <v>56</v>
      </c>
      <c r="B2105" s="224" t="s">
        <v>42</v>
      </c>
      <c r="C2105" s="224" t="s">
        <v>89</v>
      </c>
      <c r="D2105" s="224" t="s">
        <v>9</v>
      </c>
      <c r="E2105" s="224" t="s">
        <v>256</v>
      </c>
      <c r="F2105" s="224" t="s">
        <v>10</v>
      </c>
      <c r="G2105" s="223" t="str">
        <f>VLOOKUP($B2105,'FRS geographical categories'!$A$2:$C$45,2,FALSE)</f>
        <v>Predominantly Rural</v>
      </c>
      <c r="H2105" s="223" t="str">
        <f>VLOOKUP($B2105,'FRS geographical categories'!$A$2:$C$45,3,FALSE)</f>
        <v>Non-metropolitan</v>
      </c>
      <c r="I2105" s="224">
        <v>0</v>
      </c>
    </row>
    <row r="2106" spans="1:9" ht="15.5" x14ac:dyDescent="0.35">
      <c r="A2106" s="224" t="s">
        <v>56</v>
      </c>
      <c r="B2106" s="224" t="s">
        <v>42</v>
      </c>
      <c r="C2106" s="224" t="s">
        <v>89</v>
      </c>
      <c r="D2106" s="224" t="s">
        <v>55</v>
      </c>
      <c r="E2106" s="224" t="s">
        <v>256</v>
      </c>
      <c r="F2106" s="224" t="s">
        <v>248</v>
      </c>
      <c r="G2106" s="223" t="str">
        <f>VLOOKUP($B2106,'FRS geographical categories'!$A$2:$C$45,2,FALSE)</f>
        <v>Predominantly Rural</v>
      </c>
      <c r="H2106" s="223" t="str">
        <f>VLOOKUP($B2106,'FRS geographical categories'!$A$2:$C$45,3,FALSE)</f>
        <v>Non-metropolitan</v>
      </c>
      <c r="I2106" s="224">
        <v>0</v>
      </c>
    </row>
    <row r="2107" spans="1:9" ht="15.5" x14ac:dyDescent="0.35">
      <c r="A2107" s="224" t="s">
        <v>56</v>
      </c>
      <c r="B2107" s="224" t="s">
        <v>42</v>
      </c>
      <c r="C2107" s="224" t="s">
        <v>89</v>
      </c>
      <c r="D2107" s="224" t="s">
        <v>55</v>
      </c>
      <c r="E2107" s="224" t="s">
        <v>256</v>
      </c>
      <c r="F2107" s="224" t="s">
        <v>249</v>
      </c>
      <c r="G2107" s="223" t="str">
        <f>VLOOKUP($B2107,'FRS geographical categories'!$A$2:$C$45,2,FALSE)</f>
        <v>Predominantly Rural</v>
      </c>
      <c r="H2107" s="223" t="str">
        <f>VLOOKUP($B2107,'FRS geographical categories'!$A$2:$C$45,3,FALSE)</f>
        <v>Non-metropolitan</v>
      </c>
      <c r="I2107" s="224">
        <v>0</v>
      </c>
    </row>
    <row r="2108" spans="1:9" ht="15.5" x14ac:dyDescent="0.35">
      <c r="A2108" s="224" t="s">
        <v>56</v>
      </c>
      <c r="B2108" s="224" t="s">
        <v>42</v>
      </c>
      <c r="C2108" s="224" t="s">
        <v>89</v>
      </c>
      <c r="D2108" s="224" t="s">
        <v>55</v>
      </c>
      <c r="E2108" s="224" t="s">
        <v>256</v>
      </c>
      <c r="F2108" s="224" t="s">
        <v>250</v>
      </c>
      <c r="G2108" s="223" t="str">
        <f>VLOOKUP($B2108,'FRS geographical categories'!$A$2:$C$45,2,FALSE)</f>
        <v>Predominantly Rural</v>
      </c>
      <c r="H2108" s="223" t="str">
        <f>VLOOKUP($B2108,'FRS geographical categories'!$A$2:$C$45,3,FALSE)</f>
        <v>Non-metropolitan</v>
      </c>
      <c r="I2108" s="224">
        <v>0</v>
      </c>
    </row>
    <row r="2109" spans="1:9" ht="15.5" x14ac:dyDescent="0.35">
      <c r="A2109" s="224" t="s">
        <v>56</v>
      </c>
      <c r="B2109" s="224" t="s">
        <v>42</v>
      </c>
      <c r="C2109" s="224" t="s">
        <v>89</v>
      </c>
      <c r="D2109" s="224" t="s">
        <v>55</v>
      </c>
      <c r="E2109" s="224" t="s">
        <v>256</v>
      </c>
      <c r="F2109" s="224" t="s">
        <v>10</v>
      </c>
      <c r="G2109" s="223" t="str">
        <f>VLOOKUP($B2109,'FRS geographical categories'!$A$2:$C$45,2,FALSE)</f>
        <v>Predominantly Rural</v>
      </c>
      <c r="H2109" s="223" t="str">
        <f>VLOOKUP($B2109,'FRS geographical categories'!$A$2:$C$45,3,FALSE)</f>
        <v>Non-metropolitan</v>
      </c>
      <c r="I2109" s="224">
        <v>0</v>
      </c>
    </row>
    <row r="2110" spans="1:9" ht="15.5" x14ac:dyDescent="0.35">
      <c r="A2110" s="224" t="s">
        <v>56</v>
      </c>
      <c r="B2110" s="224" t="s">
        <v>43</v>
      </c>
      <c r="C2110" s="224" t="s">
        <v>86</v>
      </c>
      <c r="D2110" s="224" t="s">
        <v>9</v>
      </c>
      <c r="E2110" s="224" t="s">
        <v>256</v>
      </c>
      <c r="F2110" s="224" t="s">
        <v>248</v>
      </c>
      <c r="G2110" s="223" t="str">
        <f>VLOOKUP($B2110,'FRS geographical categories'!$A$2:$C$45,2,FALSE)</f>
        <v>Predominantly Rural</v>
      </c>
      <c r="H2110" s="223" t="str">
        <f>VLOOKUP($B2110,'FRS geographical categories'!$A$2:$C$45,3,FALSE)</f>
        <v>Non-metropolitan</v>
      </c>
      <c r="I2110" s="224">
        <v>102</v>
      </c>
    </row>
    <row r="2111" spans="1:9" ht="15.5" x14ac:dyDescent="0.35">
      <c r="A2111" s="224" t="s">
        <v>56</v>
      </c>
      <c r="B2111" s="224" t="s">
        <v>43</v>
      </c>
      <c r="C2111" s="224" t="s">
        <v>86</v>
      </c>
      <c r="D2111" s="224" t="s">
        <v>9</v>
      </c>
      <c r="E2111" s="224" t="s">
        <v>256</v>
      </c>
      <c r="F2111" s="224" t="s">
        <v>249</v>
      </c>
      <c r="G2111" s="223" t="str">
        <f>VLOOKUP($B2111,'FRS geographical categories'!$A$2:$C$45,2,FALSE)</f>
        <v>Predominantly Rural</v>
      </c>
      <c r="H2111" s="223" t="str">
        <f>VLOOKUP($B2111,'FRS geographical categories'!$A$2:$C$45,3,FALSE)</f>
        <v>Non-metropolitan</v>
      </c>
      <c r="I2111" s="224">
        <v>553</v>
      </c>
    </row>
    <row r="2112" spans="1:9" ht="15.5" x14ac:dyDescent="0.35">
      <c r="A2112" s="224" t="s">
        <v>56</v>
      </c>
      <c r="B2112" s="224" t="s">
        <v>43</v>
      </c>
      <c r="C2112" s="224" t="s">
        <v>86</v>
      </c>
      <c r="D2112" s="224" t="s">
        <v>9</v>
      </c>
      <c r="E2112" s="224" t="s">
        <v>256</v>
      </c>
      <c r="F2112" s="224" t="s">
        <v>250</v>
      </c>
      <c r="G2112" s="223" t="str">
        <f>VLOOKUP($B2112,'FRS geographical categories'!$A$2:$C$45,2,FALSE)</f>
        <v>Predominantly Rural</v>
      </c>
      <c r="H2112" s="223" t="str">
        <f>VLOOKUP($B2112,'FRS geographical categories'!$A$2:$C$45,3,FALSE)</f>
        <v>Non-metropolitan</v>
      </c>
      <c r="I2112" s="224">
        <v>1367</v>
      </c>
    </row>
    <row r="2113" spans="1:9" ht="15.5" x14ac:dyDescent="0.35">
      <c r="A2113" s="224" t="s">
        <v>56</v>
      </c>
      <c r="B2113" s="224" t="s">
        <v>43</v>
      </c>
      <c r="C2113" s="224" t="s">
        <v>86</v>
      </c>
      <c r="D2113" s="224" t="s">
        <v>9</v>
      </c>
      <c r="E2113" s="224" t="s">
        <v>256</v>
      </c>
      <c r="F2113" s="224" t="s">
        <v>111</v>
      </c>
      <c r="G2113" s="223" t="str">
        <f>VLOOKUP($B2113,'FRS geographical categories'!$A$2:$C$45,2,FALSE)</f>
        <v>Predominantly Rural</v>
      </c>
      <c r="H2113" s="223" t="str">
        <f>VLOOKUP($B2113,'FRS geographical categories'!$A$2:$C$45,3,FALSE)</f>
        <v>Non-metropolitan</v>
      </c>
      <c r="I2113" s="224">
        <v>2667</v>
      </c>
    </row>
    <row r="2114" spans="1:9" ht="15.5" x14ac:dyDescent="0.35">
      <c r="A2114" s="224" t="s">
        <v>56</v>
      </c>
      <c r="B2114" s="224" t="s">
        <v>43</v>
      </c>
      <c r="C2114" s="224" t="s">
        <v>86</v>
      </c>
      <c r="D2114" s="224" t="s">
        <v>9</v>
      </c>
      <c r="E2114" s="224" t="s">
        <v>256</v>
      </c>
      <c r="F2114" s="224" t="s">
        <v>10</v>
      </c>
      <c r="G2114" s="223" t="str">
        <f>VLOOKUP($B2114,'FRS geographical categories'!$A$2:$C$45,2,FALSE)</f>
        <v>Predominantly Rural</v>
      </c>
      <c r="H2114" s="223" t="str">
        <f>VLOOKUP($B2114,'FRS geographical categories'!$A$2:$C$45,3,FALSE)</f>
        <v>Non-metropolitan</v>
      </c>
      <c r="I2114" s="224">
        <v>2722</v>
      </c>
    </row>
    <row r="2115" spans="1:9" ht="15.5" x14ac:dyDescent="0.35">
      <c r="A2115" s="224" t="s">
        <v>56</v>
      </c>
      <c r="B2115" s="224" t="s">
        <v>43</v>
      </c>
      <c r="C2115" s="224" t="s">
        <v>86</v>
      </c>
      <c r="D2115" s="224" t="s">
        <v>55</v>
      </c>
      <c r="E2115" s="224" t="s">
        <v>256</v>
      </c>
      <c r="F2115" s="224" t="s">
        <v>248</v>
      </c>
      <c r="G2115" s="223" t="str">
        <f>VLOOKUP($B2115,'FRS geographical categories'!$A$2:$C$45,2,FALSE)</f>
        <v>Predominantly Rural</v>
      </c>
      <c r="H2115" s="223" t="str">
        <f>VLOOKUP($B2115,'FRS geographical categories'!$A$2:$C$45,3,FALSE)</f>
        <v>Non-metropolitan</v>
      </c>
      <c r="I2115" s="224">
        <v>0</v>
      </c>
    </row>
    <row r="2116" spans="1:9" ht="15.5" x14ac:dyDescent="0.35">
      <c r="A2116" s="224" t="s">
        <v>56</v>
      </c>
      <c r="B2116" s="224" t="s">
        <v>43</v>
      </c>
      <c r="C2116" s="224" t="s">
        <v>86</v>
      </c>
      <c r="D2116" s="224" t="s">
        <v>55</v>
      </c>
      <c r="E2116" s="224" t="s">
        <v>256</v>
      </c>
      <c r="F2116" s="224" t="s">
        <v>249</v>
      </c>
      <c r="G2116" s="223" t="str">
        <f>VLOOKUP($B2116,'FRS geographical categories'!$A$2:$C$45,2,FALSE)</f>
        <v>Predominantly Rural</v>
      </c>
      <c r="H2116" s="223" t="str">
        <f>VLOOKUP($B2116,'FRS geographical categories'!$A$2:$C$45,3,FALSE)</f>
        <v>Non-metropolitan</v>
      </c>
      <c r="I2116" s="224">
        <v>0</v>
      </c>
    </row>
    <row r="2117" spans="1:9" ht="15.5" x14ac:dyDescent="0.35">
      <c r="A2117" s="224" t="s">
        <v>56</v>
      </c>
      <c r="B2117" s="224" t="s">
        <v>43</v>
      </c>
      <c r="C2117" s="224" t="s">
        <v>86</v>
      </c>
      <c r="D2117" s="224" t="s">
        <v>55</v>
      </c>
      <c r="E2117" s="224" t="s">
        <v>256</v>
      </c>
      <c r="F2117" s="224" t="s">
        <v>250</v>
      </c>
      <c r="G2117" s="223" t="str">
        <f>VLOOKUP($B2117,'FRS geographical categories'!$A$2:$C$45,2,FALSE)</f>
        <v>Predominantly Rural</v>
      </c>
      <c r="H2117" s="223" t="str">
        <f>VLOOKUP($B2117,'FRS geographical categories'!$A$2:$C$45,3,FALSE)</f>
        <v>Non-metropolitan</v>
      </c>
      <c r="I2117" s="224">
        <v>0</v>
      </c>
    </row>
    <row r="2118" spans="1:9" ht="15.5" x14ac:dyDescent="0.35">
      <c r="A2118" s="224" t="s">
        <v>56</v>
      </c>
      <c r="B2118" s="224" t="s">
        <v>43</v>
      </c>
      <c r="C2118" s="224" t="s">
        <v>86</v>
      </c>
      <c r="D2118" s="224" t="s">
        <v>55</v>
      </c>
      <c r="E2118" s="224" t="s">
        <v>256</v>
      </c>
      <c r="F2118" s="224" t="s">
        <v>111</v>
      </c>
      <c r="G2118" s="223" t="str">
        <f>VLOOKUP($B2118,'FRS geographical categories'!$A$2:$C$45,2,FALSE)</f>
        <v>Predominantly Rural</v>
      </c>
      <c r="H2118" s="223" t="str">
        <f>VLOOKUP($B2118,'FRS geographical categories'!$A$2:$C$45,3,FALSE)</f>
        <v>Non-metropolitan</v>
      </c>
      <c r="I2118" s="224">
        <v>0</v>
      </c>
    </row>
    <row r="2119" spans="1:9" ht="15.5" x14ac:dyDescent="0.35">
      <c r="A2119" s="224" t="s">
        <v>56</v>
      </c>
      <c r="B2119" s="224" t="s">
        <v>43</v>
      </c>
      <c r="C2119" s="224" t="s">
        <v>86</v>
      </c>
      <c r="D2119" s="224" t="s">
        <v>55</v>
      </c>
      <c r="E2119" s="224" t="s">
        <v>256</v>
      </c>
      <c r="F2119" s="224" t="s">
        <v>10</v>
      </c>
      <c r="G2119" s="223" t="str">
        <f>VLOOKUP($B2119,'FRS geographical categories'!$A$2:$C$45,2,FALSE)</f>
        <v>Predominantly Rural</v>
      </c>
      <c r="H2119" s="223" t="str">
        <f>VLOOKUP($B2119,'FRS geographical categories'!$A$2:$C$45,3,FALSE)</f>
        <v>Non-metropolitan</v>
      </c>
      <c r="I2119" s="224">
        <v>0</v>
      </c>
    </row>
    <row r="2120" spans="1:9" ht="15.5" x14ac:dyDescent="0.35">
      <c r="A2120" s="224" t="s">
        <v>56</v>
      </c>
      <c r="B2120" s="224" t="s">
        <v>43</v>
      </c>
      <c r="C2120" s="224" t="s">
        <v>89</v>
      </c>
      <c r="D2120" s="224" t="s">
        <v>9</v>
      </c>
      <c r="E2120" s="224" t="s">
        <v>256</v>
      </c>
      <c r="F2120" s="224" t="s">
        <v>248</v>
      </c>
      <c r="G2120" s="223" t="str">
        <f>VLOOKUP($B2120,'FRS geographical categories'!$A$2:$C$45,2,FALSE)</f>
        <v>Predominantly Rural</v>
      </c>
      <c r="H2120" s="223" t="str">
        <f>VLOOKUP($B2120,'FRS geographical categories'!$A$2:$C$45,3,FALSE)</f>
        <v>Non-metropolitan</v>
      </c>
      <c r="I2120" s="224">
        <v>0</v>
      </c>
    </row>
    <row r="2121" spans="1:9" ht="15.5" x14ac:dyDescent="0.35">
      <c r="A2121" s="224" t="s">
        <v>56</v>
      </c>
      <c r="B2121" s="224" t="s">
        <v>43</v>
      </c>
      <c r="C2121" s="224" t="s">
        <v>89</v>
      </c>
      <c r="D2121" s="224" t="s">
        <v>9</v>
      </c>
      <c r="E2121" s="224" t="s">
        <v>256</v>
      </c>
      <c r="F2121" s="224" t="s">
        <v>249</v>
      </c>
      <c r="G2121" s="223" t="str">
        <f>VLOOKUP($B2121,'FRS geographical categories'!$A$2:$C$45,2,FALSE)</f>
        <v>Predominantly Rural</v>
      </c>
      <c r="H2121" s="223" t="str">
        <f>VLOOKUP($B2121,'FRS geographical categories'!$A$2:$C$45,3,FALSE)</f>
        <v>Non-metropolitan</v>
      </c>
      <c r="I2121" s="224">
        <v>0</v>
      </c>
    </row>
    <row r="2122" spans="1:9" ht="15.5" x14ac:dyDescent="0.35">
      <c r="A2122" s="224" t="s">
        <v>56</v>
      </c>
      <c r="B2122" s="224" t="s">
        <v>43</v>
      </c>
      <c r="C2122" s="224" t="s">
        <v>89</v>
      </c>
      <c r="D2122" s="224" t="s">
        <v>9</v>
      </c>
      <c r="E2122" s="224" t="s">
        <v>256</v>
      </c>
      <c r="F2122" s="224" t="s">
        <v>250</v>
      </c>
      <c r="G2122" s="223" t="str">
        <f>VLOOKUP($B2122,'FRS geographical categories'!$A$2:$C$45,2,FALSE)</f>
        <v>Predominantly Rural</v>
      </c>
      <c r="H2122" s="223" t="str">
        <f>VLOOKUP($B2122,'FRS geographical categories'!$A$2:$C$45,3,FALSE)</f>
        <v>Non-metropolitan</v>
      </c>
      <c r="I2122" s="224">
        <v>0</v>
      </c>
    </row>
    <row r="2123" spans="1:9" ht="15.5" x14ac:dyDescent="0.35">
      <c r="A2123" s="224" t="s">
        <v>56</v>
      </c>
      <c r="B2123" s="224" t="s">
        <v>43</v>
      </c>
      <c r="C2123" s="224" t="s">
        <v>89</v>
      </c>
      <c r="D2123" s="224" t="s">
        <v>9</v>
      </c>
      <c r="E2123" s="224" t="s">
        <v>256</v>
      </c>
      <c r="F2123" s="224" t="s">
        <v>10</v>
      </c>
      <c r="G2123" s="223" t="str">
        <f>VLOOKUP($B2123,'FRS geographical categories'!$A$2:$C$45,2,FALSE)</f>
        <v>Predominantly Rural</v>
      </c>
      <c r="H2123" s="223" t="str">
        <f>VLOOKUP($B2123,'FRS geographical categories'!$A$2:$C$45,3,FALSE)</f>
        <v>Non-metropolitan</v>
      </c>
      <c r="I2123" s="224">
        <v>586</v>
      </c>
    </row>
    <row r="2124" spans="1:9" ht="15.5" x14ac:dyDescent="0.35">
      <c r="A2124" s="224" t="s">
        <v>56</v>
      </c>
      <c r="B2124" s="224" t="s">
        <v>43</v>
      </c>
      <c r="C2124" s="224" t="s">
        <v>89</v>
      </c>
      <c r="D2124" s="224" t="s">
        <v>55</v>
      </c>
      <c r="E2124" s="224" t="s">
        <v>256</v>
      </c>
      <c r="F2124" s="224" t="s">
        <v>248</v>
      </c>
      <c r="G2124" s="223" t="str">
        <f>VLOOKUP($B2124,'FRS geographical categories'!$A$2:$C$45,2,FALSE)</f>
        <v>Predominantly Rural</v>
      </c>
      <c r="H2124" s="223" t="str">
        <f>VLOOKUP($B2124,'FRS geographical categories'!$A$2:$C$45,3,FALSE)</f>
        <v>Non-metropolitan</v>
      </c>
      <c r="I2124" s="224">
        <v>0</v>
      </c>
    </row>
    <row r="2125" spans="1:9" ht="15.5" x14ac:dyDescent="0.35">
      <c r="A2125" s="224" t="s">
        <v>56</v>
      </c>
      <c r="B2125" s="224" t="s">
        <v>43</v>
      </c>
      <c r="C2125" s="224" t="s">
        <v>89</v>
      </c>
      <c r="D2125" s="224" t="s">
        <v>55</v>
      </c>
      <c r="E2125" s="224" t="s">
        <v>256</v>
      </c>
      <c r="F2125" s="224" t="s">
        <v>249</v>
      </c>
      <c r="G2125" s="223" t="str">
        <f>VLOOKUP($B2125,'FRS geographical categories'!$A$2:$C$45,2,FALSE)</f>
        <v>Predominantly Rural</v>
      </c>
      <c r="H2125" s="223" t="str">
        <f>VLOOKUP($B2125,'FRS geographical categories'!$A$2:$C$45,3,FALSE)</f>
        <v>Non-metropolitan</v>
      </c>
      <c r="I2125" s="224">
        <v>0</v>
      </c>
    </row>
    <row r="2126" spans="1:9" ht="15.5" x14ac:dyDescent="0.35">
      <c r="A2126" s="224" t="s">
        <v>56</v>
      </c>
      <c r="B2126" s="224" t="s">
        <v>43</v>
      </c>
      <c r="C2126" s="224" t="s">
        <v>89</v>
      </c>
      <c r="D2126" s="224" t="s">
        <v>55</v>
      </c>
      <c r="E2126" s="224" t="s">
        <v>256</v>
      </c>
      <c r="F2126" s="224" t="s">
        <v>250</v>
      </c>
      <c r="G2126" s="223" t="str">
        <f>VLOOKUP($B2126,'FRS geographical categories'!$A$2:$C$45,2,FALSE)</f>
        <v>Predominantly Rural</v>
      </c>
      <c r="H2126" s="223" t="str">
        <f>VLOOKUP($B2126,'FRS geographical categories'!$A$2:$C$45,3,FALSE)</f>
        <v>Non-metropolitan</v>
      </c>
      <c r="I2126" s="224">
        <v>0</v>
      </c>
    </row>
    <row r="2127" spans="1:9" ht="15.5" x14ac:dyDescent="0.35">
      <c r="A2127" s="224" t="s">
        <v>56</v>
      </c>
      <c r="B2127" s="224" t="s">
        <v>43</v>
      </c>
      <c r="C2127" s="224" t="s">
        <v>89</v>
      </c>
      <c r="D2127" s="224" t="s">
        <v>55</v>
      </c>
      <c r="E2127" s="224" t="s">
        <v>256</v>
      </c>
      <c r="F2127" s="224" t="s">
        <v>10</v>
      </c>
      <c r="G2127" s="223" t="str">
        <f>VLOOKUP($B2127,'FRS geographical categories'!$A$2:$C$45,2,FALSE)</f>
        <v>Predominantly Rural</v>
      </c>
      <c r="H2127" s="223" t="str">
        <f>VLOOKUP($B2127,'FRS geographical categories'!$A$2:$C$45,3,FALSE)</f>
        <v>Non-metropolitan</v>
      </c>
      <c r="I2127" s="224">
        <v>0</v>
      </c>
    </row>
    <row r="2128" spans="1:9" ht="15.5" x14ac:dyDescent="0.35">
      <c r="A2128" s="224" t="s">
        <v>56</v>
      </c>
      <c r="B2128" s="224" t="s">
        <v>44</v>
      </c>
      <c r="C2128" s="224" t="s">
        <v>86</v>
      </c>
      <c r="D2128" s="224" t="s">
        <v>9</v>
      </c>
      <c r="E2128" s="224" t="s">
        <v>256</v>
      </c>
      <c r="F2128" s="224" t="s">
        <v>248</v>
      </c>
      <c r="G2128" s="223" t="str">
        <f>VLOOKUP($B2128,'FRS geographical categories'!$A$2:$C$45,2,FALSE)</f>
        <v>Predominantly Urban</v>
      </c>
      <c r="H2128" s="223" t="str">
        <f>VLOOKUP($B2128,'FRS geographical categories'!$A$2:$C$45,3,FALSE)</f>
        <v>Metropolitan</v>
      </c>
      <c r="I2128" s="224">
        <v>882</v>
      </c>
    </row>
    <row r="2129" spans="1:9" ht="15.5" x14ac:dyDescent="0.35">
      <c r="A2129" s="224" t="s">
        <v>56</v>
      </c>
      <c r="B2129" s="224" t="s">
        <v>44</v>
      </c>
      <c r="C2129" s="224" t="s">
        <v>86</v>
      </c>
      <c r="D2129" s="224" t="s">
        <v>9</v>
      </c>
      <c r="E2129" s="224" t="s">
        <v>256</v>
      </c>
      <c r="F2129" s="224" t="s">
        <v>249</v>
      </c>
      <c r="G2129" s="223" t="str">
        <f>VLOOKUP($B2129,'FRS geographical categories'!$A$2:$C$45,2,FALSE)</f>
        <v>Predominantly Urban</v>
      </c>
      <c r="H2129" s="223" t="str">
        <f>VLOOKUP($B2129,'FRS geographical categories'!$A$2:$C$45,3,FALSE)</f>
        <v>Metropolitan</v>
      </c>
      <c r="I2129" s="224">
        <v>1925</v>
      </c>
    </row>
    <row r="2130" spans="1:9" ht="15.5" x14ac:dyDescent="0.35">
      <c r="A2130" s="224" t="s">
        <v>56</v>
      </c>
      <c r="B2130" s="224" t="s">
        <v>44</v>
      </c>
      <c r="C2130" s="224" t="s">
        <v>86</v>
      </c>
      <c r="D2130" s="224" t="s">
        <v>9</v>
      </c>
      <c r="E2130" s="224" t="s">
        <v>256</v>
      </c>
      <c r="F2130" s="224" t="s">
        <v>250</v>
      </c>
      <c r="G2130" s="223" t="str">
        <f>VLOOKUP($B2130,'FRS geographical categories'!$A$2:$C$45,2,FALSE)</f>
        <v>Predominantly Urban</v>
      </c>
      <c r="H2130" s="223" t="str">
        <f>VLOOKUP($B2130,'FRS geographical categories'!$A$2:$C$45,3,FALSE)</f>
        <v>Metropolitan</v>
      </c>
      <c r="I2130" s="224">
        <v>3515</v>
      </c>
    </row>
    <row r="2131" spans="1:9" ht="15.5" x14ac:dyDescent="0.35">
      <c r="A2131" s="224" t="s">
        <v>56</v>
      </c>
      <c r="B2131" s="224" t="s">
        <v>44</v>
      </c>
      <c r="C2131" s="224" t="s">
        <v>86</v>
      </c>
      <c r="D2131" s="224" t="s">
        <v>9</v>
      </c>
      <c r="E2131" s="224" t="s">
        <v>256</v>
      </c>
      <c r="F2131" s="224" t="s">
        <v>111</v>
      </c>
      <c r="G2131" s="223" t="str">
        <f>VLOOKUP($B2131,'FRS geographical categories'!$A$2:$C$45,2,FALSE)</f>
        <v>Predominantly Urban</v>
      </c>
      <c r="H2131" s="223" t="str">
        <f>VLOOKUP($B2131,'FRS geographical categories'!$A$2:$C$45,3,FALSE)</f>
        <v>Metropolitan</v>
      </c>
      <c r="I2131" s="224">
        <v>6322</v>
      </c>
    </row>
    <row r="2132" spans="1:9" ht="15.5" x14ac:dyDescent="0.35">
      <c r="A2132" s="224" t="s">
        <v>56</v>
      </c>
      <c r="B2132" s="224" t="s">
        <v>44</v>
      </c>
      <c r="C2132" s="224" t="s">
        <v>86</v>
      </c>
      <c r="D2132" s="224" t="s">
        <v>9</v>
      </c>
      <c r="E2132" s="224" t="s">
        <v>256</v>
      </c>
      <c r="F2132" s="224" t="s">
        <v>10</v>
      </c>
      <c r="G2132" s="223" t="str">
        <f>VLOOKUP($B2132,'FRS geographical categories'!$A$2:$C$45,2,FALSE)</f>
        <v>Predominantly Urban</v>
      </c>
      <c r="H2132" s="223" t="str">
        <f>VLOOKUP($B2132,'FRS geographical categories'!$A$2:$C$45,3,FALSE)</f>
        <v>Metropolitan</v>
      </c>
      <c r="I2132" s="224">
        <v>11638</v>
      </c>
    </row>
    <row r="2133" spans="1:9" ht="15.5" x14ac:dyDescent="0.35">
      <c r="A2133" s="224" t="s">
        <v>56</v>
      </c>
      <c r="B2133" s="224" t="s">
        <v>44</v>
      </c>
      <c r="C2133" s="224" t="s">
        <v>86</v>
      </c>
      <c r="D2133" s="224" t="s">
        <v>55</v>
      </c>
      <c r="E2133" s="224" t="s">
        <v>256</v>
      </c>
      <c r="F2133" s="224" t="s">
        <v>248</v>
      </c>
      <c r="G2133" s="223" t="str">
        <f>VLOOKUP($B2133,'FRS geographical categories'!$A$2:$C$45,2,FALSE)</f>
        <v>Predominantly Urban</v>
      </c>
      <c r="H2133" s="223" t="str">
        <f>VLOOKUP($B2133,'FRS geographical categories'!$A$2:$C$45,3,FALSE)</f>
        <v>Metropolitan</v>
      </c>
      <c r="I2133" s="224">
        <v>143</v>
      </c>
    </row>
    <row r="2134" spans="1:9" ht="15.5" x14ac:dyDescent="0.35">
      <c r="A2134" s="224" t="s">
        <v>56</v>
      </c>
      <c r="B2134" s="224" t="s">
        <v>44</v>
      </c>
      <c r="C2134" s="224" t="s">
        <v>86</v>
      </c>
      <c r="D2134" s="224" t="s">
        <v>55</v>
      </c>
      <c r="E2134" s="224" t="s">
        <v>256</v>
      </c>
      <c r="F2134" s="224" t="s">
        <v>249</v>
      </c>
      <c r="G2134" s="223" t="str">
        <f>VLOOKUP($B2134,'FRS geographical categories'!$A$2:$C$45,2,FALSE)</f>
        <v>Predominantly Urban</v>
      </c>
      <c r="H2134" s="223" t="str">
        <f>VLOOKUP($B2134,'FRS geographical categories'!$A$2:$C$45,3,FALSE)</f>
        <v>Metropolitan</v>
      </c>
      <c r="I2134" s="224">
        <v>273</v>
      </c>
    </row>
    <row r="2135" spans="1:9" ht="15.5" x14ac:dyDescent="0.35">
      <c r="A2135" s="224" t="s">
        <v>56</v>
      </c>
      <c r="B2135" s="224" t="s">
        <v>44</v>
      </c>
      <c r="C2135" s="224" t="s">
        <v>86</v>
      </c>
      <c r="D2135" s="224" t="s">
        <v>55</v>
      </c>
      <c r="E2135" s="224" t="s">
        <v>256</v>
      </c>
      <c r="F2135" s="224" t="s">
        <v>250</v>
      </c>
      <c r="G2135" s="223" t="str">
        <f>VLOOKUP($B2135,'FRS geographical categories'!$A$2:$C$45,2,FALSE)</f>
        <v>Predominantly Urban</v>
      </c>
      <c r="H2135" s="223" t="str">
        <f>VLOOKUP($B2135,'FRS geographical categories'!$A$2:$C$45,3,FALSE)</f>
        <v>Metropolitan</v>
      </c>
      <c r="I2135" s="224">
        <v>435</v>
      </c>
    </row>
    <row r="2136" spans="1:9" ht="15.5" x14ac:dyDescent="0.35">
      <c r="A2136" s="224" t="s">
        <v>56</v>
      </c>
      <c r="B2136" s="224" t="s">
        <v>44</v>
      </c>
      <c r="C2136" s="224" t="s">
        <v>86</v>
      </c>
      <c r="D2136" s="224" t="s">
        <v>55</v>
      </c>
      <c r="E2136" s="224" t="s">
        <v>256</v>
      </c>
      <c r="F2136" s="224" t="s">
        <v>111</v>
      </c>
      <c r="G2136" s="223" t="str">
        <f>VLOOKUP($B2136,'FRS geographical categories'!$A$2:$C$45,2,FALSE)</f>
        <v>Predominantly Urban</v>
      </c>
      <c r="H2136" s="223" t="str">
        <f>VLOOKUP($B2136,'FRS geographical categories'!$A$2:$C$45,3,FALSE)</f>
        <v>Metropolitan</v>
      </c>
      <c r="I2136" s="224">
        <v>851</v>
      </c>
    </row>
    <row r="2137" spans="1:9" ht="15.5" x14ac:dyDescent="0.35">
      <c r="A2137" s="224" t="s">
        <v>56</v>
      </c>
      <c r="B2137" s="224" t="s">
        <v>44</v>
      </c>
      <c r="C2137" s="224" t="s">
        <v>86</v>
      </c>
      <c r="D2137" s="224" t="s">
        <v>55</v>
      </c>
      <c r="E2137" s="224" t="s">
        <v>256</v>
      </c>
      <c r="F2137" s="224" t="s">
        <v>10</v>
      </c>
      <c r="G2137" s="223" t="str">
        <f>VLOOKUP($B2137,'FRS geographical categories'!$A$2:$C$45,2,FALSE)</f>
        <v>Predominantly Urban</v>
      </c>
      <c r="H2137" s="223" t="str">
        <f>VLOOKUP($B2137,'FRS geographical categories'!$A$2:$C$45,3,FALSE)</f>
        <v>Metropolitan</v>
      </c>
      <c r="I2137" s="224">
        <v>1672</v>
      </c>
    </row>
    <row r="2138" spans="1:9" ht="15.5" x14ac:dyDescent="0.35">
      <c r="A2138" s="224" t="s">
        <v>56</v>
      </c>
      <c r="B2138" s="224" t="s">
        <v>44</v>
      </c>
      <c r="C2138" s="224" t="s">
        <v>89</v>
      </c>
      <c r="D2138" s="224" t="s">
        <v>9</v>
      </c>
      <c r="E2138" s="224" t="s">
        <v>256</v>
      </c>
      <c r="F2138" s="224" t="s">
        <v>248</v>
      </c>
      <c r="G2138" s="223" t="str">
        <f>VLOOKUP($B2138,'FRS geographical categories'!$A$2:$C$45,2,FALSE)</f>
        <v>Predominantly Urban</v>
      </c>
      <c r="H2138" s="223" t="str">
        <f>VLOOKUP($B2138,'FRS geographical categories'!$A$2:$C$45,3,FALSE)</f>
        <v>Metropolitan</v>
      </c>
      <c r="I2138" s="224">
        <v>0</v>
      </c>
    </row>
    <row r="2139" spans="1:9" ht="15.5" x14ac:dyDescent="0.35">
      <c r="A2139" s="224" t="s">
        <v>56</v>
      </c>
      <c r="B2139" s="224" t="s">
        <v>44</v>
      </c>
      <c r="C2139" s="224" t="s">
        <v>89</v>
      </c>
      <c r="D2139" s="224" t="s">
        <v>9</v>
      </c>
      <c r="E2139" s="224" t="s">
        <v>256</v>
      </c>
      <c r="F2139" s="224" t="s">
        <v>249</v>
      </c>
      <c r="G2139" s="223" t="str">
        <f>VLOOKUP($B2139,'FRS geographical categories'!$A$2:$C$45,2,FALSE)</f>
        <v>Predominantly Urban</v>
      </c>
      <c r="H2139" s="223" t="str">
        <f>VLOOKUP($B2139,'FRS geographical categories'!$A$2:$C$45,3,FALSE)</f>
        <v>Metropolitan</v>
      </c>
      <c r="I2139" s="224">
        <v>0</v>
      </c>
    </row>
    <row r="2140" spans="1:9" ht="15.5" x14ac:dyDescent="0.35">
      <c r="A2140" s="224" t="s">
        <v>56</v>
      </c>
      <c r="B2140" s="224" t="s">
        <v>44</v>
      </c>
      <c r="C2140" s="224" t="s">
        <v>89</v>
      </c>
      <c r="D2140" s="224" t="s">
        <v>9</v>
      </c>
      <c r="E2140" s="224" t="s">
        <v>256</v>
      </c>
      <c r="F2140" s="224" t="s">
        <v>250</v>
      </c>
      <c r="G2140" s="223" t="str">
        <f>VLOOKUP($B2140,'FRS geographical categories'!$A$2:$C$45,2,FALSE)</f>
        <v>Predominantly Urban</v>
      </c>
      <c r="H2140" s="223" t="str">
        <f>VLOOKUP($B2140,'FRS geographical categories'!$A$2:$C$45,3,FALSE)</f>
        <v>Metropolitan</v>
      </c>
      <c r="I2140" s="224">
        <v>0</v>
      </c>
    </row>
    <row r="2141" spans="1:9" ht="15.5" x14ac:dyDescent="0.35">
      <c r="A2141" s="224" t="s">
        <v>56</v>
      </c>
      <c r="B2141" s="224" t="s">
        <v>44</v>
      </c>
      <c r="C2141" s="224" t="s">
        <v>89</v>
      </c>
      <c r="D2141" s="224" t="s">
        <v>9</v>
      </c>
      <c r="E2141" s="224" t="s">
        <v>256</v>
      </c>
      <c r="F2141" s="224" t="s">
        <v>10</v>
      </c>
      <c r="G2141" s="223" t="str">
        <f>VLOOKUP($B2141,'FRS geographical categories'!$A$2:$C$45,2,FALSE)</f>
        <v>Predominantly Urban</v>
      </c>
      <c r="H2141" s="223" t="str">
        <f>VLOOKUP($B2141,'FRS geographical categories'!$A$2:$C$45,3,FALSE)</f>
        <v>Metropolitan</v>
      </c>
      <c r="I2141" s="224">
        <v>0</v>
      </c>
    </row>
    <row r="2142" spans="1:9" ht="15.5" x14ac:dyDescent="0.35">
      <c r="A2142" s="224" t="s">
        <v>56</v>
      </c>
      <c r="B2142" s="224" t="s">
        <v>44</v>
      </c>
      <c r="C2142" s="224" t="s">
        <v>89</v>
      </c>
      <c r="D2142" s="224" t="s">
        <v>55</v>
      </c>
      <c r="E2142" s="224" t="s">
        <v>256</v>
      </c>
      <c r="F2142" s="224" t="s">
        <v>248</v>
      </c>
      <c r="G2142" s="223" t="str">
        <f>VLOOKUP($B2142,'FRS geographical categories'!$A$2:$C$45,2,FALSE)</f>
        <v>Predominantly Urban</v>
      </c>
      <c r="H2142" s="223" t="str">
        <f>VLOOKUP($B2142,'FRS geographical categories'!$A$2:$C$45,3,FALSE)</f>
        <v>Metropolitan</v>
      </c>
      <c r="I2142" s="224">
        <v>0</v>
      </c>
    </row>
    <row r="2143" spans="1:9" ht="15.5" x14ac:dyDescent="0.35">
      <c r="A2143" s="224" t="s">
        <v>56</v>
      </c>
      <c r="B2143" s="224" t="s">
        <v>44</v>
      </c>
      <c r="C2143" s="224" t="s">
        <v>89</v>
      </c>
      <c r="D2143" s="224" t="s">
        <v>55</v>
      </c>
      <c r="E2143" s="224" t="s">
        <v>256</v>
      </c>
      <c r="F2143" s="224" t="s">
        <v>249</v>
      </c>
      <c r="G2143" s="223" t="str">
        <f>VLOOKUP($B2143,'FRS geographical categories'!$A$2:$C$45,2,FALSE)</f>
        <v>Predominantly Urban</v>
      </c>
      <c r="H2143" s="223" t="str">
        <f>VLOOKUP($B2143,'FRS geographical categories'!$A$2:$C$45,3,FALSE)</f>
        <v>Metropolitan</v>
      </c>
      <c r="I2143" s="224">
        <v>0</v>
      </c>
    </row>
    <row r="2144" spans="1:9" ht="15.5" x14ac:dyDescent="0.35">
      <c r="A2144" s="224" t="s">
        <v>56</v>
      </c>
      <c r="B2144" s="224" t="s">
        <v>44</v>
      </c>
      <c r="C2144" s="224" t="s">
        <v>89</v>
      </c>
      <c r="D2144" s="224" t="s">
        <v>55</v>
      </c>
      <c r="E2144" s="224" t="s">
        <v>256</v>
      </c>
      <c r="F2144" s="224" t="s">
        <v>250</v>
      </c>
      <c r="G2144" s="223" t="str">
        <f>VLOOKUP($B2144,'FRS geographical categories'!$A$2:$C$45,2,FALSE)</f>
        <v>Predominantly Urban</v>
      </c>
      <c r="H2144" s="223" t="str">
        <f>VLOOKUP($B2144,'FRS geographical categories'!$A$2:$C$45,3,FALSE)</f>
        <v>Metropolitan</v>
      </c>
      <c r="I2144" s="224">
        <v>0</v>
      </c>
    </row>
    <row r="2145" spans="1:9" ht="15.5" x14ac:dyDescent="0.35">
      <c r="A2145" s="224" t="s">
        <v>56</v>
      </c>
      <c r="B2145" s="224" t="s">
        <v>44</v>
      </c>
      <c r="C2145" s="224" t="s">
        <v>89</v>
      </c>
      <c r="D2145" s="224" t="s">
        <v>55</v>
      </c>
      <c r="E2145" s="224" t="s">
        <v>256</v>
      </c>
      <c r="F2145" s="224" t="s">
        <v>10</v>
      </c>
      <c r="G2145" s="223" t="str">
        <f>VLOOKUP($B2145,'FRS geographical categories'!$A$2:$C$45,2,FALSE)</f>
        <v>Predominantly Urban</v>
      </c>
      <c r="H2145" s="223" t="str">
        <f>VLOOKUP($B2145,'FRS geographical categories'!$A$2:$C$45,3,FALSE)</f>
        <v>Metropolitan</v>
      </c>
      <c r="I2145" s="224">
        <v>0</v>
      </c>
    </row>
    <row r="2146" spans="1:9" ht="15.5" x14ac:dyDescent="0.35">
      <c r="A2146" s="224" t="s">
        <v>56</v>
      </c>
      <c r="B2146" s="224" t="s">
        <v>45</v>
      </c>
      <c r="C2146" s="224" t="s">
        <v>86</v>
      </c>
      <c r="D2146" s="224" t="s">
        <v>9</v>
      </c>
      <c r="E2146" s="224" t="s">
        <v>256</v>
      </c>
      <c r="F2146" s="224" t="s">
        <v>248</v>
      </c>
      <c r="G2146" s="223" t="str">
        <f>VLOOKUP($B2146,'FRS geographical categories'!$A$2:$C$45,2,FALSE)</f>
        <v>Significantly Rural</v>
      </c>
      <c r="H2146" s="223" t="str">
        <f>VLOOKUP($B2146,'FRS geographical categories'!$A$2:$C$45,3,FALSE)</f>
        <v>Non-metropolitan</v>
      </c>
      <c r="I2146" s="224">
        <v>669</v>
      </c>
    </row>
    <row r="2147" spans="1:9" ht="15.5" x14ac:dyDescent="0.35">
      <c r="A2147" s="224" t="s">
        <v>56</v>
      </c>
      <c r="B2147" s="224" t="s">
        <v>45</v>
      </c>
      <c r="C2147" s="224" t="s">
        <v>86</v>
      </c>
      <c r="D2147" s="224" t="s">
        <v>9</v>
      </c>
      <c r="E2147" s="224" t="s">
        <v>256</v>
      </c>
      <c r="F2147" s="224" t="s">
        <v>249</v>
      </c>
      <c r="G2147" s="223" t="str">
        <f>VLOOKUP($B2147,'FRS geographical categories'!$A$2:$C$45,2,FALSE)</f>
        <v>Significantly Rural</v>
      </c>
      <c r="H2147" s="223" t="str">
        <f>VLOOKUP($B2147,'FRS geographical categories'!$A$2:$C$45,3,FALSE)</f>
        <v>Non-metropolitan</v>
      </c>
      <c r="I2147" s="224">
        <v>3794</v>
      </c>
    </row>
    <row r="2148" spans="1:9" ht="15.5" x14ac:dyDescent="0.35">
      <c r="A2148" s="224" t="s">
        <v>56</v>
      </c>
      <c r="B2148" s="224" t="s">
        <v>45</v>
      </c>
      <c r="C2148" s="224" t="s">
        <v>86</v>
      </c>
      <c r="D2148" s="224" t="s">
        <v>9</v>
      </c>
      <c r="E2148" s="224" t="s">
        <v>256</v>
      </c>
      <c r="F2148" s="224" t="s">
        <v>250</v>
      </c>
      <c r="G2148" s="223" t="str">
        <f>VLOOKUP($B2148,'FRS geographical categories'!$A$2:$C$45,2,FALSE)</f>
        <v>Significantly Rural</v>
      </c>
      <c r="H2148" s="223" t="str">
        <f>VLOOKUP($B2148,'FRS geographical categories'!$A$2:$C$45,3,FALSE)</f>
        <v>Non-metropolitan</v>
      </c>
      <c r="I2148" s="224">
        <v>1420</v>
      </c>
    </row>
    <row r="2149" spans="1:9" ht="15.5" x14ac:dyDescent="0.35">
      <c r="A2149" s="224" t="s">
        <v>56</v>
      </c>
      <c r="B2149" s="224" t="s">
        <v>45</v>
      </c>
      <c r="C2149" s="224" t="s">
        <v>86</v>
      </c>
      <c r="D2149" s="224" t="s">
        <v>9</v>
      </c>
      <c r="E2149" s="224" t="s">
        <v>256</v>
      </c>
      <c r="F2149" s="224" t="s">
        <v>111</v>
      </c>
      <c r="G2149" s="223" t="str">
        <f>VLOOKUP($B2149,'FRS geographical categories'!$A$2:$C$45,2,FALSE)</f>
        <v>Significantly Rural</v>
      </c>
      <c r="H2149" s="223" t="str">
        <f>VLOOKUP($B2149,'FRS geographical categories'!$A$2:$C$45,3,FALSE)</f>
        <v>Non-metropolitan</v>
      </c>
      <c r="I2149" s="224">
        <v>3703</v>
      </c>
    </row>
    <row r="2150" spans="1:9" ht="15.5" x14ac:dyDescent="0.35">
      <c r="A2150" s="224" t="s">
        <v>56</v>
      </c>
      <c r="B2150" s="224" t="s">
        <v>45</v>
      </c>
      <c r="C2150" s="224" t="s">
        <v>86</v>
      </c>
      <c r="D2150" s="224" t="s">
        <v>9</v>
      </c>
      <c r="E2150" s="224" t="s">
        <v>256</v>
      </c>
      <c r="F2150" s="224" t="s">
        <v>10</v>
      </c>
      <c r="G2150" s="223" t="str">
        <f>VLOOKUP($B2150,'FRS geographical categories'!$A$2:$C$45,2,FALSE)</f>
        <v>Significantly Rural</v>
      </c>
      <c r="H2150" s="223" t="str">
        <f>VLOOKUP($B2150,'FRS geographical categories'!$A$2:$C$45,3,FALSE)</f>
        <v>Non-metropolitan</v>
      </c>
      <c r="I2150" s="224">
        <v>6972</v>
      </c>
    </row>
    <row r="2151" spans="1:9" ht="15.5" x14ac:dyDescent="0.35">
      <c r="A2151" s="224" t="s">
        <v>56</v>
      </c>
      <c r="B2151" s="224" t="s">
        <v>45</v>
      </c>
      <c r="C2151" s="224" t="s">
        <v>86</v>
      </c>
      <c r="D2151" s="224" t="s">
        <v>55</v>
      </c>
      <c r="E2151" s="224" t="s">
        <v>256</v>
      </c>
      <c r="F2151" s="224" t="s">
        <v>248</v>
      </c>
      <c r="G2151" s="223" t="str">
        <f>VLOOKUP($B2151,'FRS geographical categories'!$A$2:$C$45,2,FALSE)</f>
        <v>Significantly Rural</v>
      </c>
      <c r="H2151" s="223" t="str">
        <f>VLOOKUP($B2151,'FRS geographical categories'!$A$2:$C$45,3,FALSE)</f>
        <v>Non-metropolitan</v>
      </c>
      <c r="I2151" s="224">
        <v>0</v>
      </c>
    </row>
    <row r="2152" spans="1:9" ht="15.5" x14ac:dyDescent="0.35">
      <c r="A2152" s="224" t="s">
        <v>56</v>
      </c>
      <c r="B2152" s="224" t="s">
        <v>45</v>
      </c>
      <c r="C2152" s="224" t="s">
        <v>86</v>
      </c>
      <c r="D2152" s="224" t="s">
        <v>55</v>
      </c>
      <c r="E2152" s="224" t="s">
        <v>256</v>
      </c>
      <c r="F2152" s="224" t="s">
        <v>249</v>
      </c>
      <c r="G2152" s="223" t="str">
        <f>VLOOKUP($B2152,'FRS geographical categories'!$A$2:$C$45,2,FALSE)</f>
        <v>Significantly Rural</v>
      </c>
      <c r="H2152" s="223" t="str">
        <f>VLOOKUP($B2152,'FRS geographical categories'!$A$2:$C$45,3,FALSE)</f>
        <v>Non-metropolitan</v>
      </c>
      <c r="I2152" s="224">
        <v>0</v>
      </c>
    </row>
    <row r="2153" spans="1:9" ht="15.5" x14ac:dyDescent="0.35">
      <c r="A2153" s="224" t="s">
        <v>56</v>
      </c>
      <c r="B2153" s="224" t="s">
        <v>45</v>
      </c>
      <c r="C2153" s="224" t="s">
        <v>86</v>
      </c>
      <c r="D2153" s="224" t="s">
        <v>55</v>
      </c>
      <c r="E2153" s="224" t="s">
        <v>256</v>
      </c>
      <c r="F2153" s="224" t="s">
        <v>250</v>
      </c>
      <c r="G2153" s="223" t="str">
        <f>VLOOKUP($B2153,'FRS geographical categories'!$A$2:$C$45,2,FALSE)</f>
        <v>Significantly Rural</v>
      </c>
      <c r="H2153" s="223" t="str">
        <f>VLOOKUP($B2153,'FRS geographical categories'!$A$2:$C$45,3,FALSE)</f>
        <v>Non-metropolitan</v>
      </c>
      <c r="I2153" s="224">
        <v>0</v>
      </c>
    </row>
    <row r="2154" spans="1:9" ht="15.5" x14ac:dyDescent="0.35">
      <c r="A2154" s="224" t="s">
        <v>56</v>
      </c>
      <c r="B2154" s="224" t="s">
        <v>45</v>
      </c>
      <c r="C2154" s="224" t="s">
        <v>86</v>
      </c>
      <c r="D2154" s="224" t="s">
        <v>55</v>
      </c>
      <c r="E2154" s="224" t="s">
        <v>256</v>
      </c>
      <c r="F2154" s="224" t="s">
        <v>111</v>
      </c>
      <c r="G2154" s="223" t="str">
        <f>VLOOKUP($B2154,'FRS geographical categories'!$A$2:$C$45,2,FALSE)</f>
        <v>Significantly Rural</v>
      </c>
      <c r="H2154" s="223" t="str">
        <f>VLOOKUP($B2154,'FRS geographical categories'!$A$2:$C$45,3,FALSE)</f>
        <v>Non-metropolitan</v>
      </c>
      <c r="I2154" s="224">
        <v>0</v>
      </c>
    </row>
    <row r="2155" spans="1:9" ht="15.5" x14ac:dyDescent="0.35">
      <c r="A2155" s="224" t="s">
        <v>56</v>
      </c>
      <c r="B2155" s="224" t="s">
        <v>45</v>
      </c>
      <c r="C2155" s="224" t="s">
        <v>86</v>
      </c>
      <c r="D2155" s="224" t="s">
        <v>55</v>
      </c>
      <c r="E2155" s="224" t="s">
        <v>256</v>
      </c>
      <c r="F2155" s="224" t="s">
        <v>10</v>
      </c>
      <c r="G2155" s="223" t="str">
        <f>VLOOKUP($B2155,'FRS geographical categories'!$A$2:$C$45,2,FALSE)</f>
        <v>Significantly Rural</v>
      </c>
      <c r="H2155" s="223" t="str">
        <f>VLOOKUP($B2155,'FRS geographical categories'!$A$2:$C$45,3,FALSE)</f>
        <v>Non-metropolitan</v>
      </c>
      <c r="I2155" s="224">
        <v>0</v>
      </c>
    </row>
    <row r="2156" spans="1:9" ht="15.5" x14ac:dyDescent="0.35">
      <c r="A2156" s="224" t="s">
        <v>56</v>
      </c>
      <c r="B2156" s="224" t="s">
        <v>45</v>
      </c>
      <c r="C2156" s="224" t="s">
        <v>89</v>
      </c>
      <c r="D2156" s="224" t="s">
        <v>9</v>
      </c>
      <c r="E2156" s="224" t="s">
        <v>256</v>
      </c>
      <c r="F2156" s="224" t="s">
        <v>248</v>
      </c>
      <c r="G2156" s="223" t="str">
        <f>VLOOKUP($B2156,'FRS geographical categories'!$A$2:$C$45,2,FALSE)</f>
        <v>Significantly Rural</v>
      </c>
      <c r="H2156" s="223" t="str">
        <f>VLOOKUP($B2156,'FRS geographical categories'!$A$2:$C$45,3,FALSE)</f>
        <v>Non-metropolitan</v>
      </c>
      <c r="I2156" s="224">
        <v>0</v>
      </c>
    </row>
    <row r="2157" spans="1:9" ht="15.5" x14ac:dyDescent="0.35">
      <c r="A2157" s="224" t="s">
        <v>56</v>
      </c>
      <c r="B2157" s="224" t="s">
        <v>45</v>
      </c>
      <c r="C2157" s="224" t="s">
        <v>89</v>
      </c>
      <c r="D2157" s="224" t="s">
        <v>9</v>
      </c>
      <c r="E2157" s="224" t="s">
        <v>256</v>
      </c>
      <c r="F2157" s="224" t="s">
        <v>249</v>
      </c>
      <c r="G2157" s="223" t="str">
        <f>VLOOKUP($B2157,'FRS geographical categories'!$A$2:$C$45,2,FALSE)</f>
        <v>Significantly Rural</v>
      </c>
      <c r="H2157" s="223" t="str">
        <f>VLOOKUP($B2157,'FRS geographical categories'!$A$2:$C$45,3,FALSE)</f>
        <v>Non-metropolitan</v>
      </c>
      <c r="I2157" s="224">
        <v>0</v>
      </c>
    </row>
    <row r="2158" spans="1:9" ht="15.5" x14ac:dyDescent="0.35">
      <c r="A2158" s="224" t="s">
        <v>56</v>
      </c>
      <c r="B2158" s="224" t="s">
        <v>45</v>
      </c>
      <c r="C2158" s="224" t="s">
        <v>89</v>
      </c>
      <c r="D2158" s="224" t="s">
        <v>9</v>
      </c>
      <c r="E2158" s="224" t="s">
        <v>256</v>
      </c>
      <c r="F2158" s="224" t="s">
        <v>250</v>
      </c>
      <c r="G2158" s="223" t="str">
        <f>VLOOKUP($B2158,'FRS geographical categories'!$A$2:$C$45,2,FALSE)</f>
        <v>Significantly Rural</v>
      </c>
      <c r="H2158" s="223" t="str">
        <f>VLOOKUP($B2158,'FRS geographical categories'!$A$2:$C$45,3,FALSE)</f>
        <v>Non-metropolitan</v>
      </c>
      <c r="I2158" s="224">
        <v>0</v>
      </c>
    </row>
    <row r="2159" spans="1:9" ht="15.5" x14ac:dyDescent="0.35">
      <c r="A2159" s="224" t="s">
        <v>56</v>
      </c>
      <c r="B2159" s="224" t="s">
        <v>45</v>
      </c>
      <c r="C2159" s="224" t="s">
        <v>89</v>
      </c>
      <c r="D2159" s="224" t="s">
        <v>9</v>
      </c>
      <c r="E2159" s="224" t="s">
        <v>256</v>
      </c>
      <c r="F2159" s="224" t="s">
        <v>10</v>
      </c>
      <c r="G2159" s="223" t="str">
        <f>VLOOKUP($B2159,'FRS geographical categories'!$A$2:$C$45,2,FALSE)</f>
        <v>Significantly Rural</v>
      </c>
      <c r="H2159" s="223" t="str">
        <f>VLOOKUP($B2159,'FRS geographical categories'!$A$2:$C$45,3,FALSE)</f>
        <v>Non-metropolitan</v>
      </c>
      <c r="I2159" s="224">
        <v>0</v>
      </c>
    </row>
    <row r="2160" spans="1:9" ht="15.5" x14ac:dyDescent="0.35">
      <c r="A2160" s="224" t="s">
        <v>56</v>
      </c>
      <c r="B2160" s="224" t="s">
        <v>45</v>
      </c>
      <c r="C2160" s="224" t="s">
        <v>89</v>
      </c>
      <c r="D2160" s="224" t="s">
        <v>55</v>
      </c>
      <c r="E2160" s="224" t="s">
        <v>256</v>
      </c>
      <c r="F2160" s="224" t="s">
        <v>248</v>
      </c>
      <c r="G2160" s="223" t="str">
        <f>VLOOKUP($B2160,'FRS geographical categories'!$A$2:$C$45,2,FALSE)</f>
        <v>Significantly Rural</v>
      </c>
      <c r="H2160" s="223" t="str">
        <f>VLOOKUP($B2160,'FRS geographical categories'!$A$2:$C$45,3,FALSE)</f>
        <v>Non-metropolitan</v>
      </c>
      <c r="I2160" s="224">
        <v>0</v>
      </c>
    </row>
    <row r="2161" spans="1:9" ht="15.5" x14ac:dyDescent="0.35">
      <c r="A2161" s="224" t="s">
        <v>56</v>
      </c>
      <c r="B2161" s="224" t="s">
        <v>45</v>
      </c>
      <c r="C2161" s="224" t="s">
        <v>89</v>
      </c>
      <c r="D2161" s="224" t="s">
        <v>55</v>
      </c>
      <c r="E2161" s="224" t="s">
        <v>256</v>
      </c>
      <c r="F2161" s="224" t="s">
        <v>249</v>
      </c>
      <c r="G2161" s="223" t="str">
        <f>VLOOKUP($B2161,'FRS geographical categories'!$A$2:$C$45,2,FALSE)</f>
        <v>Significantly Rural</v>
      </c>
      <c r="H2161" s="223" t="str">
        <f>VLOOKUP($B2161,'FRS geographical categories'!$A$2:$C$45,3,FALSE)</f>
        <v>Non-metropolitan</v>
      </c>
      <c r="I2161" s="224">
        <v>0</v>
      </c>
    </row>
    <row r="2162" spans="1:9" ht="15.5" x14ac:dyDescent="0.35">
      <c r="A2162" s="224" t="s">
        <v>56</v>
      </c>
      <c r="B2162" s="224" t="s">
        <v>45</v>
      </c>
      <c r="C2162" s="224" t="s">
        <v>89</v>
      </c>
      <c r="D2162" s="224" t="s">
        <v>55</v>
      </c>
      <c r="E2162" s="224" t="s">
        <v>256</v>
      </c>
      <c r="F2162" s="224" t="s">
        <v>250</v>
      </c>
      <c r="G2162" s="223" t="str">
        <f>VLOOKUP($B2162,'FRS geographical categories'!$A$2:$C$45,2,FALSE)</f>
        <v>Significantly Rural</v>
      </c>
      <c r="H2162" s="223" t="str">
        <f>VLOOKUP($B2162,'FRS geographical categories'!$A$2:$C$45,3,FALSE)</f>
        <v>Non-metropolitan</v>
      </c>
      <c r="I2162" s="224">
        <v>0</v>
      </c>
    </row>
    <row r="2163" spans="1:9" ht="15.5" x14ac:dyDescent="0.35">
      <c r="A2163" s="224" t="s">
        <v>56</v>
      </c>
      <c r="B2163" s="224" t="s">
        <v>45</v>
      </c>
      <c r="C2163" s="224" t="s">
        <v>89</v>
      </c>
      <c r="D2163" s="224" t="s">
        <v>55</v>
      </c>
      <c r="E2163" s="224" t="s">
        <v>256</v>
      </c>
      <c r="F2163" s="224" t="s">
        <v>10</v>
      </c>
      <c r="G2163" s="223" t="str">
        <f>VLOOKUP($B2163,'FRS geographical categories'!$A$2:$C$45,2,FALSE)</f>
        <v>Significantly Rural</v>
      </c>
      <c r="H2163" s="223" t="str">
        <f>VLOOKUP($B2163,'FRS geographical categories'!$A$2:$C$45,3,FALSE)</f>
        <v>Non-metropolitan</v>
      </c>
      <c r="I2163" s="224">
        <v>0</v>
      </c>
    </row>
    <row r="2164" spans="1:9" ht="15.5" x14ac:dyDescent="0.35">
      <c r="A2164" s="224" t="s">
        <v>56</v>
      </c>
      <c r="B2164" s="224" t="s">
        <v>46</v>
      </c>
      <c r="C2164" s="224" t="s">
        <v>86</v>
      </c>
      <c r="D2164" s="224" t="s">
        <v>9</v>
      </c>
      <c r="E2164" s="224" t="s">
        <v>256</v>
      </c>
      <c r="F2164" s="224" t="s">
        <v>248</v>
      </c>
      <c r="G2164" s="223" t="str">
        <f>VLOOKUP($B2164,'FRS geographical categories'!$A$2:$C$45,2,FALSE)</f>
        <v>Predominantly Rural</v>
      </c>
      <c r="H2164" s="223" t="str">
        <f>VLOOKUP($B2164,'FRS geographical categories'!$A$2:$C$45,3,FALSE)</f>
        <v>Non-metropolitan</v>
      </c>
      <c r="I2164" s="224">
        <v>206</v>
      </c>
    </row>
    <row r="2165" spans="1:9" ht="15.5" x14ac:dyDescent="0.35">
      <c r="A2165" s="224" t="s">
        <v>56</v>
      </c>
      <c r="B2165" s="224" t="s">
        <v>46</v>
      </c>
      <c r="C2165" s="224" t="s">
        <v>86</v>
      </c>
      <c r="D2165" s="224" t="s">
        <v>9</v>
      </c>
      <c r="E2165" s="224" t="s">
        <v>256</v>
      </c>
      <c r="F2165" s="224" t="s">
        <v>249</v>
      </c>
      <c r="G2165" s="223" t="str">
        <f>VLOOKUP($B2165,'FRS geographical categories'!$A$2:$C$45,2,FALSE)</f>
        <v>Predominantly Rural</v>
      </c>
      <c r="H2165" s="223" t="str">
        <f>VLOOKUP($B2165,'FRS geographical categories'!$A$2:$C$45,3,FALSE)</f>
        <v>Non-metropolitan</v>
      </c>
      <c r="I2165" s="224">
        <v>1142</v>
      </c>
    </row>
    <row r="2166" spans="1:9" ht="15.5" x14ac:dyDescent="0.35">
      <c r="A2166" s="224" t="s">
        <v>56</v>
      </c>
      <c r="B2166" s="224" t="s">
        <v>46</v>
      </c>
      <c r="C2166" s="224" t="s">
        <v>86</v>
      </c>
      <c r="D2166" s="224" t="s">
        <v>9</v>
      </c>
      <c r="E2166" s="224" t="s">
        <v>256</v>
      </c>
      <c r="F2166" s="224" t="s">
        <v>250</v>
      </c>
      <c r="G2166" s="223" t="str">
        <f>VLOOKUP($B2166,'FRS geographical categories'!$A$2:$C$45,2,FALSE)</f>
        <v>Predominantly Rural</v>
      </c>
      <c r="H2166" s="223" t="str">
        <f>VLOOKUP($B2166,'FRS geographical categories'!$A$2:$C$45,3,FALSE)</f>
        <v>Non-metropolitan</v>
      </c>
      <c r="I2166" s="224">
        <v>524</v>
      </c>
    </row>
    <row r="2167" spans="1:9" ht="15.5" x14ac:dyDescent="0.35">
      <c r="A2167" s="224" t="s">
        <v>56</v>
      </c>
      <c r="B2167" s="224" t="s">
        <v>46</v>
      </c>
      <c r="C2167" s="224" t="s">
        <v>86</v>
      </c>
      <c r="D2167" s="224" t="s">
        <v>9</v>
      </c>
      <c r="E2167" s="224" t="s">
        <v>256</v>
      </c>
      <c r="F2167" s="224" t="s">
        <v>111</v>
      </c>
      <c r="G2167" s="223" t="str">
        <f>VLOOKUP($B2167,'FRS geographical categories'!$A$2:$C$45,2,FALSE)</f>
        <v>Predominantly Rural</v>
      </c>
      <c r="H2167" s="223" t="str">
        <f>VLOOKUP($B2167,'FRS geographical categories'!$A$2:$C$45,3,FALSE)</f>
        <v>Non-metropolitan</v>
      </c>
      <c r="I2167" s="224">
        <v>1872</v>
      </c>
    </row>
    <row r="2168" spans="1:9" ht="15.5" x14ac:dyDescent="0.35">
      <c r="A2168" s="224" t="s">
        <v>56</v>
      </c>
      <c r="B2168" s="224" t="s">
        <v>46</v>
      </c>
      <c r="C2168" s="224" t="s">
        <v>86</v>
      </c>
      <c r="D2168" s="224" t="s">
        <v>9</v>
      </c>
      <c r="E2168" s="224" t="s">
        <v>256</v>
      </c>
      <c r="F2168" s="224" t="s">
        <v>10</v>
      </c>
      <c r="G2168" s="223" t="str">
        <f>VLOOKUP($B2168,'FRS geographical categories'!$A$2:$C$45,2,FALSE)</f>
        <v>Predominantly Rural</v>
      </c>
      <c r="H2168" s="223" t="str">
        <f>VLOOKUP($B2168,'FRS geographical categories'!$A$2:$C$45,3,FALSE)</f>
        <v>Non-metropolitan</v>
      </c>
      <c r="I2168" s="224">
        <v>2774</v>
      </c>
    </row>
    <row r="2169" spans="1:9" ht="15.5" x14ac:dyDescent="0.35">
      <c r="A2169" s="224" t="s">
        <v>56</v>
      </c>
      <c r="B2169" s="224" t="s">
        <v>46</v>
      </c>
      <c r="C2169" s="224" t="s">
        <v>86</v>
      </c>
      <c r="D2169" s="224" t="s">
        <v>55</v>
      </c>
      <c r="E2169" s="224" t="s">
        <v>256</v>
      </c>
      <c r="F2169" s="224" t="s">
        <v>248</v>
      </c>
      <c r="G2169" s="223" t="str">
        <f>VLOOKUP($B2169,'FRS geographical categories'!$A$2:$C$45,2,FALSE)</f>
        <v>Predominantly Rural</v>
      </c>
      <c r="H2169" s="223" t="str">
        <f>VLOOKUP($B2169,'FRS geographical categories'!$A$2:$C$45,3,FALSE)</f>
        <v>Non-metropolitan</v>
      </c>
      <c r="I2169" s="224">
        <v>2</v>
      </c>
    </row>
    <row r="2170" spans="1:9" ht="15.5" x14ac:dyDescent="0.35">
      <c r="A2170" s="224" t="s">
        <v>56</v>
      </c>
      <c r="B2170" s="224" t="s">
        <v>46</v>
      </c>
      <c r="C2170" s="224" t="s">
        <v>86</v>
      </c>
      <c r="D2170" s="224" t="s">
        <v>55</v>
      </c>
      <c r="E2170" s="224" t="s">
        <v>256</v>
      </c>
      <c r="F2170" s="224" t="s">
        <v>249</v>
      </c>
      <c r="G2170" s="223" t="str">
        <f>VLOOKUP($B2170,'FRS geographical categories'!$A$2:$C$45,2,FALSE)</f>
        <v>Predominantly Rural</v>
      </c>
      <c r="H2170" s="223" t="str">
        <f>VLOOKUP($B2170,'FRS geographical categories'!$A$2:$C$45,3,FALSE)</f>
        <v>Non-metropolitan</v>
      </c>
      <c r="I2170" s="224">
        <v>2</v>
      </c>
    </row>
    <row r="2171" spans="1:9" ht="15.5" x14ac:dyDescent="0.35">
      <c r="A2171" s="224" t="s">
        <v>56</v>
      </c>
      <c r="B2171" s="224" t="s">
        <v>46</v>
      </c>
      <c r="C2171" s="224" t="s">
        <v>86</v>
      </c>
      <c r="D2171" s="224" t="s">
        <v>55</v>
      </c>
      <c r="E2171" s="224" t="s">
        <v>256</v>
      </c>
      <c r="F2171" s="224" t="s">
        <v>250</v>
      </c>
      <c r="G2171" s="223" t="str">
        <f>VLOOKUP($B2171,'FRS geographical categories'!$A$2:$C$45,2,FALSE)</f>
        <v>Predominantly Rural</v>
      </c>
      <c r="H2171" s="223" t="str">
        <f>VLOOKUP($B2171,'FRS geographical categories'!$A$2:$C$45,3,FALSE)</f>
        <v>Non-metropolitan</v>
      </c>
      <c r="I2171" s="224">
        <v>1</v>
      </c>
    </row>
    <row r="2172" spans="1:9" ht="15.5" x14ac:dyDescent="0.35">
      <c r="A2172" s="224" t="s">
        <v>56</v>
      </c>
      <c r="B2172" s="224" t="s">
        <v>46</v>
      </c>
      <c r="C2172" s="224" t="s">
        <v>86</v>
      </c>
      <c r="D2172" s="224" t="s">
        <v>55</v>
      </c>
      <c r="E2172" s="224" t="s">
        <v>256</v>
      </c>
      <c r="F2172" s="224" t="s">
        <v>111</v>
      </c>
      <c r="G2172" s="223" t="str">
        <f>VLOOKUP($B2172,'FRS geographical categories'!$A$2:$C$45,2,FALSE)</f>
        <v>Predominantly Rural</v>
      </c>
      <c r="H2172" s="223" t="str">
        <f>VLOOKUP($B2172,'FRS geographical categories'!$A$2:$C$45,3,FALSE)</f>
        <v>Non-metropolitan</v>
      </c>
      <c r="I2172" s="224">
        <v>3</v>
      </c>
    </row>
    <row r="2173" spans="1:9" ht="15.5" x14ac:dyDescent="0.35">
      <c r="A2173" s="224" t="s">
        <v>56</v>
      </c>
      <c r="B2173" s="224" t="s">
        <v>46</v>
      </c>
      <c r="C2173" s="224" t="s">
        <v>86</v>
      </c>
      <c r="D2173" s="224" t="s">
        <v>55</v>
      </c>
      <c r="E2173" s="224" t="s">
        <v>256</v>
      </c>
      <c r="F2173" s="224" t="s">
        <v>10</v>
      </c>
      <c r="G2173" s="223" t="str">
        <f>VLOOKUP($B2173,'FRS geographical categories'!$A$2:$C$45,2,FALSE)</f>
        <v>Predominantly Rural</v>
      </c>
      <c r="H2173" s="223" t="str">
        <f>VLOOKUP($B2173,'FRS geographical categories'!$A$2:$C$45,3,FALSE)</f>
        <v>Non-metropolitan</v>
      </c>
      <c r="I2173" s="224">
        <v>17</v>
      </c>
    </row>
    <row r="2174" spans="1:9" ht="15.5" x14ac:dyDescent="0.35">
      <c r="A2174" s="224" t="s">
        <v>56</v>
      </c>
      <c r="B2174" s="224" t="s">
        <v>46</v>
      </c>
      <c r="C2174" s="224" t="s">
        <v>89</v>
      </c>
      <c r="D2174" s="224" t="s">
        <v>9</v>
      </c>
      <c r="E2174" s="224" t="s">
        <v>256</v>
      </c>
      <c r="F2174" s="224" t="s">
        <v>248</v>
      </c>
      <c r="G2174" s="223" t="str">
        <f>VLOOKUP($B2174,'FRS geographical categories'!$A$2:$C$45,2,FALSE)</f>
        <v>Predominantly Rural</v>
      </c>
      <c r="H2174" s="223" t="str">
        <f>VLOOKUP($B2174,'FRS geographical categories'!$A$2:$C$45,3,FALSE)</f>
        <v>Non-metropolitan</v>
      </c>
      <c r="I2174" s="224">
        <v>0</v>
      </c>
    </row>
    <row r="2175" spans="1:9" ht="15.5" x14ac:dyDescent="0.35">
      <c r="A2175" s="224" t="s">
        <v>56</v>
      </c>
      <c r="B2175" s="224" t="s">
        <v>46</v>
      </c>
      <c r="C2175" s="224" t="s">
        <v>89</v>
      </c>
      <c r="D2175" s="224" t="s">
        <v>9</v>
      </c>
      <c r="E2175" s="224" t="s">
        <v>256</v>
      </c>
      <c r="F2175" s="224" t="s">
        <v>249</v>
      </c>
      <c r="G2175" s="223" t="str">
        <f>VLOOKUP($B2175,'FRS geographical categories'!$A$2:$C$45,2,FALSE)</f>
        <v>Predominantly Rural</v>
      </c>
      <c r="H2175" s="223" t="str">
        <f>VLOOKUP($B2175,'FRS geographical categories'!$A$2:$C$45,3,FALSE)</f>
        <v>Non-metropolitan</v>
      </c>
      <c r="I2175" s="224">
        <v>0</v>
      </c>
    </row>
    <row r="2176" spans="1:9" ht="15.5" x14ac:dyDescent="0.35">
      <c r="A2176" s="224" t="s">
        <v>56</v>
      </c>
      <c r="B2176" s="224" t="s">
        <v>46</v>
      </c>
      <c r="C2176" s="224" t="s">
        <v>89</v>
      </c>
      <c r="D2176" s="224" t="s">
        <v>9</v>
      </c>
      <c r="E2176" s="224" t="s">
        <v>256</v>
      </c>
      <c r="F2176" s="224" t="s">
        <v>250</v>
      </c>
      <c r="G2176" s="223" t="str">
        <f>VLOOKUP($B2176,'FRS geographical categories'!$A$2:$C$45,2,FALSE)</f>
        <v>Predominantly Rural</v>
      </c>
      <c r="H2176" s="223" t="str">
        <f>VLOOKUP($B2176,'FRS geographical categories'!$A$2:$C$45,3,FALSE)</f>
        <v>Non-metropolitan</v>
      </c>
      <c r="I2176" s="224">
        <v>0</v>
      </c>
    </row>
    <row r="2177" spans="1:9" ht="15.5" x14ac:dyDescent="0.35">
      <c r="A2177" s="224" t="s">
        <v>56</v>
      </c>
      <c r="B2177" s="224" t="s">
        <v>46</v>
      </c>
      <c r="C2177" s="224" t="s">
        <v>89</v>
      </c>
      <c r="D2177" s="224" t="s">
        <v>9</v>
      </c>
      <c r="E2177" s="224" t="s">
        <v>256</v>
      </c>
      <c r="F2177" s="224" t="s">
        <v>10</v>
      </c>
      <c r="G2177" s="223" t="str">
        <f>VLOOKUP($B2177,'FRS geographical categories'!$A$2:$C$45,2,FALSE)</f>
        <v>Predominantly Rural</v>
      </c>
      <c r="H2177" s="223" t="str">
        <f>VLOOKUP($B2177,'FRS geographical categories'!$A$2:$C$45,3,FALSE)</f>
        <v>Non-metropolitan</v>
      </c>
      <c r="I2177" s="224">
        <v>0</v>
      </c>
    </row>
    <row r="2178" spans="1:9" ht="15.5" x14ac:dyDescent="0.35">
      <c r="A2178" s="224" t="s">
        <v>56</v>
      </c>
      <c r="B2178" s="224" t="s">
        <v>46</v>
      </c>
      <c r="C2178" s="224" t="s">
        <v>89</v>
      </c>
      <c r="D2178" s="224" t="s">
        <v>55</v>
      </c>
      <c r="E2178" s="224" t="s">
        <v>256</v>
      </c>
      <c r="F2178" s="224" t="s">
        <v>248</v>
      </c>
      <c r="G2178" s="223" t="str">
        <f>VLOOKUP($B2178,'FRS geographical categories'!$A$2:$C$45,2,FALSE)</f>
        <v>Predominantly Rural</v>
      </c>
      <c r="H2178" s="223" t="str">
        <f>VLOOKUP($B2178,'FRS geographical categories'!$A$2:$C$45,3,FALSE)</f>
        <v>Non-metropolitan</v>
      </c>
      <c r="I2178" s="224">
        <v>0</v>
      </c>
    </row>
    <row r="2179" spans="1:9" ht="15.5" x14ac:dyDescent="0.35">
      <c r="A2179" s="224" t="s">
        <v>56</v>
      </c>
      <c r="B2179" s="224" t="s">
        <v>46</v>
      </c>
      <c r="C2179" s="224" t="s">
        <v>89</v>
      </c>
      <c r="D2179" s="224" t="s">
        <v>55</v>
      </c>
      <c r="E2179" s="224" t="s">
        <v>256</v>
      </c>
      <c r="F2179" s="224" t="s">
        <v>249</v>
      </c>
      <c r="G2179" s="223" t="str">
        <f>VLOOKUP($B2179,'FRS geographical categories'!$A$2:$C$45,2,FALSE)</f>
        <v>Predominantly Rural</v>
      </c>
      <c r="H2179" s="223" t="str">
        <f>VLOOKUP($B2179,'FRS geographical categories'!$A$2:$C$45,3,FALSE)</f>
        <v>Non-metropolitan</v>
      </c>
      <c r="I2179" s="224">
        <v>0</v>
      </c>
    </row>
    <row r="2180" spans="1:9" ht="15.5" x14ac:dyDescent="0.35">
      <c r="A2180" s="224" t="s">
        <v>56</v>
      </c>
      <c r="B2180" s="224" t="s">
        <v>46</v>
      </c>
      <c r="C2180" s="224" t="s">
        <v>89</v>
      </c>
      <c r="D2180" s="224" t="s">
        <v>55</v>
      </c>
      <c r="E2180" s="224" t="s">
        <v>256</v>
      </c>
      <c r="F2180" s="224" t="s">
        <v>250</v>
      </c>
      <c r="G2180" s="223" t="str">
        <f>VLOOKUP($B2180,'FRS geographical categories'!$A$2:$C$45,2,FALSE)</f>
        <v>Predominantly Rural</v>
      </c>
      <c r="H2180" s="223" t="str">
        <f>VLOOKUP($B2180,'FRS geographical categories'!$A$2:$C$45,3,FALSE)</f>
        <v>Non-metropolitan</v>
      </c>
      <c r="I2180" s="224">
        <v>0</v>
      </c>
    </row>
    <row r="2181" spans="1:9" ht="15.5" x14ac:dyDescent="0.35">
      <c r="A2181" s="224" t="s">
        <v>56</v>
      </c>
      <c r="B2181" s="224" t="s">
        <v>46</v>
      </c>
      <c r="C2181" s="224" t="s">
        <v>89</v>
      </c>
      <c r="D2181" s="224" t="s">
        <v>55</v>
      </c>
      <c r="E2181" s="224" t="s">
        <v>256</v>
      </c>
      <c r="F2181" s="224" t="s">
        <v>10</v>
      </c>
      <c r="G2181" s="223" t="str">
        <f>VLOOKUP($B2181,'FRS geographical categories'!$A$2:$C$45,2,FALSE)</f>
        <v>Predominantly Rural</v>
      </c>
      <c r="H2181" s="223" t="str">
        <f>VLOOKUP($B2181,'FRS geographical categories'!$A$2:$C$45,3,FALSE)</f>
        <v>Non-metropolitan</v>
      </c>
      <c r="I2181" s="224">
        <v>0</v>
      </c>
    </row>
    <row r="2182" spans="1:9" ht="15.5" x14ac:dyDescent="0.35">
      <c r="A2182" s="224" t="s">
        <v>56</v>
      </c>
      <c r="B2182" s="224" t="s">
        <v>47</v>
      </c>
      <c r="C2182" s="224" t="s">
        <v>86</v>
      </c>
      <c r="D2182" s="224" t="s">
        <v>9</v>
      </c>
      <c r="E2182" s="224" t="s">
        <v>256</v>
      </c>
      <c r="F2182" s="224" t="s">
        <v>248</v>
      </c>
      <c r="G2182" s="223" t="str">
        <f>VLOOKUP($B2182,'FRS geographical categories'!$A$2:$C$45,2,FALSE)</f>
        <v>Predominantly Urban</v>
      </c>
      <c r="H2182" s="223" t="str">
        <f>VLOOKUP($B2182,'FRS geographical categories'!$A$2:$C$45,3,FALSE)</f>
        <v>Non-metropolitan</v>
      </c>
      <c r="I2182" s="224">
        <v>363</v>
      </c>
    </row>
    <row r="2183" spans="1:9" ht="15.5" x14ac:dyDescent="0.35">
      <c r="A2183" s="224" t="s">
        <v>56</v>
      </c>
      <c r="B2183" s="224" t="s">
        <v>47</v>
      </c>
      <c r="C2183" s="224" t="s">
        <v>86</v>
      </c>
      <c r="D2183" s="224" t="s">
        <v>9</v>
      </c>
      <c r="E2183" s="224" t="s">
        <v>256</v>
      </c>
      <c r="F2183" s="224" t="s">
        <v>249</v>
      </c>
      <c r="G2183" s="223" t="str">
        <f>VLOOKUP($B2183,'FRS geographical categories'!$A$2:$C$45,2,FALSE)</f>
        <v>Predominantly Urban</v>
      </c>
      <c r="H2183" s="223" t="str">
        <f>VLOOKUP($B2183,'FRS geographical categories'!$A$2:$C$45,3,FALSE)</f>
        <v>Non-metropolitan</v>
      </c>
      <c r="I2183" s="224">
        <v>1669</v>
      </c>
    </row>
    <row r="2184" spans="1:9" ht="15.5" x14ac:dyDescent="0.35">
      <c r="A2184" s="224" t="s">
        <v>56</v>
      </c>
      <c r="B2184" s="224" t="s">
        <v>47</v>
      </c>
      <c r="C2184" s="224" t="s">
        <v>86</v>
      </c>
      <c r="D2184" s="224" t="s">
        <v>9</v>
      </c>
      <c r="E2184" s="224" t="s">
        <v>256</v>
      </c>
      <c r="F2184" s="224" t="s">
        <v>250</v>
      </c>
      <c r="G2184" s="223" t="str">
        <f>VLOOKUP($B2184,'FRS geographical categories'!$A$2:$C$45,2,FALSE)</f>
        <v>Predominantly Urban</v>
      </c>
      <c r="H2184" s="223" t="str">
        <f>VLOOKUP($B2184,'FRS geographical categories'!$A$2:$C$45,3,FALSE)</f>
        <v>Non-metropolitan</v>
      </c>
      <c r="I2184" s="224">
        <v>893</v>
      </c>
    </row>
    <row r="2185" spans="1:9" ht="15.5" x14ac:dyDescent="0.35">
      <c r="A2185" s="224" t="s">
        <v>56</v>
      </c>
      <c r="B2185" s="224" t="s">
        <v>47</v>
      </c>
      <c r="C2185" s="224" t="s">
        <v>86</v>
      </c>
      <c r="D2185" s="224" t="s">
        <v>9</v>
      </c>
      <c r="E2185" s="224" t="s">
        <v>256</v>
      </c>
      <c r="F2185" s="224" t="s">
        <v>111</v>
      </c>
      <c r="G2185" s="223" t="str">
        <f>VLOOKUP($B2185,'FRS geographical categories'!$A$2:$C$45,2,FALSE)</f>
        <v>Predominantly Urban</v>
      </c>
      <c r="H2185" s="223" t="str">
        <f>VLOOKUP($B2185,'FRS geographical categories'!$A$2:$C$45,3,FALSE)</f>
        <v>Non-metropolitan</v>
      </c>
      <c r="I2185" s="224">
        <v>3614</v>
      </c>
    </row>
    <row r="2186" spans="1:9" ht="15.5" x14ac:dyDescent="0.35">
      <c r="A2186" s="224" t="s">
        <v>56</v>
      </c>
      <c r="B2186" s="224" t="s">
        <v>47</v>
      </c>
      <c r="C2186" s="224" t="s">
        <v>86</v>
      </c>
      <c r="D2186" s="224" t="s">
        <v>9</v>
      </c>
      <c r="E2186" s="224" t="s">
        <v>256</v>
      </c>
      <c r="F2186" s="224" t="s">
        <v>10</v>
      </c>
      <c r="G2186" s="223" t="str">
        <f>VLOOKUP($B2186,'FRS geographical categories'!$A$2:$C$45,2,FALSE)</f>
        <v>Predominantly Urban</v>
      </c>
      <c r="H2186" s="223" t="str">
        <f>VLOOKUP($B2186,'FRS geographical categories'!$A$2:$C$45,3,FALSE)</f>
        <v>Non-metropolitan</v>
      </c>
      <c r="I2186" s="224">
        <v>3981</v>
      </c>
    </row>
    <row r="2187" spans="1:9" ht="15.5" x14ac:dyDescent="0.35">
      <c r="A2187" s="224" t="s">
        <v>56</v>
      </c>
      <c r="B2187" s="224" t="s">
        <v>47</v>
      </c>
      <c r="C2187" s="224" t="s">
        <v>86</v>
      </c>
      <c r="D2187" s="224" t="s">
        <v>55</v>
      </c>
      <c r="E2187" s="224" t="s">
        <v>256</v>
      </c>
      <c r="F2187" s="224" t="s">
        <v>248</v>
      </c>
      <c r="G2187" s="223" t="str">
        <f>VLOOKUP($B2187,'FRS geographical categories'!$A$2:$C$45,2,FALSE)</f>
        <v>Predominantly Urban</v>
      </c>
      <c r="H2187" s="223" t="str">
        <f>VLOOKUP($B2187,'FRS geographical categories'!$A$2:$C$45,3,FALSE)</f>
        <v>Non-metropolitan</v>
      </c>
      <c r="I2187" s="224">
        <v>0</v>
      </c>
    </row>
    <row r="2188" spans="1:9" ht="15.5" x14ac:dyDescent="0.35">
      <c r="A2188" s="224" t="s">
        <v>56</v>
      </c>
      <c r="B2188" s="224" t="s">
        <v>47</v>
      </c>
      <c r="C2188" s="224" t="s">
        <v>86</v>
      </c>
      <c r="D2188" s="224" t="s">
        <v>55</v>
      </c>
      <c r="E2188" s="224" t="s">
        <v>256</v>
      </c>
      <c r="F2188" s="224" t="s">
        <v>249</v>
      </c>
      <c r="G2188" s="223" t="str">
        <f>VLOOKUP($B2188,'FRS geographical categories'!$A$2:$C$45,2,FALSE)</f>
        <v>Predominantly Urban</v>
      </c>
      <c r="H2188" s="223" t="str">
        <f>VLOOKUP($B2188,'FRS geographical categories'!$A$2:$C$45,3,FALSE)</f>
        <v>Non-metropolitan</v>
      </c>
      <c r="I2188" s="224">
        <v>3</v>
      </c>
    </row>
    <row r="2189" spans="1:9" ht="15.5" x14ac:dyDescent="0.35">
      <c r="A2189" s="224" t="s">
        <v>56</v>
      </c>
      <c r="B2189" s="224" t="s">
        <v>47</v>
      </c>
      <c r="C2189" s="224" t="s">
        <v>86</v>
      </c>
      <c r="D2189" s="224" t="s">
        <v>55</v>
      </c>
      <c r="E2189" s="224" t="s">
        <v>256</v>
      </c>
      <c r="F2189" s="224" t="s">
        <v>250</v>
      </c>
      <c r="G2189" s="223" t="str">
        <f>VLOOKUP($B2189,'FRS geographical categories'!$A$2:$C$45,2,FALSE)</f>
        <v>Predominantly Urban</v>
      </c>
      <c r="H2189" s="223" t="str">
        <f>VLOOKUP($B2189,'FRS geographical categories'!$A$2:$C$45,3,FALSE)</f>
        <v>Non-metropolitan</v>
      </c>
      <c r="I2189" s="224">
        <v>5</v>
      </c>
    </row>
    <row r="2190" spans="1:9" ht="15.5" x14ac:dyDescent="0.35">
      <c r="A2190" s="224" t="s">
        <v>56</v>
      </c>
      <c r="B2190" s="224" t="s">
        <v>47</v>
      </c>
      <c r="C2190" s="224" t="s">
        <v>86</v>
      </c>
      <c r="D2190" s="224" t="s">
        <v>55</v>
      </c>
      <c r="E2190" s="224" t="s">
        <v>256</v>
      </c>
      <c r="F2190" s="224" t="s">
        <v>111</v>
      </c>
      <c r="G2190" s="223" t="str">
        <f>VLOOKUP($B2190,'FRS geographical categories'!$A$2:$C$45,2,FALSE)</f>
        <v>Predominantly Urban</v>
      </c>
      <c r="H2190" s="223" t="str">
        <f>VLOOKUP($B2190,'FRS geographical categories'!$A$2:$C$45,3,FALSE)</f>
        <v>Non-metropolitan</v>
      </c>
      <c r="I2190" s="224">
        <v>18</v>
      </c>
    </row>
    <row r="2191" spans="1:9" ht="15.5" x14ac:dyDescent="0.35">
      <c r="A2191" s="224" t="s">
        <v>56</v>
      </c>
      <c r="B2191" s="224" t="s">
        <v>47</v>
      </c>
      <c r="C2191" s="224" t="s">
        <v>86</v>
      </c>
      <c r="D2191" s="224" t="s">
        <v>55</v>
      </c>
      <c r="E2191" s="224" t="s">
        <v>256</v>
      </c>
      <c r="F2191" s="224" t="s">
        <v>10</v>
      </c>
      <c r="G2191" s="223" t="str">
        <f>VLOOKUP($B2191,'FRS geographical categories'!$A$2:$C$45,2,FALSE)</f>
        <v>Predominantly Urban</v>
      </c>
      <c r="H2191" s="223" t="str">
        <f>VLOOKUP($B2191,'FRS geographical categories'!$A$2:$C$45,3,FALSE)</f>
        <v>Non-metropolitan</v>
      </c>
      <c r="I2191" s="224">
        <v>18</v>
      </c>
    </row>
    <row r="2192" spans="1:9" ht="15.5" x14ac:dyDescent="0.35">
      <c r="A2192" s="224" t="s">
        <v>56</v>
      </c>
      <c r="B2192" s="224" t="s">
        <v>47</v>
      </c>
      <c r="C2192" s="224" t="s">
        <v>89</v>
      </c>
      <c r="D2192" s="224" t="s">
        <v>9</v>
      </c>
      <c r="E2192" s="224" t="s">
        <v>256</v>
      </c>
      <c r="F2192" s="224" t="s">
        <v>248</v>
      </c>
      <c r="G2192" s="223" t="str">
        <f>VLOOKUP($B2192,'FRS geographical categories'!$A$2:$C$45,2,FALSE)</f>
        <v>Predominantly Urban</v>
      </c>
      <c r="H2192" s="223" t="str">
        <f>VLOOKUP($B2192,'FRS geographical categories'!$A$2:$C$45,3,FALSE)</f>
        <v>Non-metropolitan</v>
      </c>
      <c r="I2192" s="224">
        <v>0</v>
      </c>
    </row>
    <row r="2193" spans="1:9" ht="15.5" x14ac:dyDescent="0.35">
      <c r="A2193" s="224" t="s">
        <v>56</v>
      </c>
      <c r="B2193" s="224" t="s">
        <v>47</v>
      </c>
      <c r="C2193" s="224" t="s">
        <v>89</v>
      </c>
      <c r="D2193" s="224" t="s">
        <v>9</v>
      </c>
      <c r="E2193" s="224" t="s">
        <v>256</v>
      </c>
      <c r="F2193" s="224" t="s">
        <v>249</v>
      </c>
      <c r="G2193" s="223" t="str">
        <f>VLOOKUP($B2193,'FRS geographical categories'!$A$2:$C$45,2,FALSE)</f>
        <v>Predominantly Urban</v>
      </c>
      <c r="H2193" s="223" t="str">
        <f>VLOOKUP($B2193,'FRS geographical categories'!$A$2:$C$45,3,FALSE)</f>
        <v>Non-metropolitan</v>
      </c>
      <c r="I2193" s="224">
        <v>0</v>
      </c>
    </row>
    <row r="2194" spans="1:9" ht="15.5" x14ac:dyDescent="0.35">
      <c r="A2194" s="224" t="s">
        <v>56</v>
      </c>
      <c r="B2194" s="224" t="s">
        <v>47</v>
      </c>
      <c r="C2194" s="224" t="s">
        <v>89</v>
      </c>
      <c r="D2194" s="224" t="s">
        <v>9</v>
      </c>
      <c r="E2194" s="224" t="s">
        <v>256</v>
      </c>
      <c r="F2194" s="224" t="s">
        <v>250</v>
      </c>
      <c r="G2194" s="223" t="str">
        <f>VLOOKUP($B2194,'FRS geographical categories'!$A$2:$C$45,2,FALSE)</f>
        <v>Predominantly Urban</v>
      </c>
      <c r="H2194" s="223" t="str">
        <f>VLOOKUP($B2194,'FRS geographical categories'!$A$2:$C$45,3,FALSE)</f>
        <v>Non-metropolitan</v>
      </c>
      <c r="I2194" s="224">
        <v>0</v>
      </c>
    </row>
    <row r="2195" spans="1:9" ht="15.5" x14ac:dyDescent="0.35">
      <c r="A2195" s="224" t="s">
        <v>56</v>
      </c>
      <c r="B2195" s="224" t="s">
        <v>47</v>
      </c>
      <c r="C2195" s="224" t="s">
        <v>89</v>
      </c>
      <c r="D2195" s="224" t="s">
        <v>9</v>
      </c>
      <c r="E2195" s="224" t="s">
        <v>256</v>
      </c>
      <c r="F2195" s="224" t="s">
        <v>10</v>
      </c>
      <c r="G2195" s="223" t="str">
        <f>VLOOKUP($B2195,'FRS geographical categories'!$A$2:$C$45,2,FALSE)</f>
        <v>Predominantly Urban</v>
      </c>
      <c r="H2195" s="223" t="str">
        <f>VLOOKUP($B2195,'FRS geographical categories'!$A$2:$C$45,3,FALSE)</f>
        <v>Non-metropolitan</v>
      </c>
      <c r="I2195" s="224">
        <v>0</v>
      </c>
    </row>
    <row r="2196" spans="1:9" ht="15.5" x14ac:dyDescent="0.35">
      <c r="A2196" s="224" t="s">
        <v>56</v>
      </c>
      <c r="B2196" s="224" t="s">
        <v>47</v>
      </c>
      <c r="C2196" s="224" t="s">
        <v>89</v>
      </c>
      <c r="D2196" s="224" t="s">
        <v>55</v>
      </c>
      <c r="E2196" s="224" t="s">
        <v>256</v>
      </c>
      <c r="F2196" s="224" t="s">
        <v>248</v>
      </c>
      <c r="G2196" s="223" t="str">
        <f>VLOOKUP($B2196,'FRS geographical categories'!$A$2:$C$45,2,FALSE)</f>
        <v>Predominantly Urban</v>
      </c>
      <c r="H2196" s="223" t="str">
        <f>VLOOKUP($B2196,'FRS geographical categories'!$A$2:$C$45,3,FALSE)</f>
        <v>Non-metropolitan</v>
      </c>
      <c r="I2196" s="224">
        <v>0</v>
      </c>
    </row>
    <row r="2197" spans="1:9" ht="15.5" x14ac:dyDescent="0.35">
      <c r="A2197" s="224" t="s">
        <v>56</v>
      </c>
      <c r="B2197" s="224" t="s">
        <v>47</v>
      </c>
      <c r="C2197" s="224" t="s">
        <v>89</v>
      </c>
      <c r="D2197" s="224" t="s">
        <v>55</v>
      </c>
      <c r="E2197" s="224" t="s">
        <v>256</v>
      </c>
      <c r="F2197" s="224" t="s">
        <v>249</v>
      </c>
      <c r="G2197" s="223" t="str">
        <f>VLOOKUP($B2197,'FRS geographical categories'!$A$2:$C$45,2,FALSE)</f>
        <v>Predominantly Urban</v>
      </c>
      <c r="H2197" s="223" t="str">
        <f>VLOOKUP($B2197,'FRS geographical categories'!$A$2:$C$45,3,FALSE)</f>
        <v>Non-metropolitan</v>
      </c>
      <c r="I2197" s="224">
        <v>0</v>
      </c>
    </row>
    <row r="2198" spans="1:9" ht="15.5" x14ac:dyDescent="0.35">
      <c r="A2198" s="224" t="s">
        <v>56</v>
      </c>
      <c r="B2198" s="224" t="s">
        <v>47</v>
      </c>
      <c r="C2198" s="224" t="s">
        <v>89</v>
      </c>
      <c r="D2198" s="224" t="s">
        <v>55</v>
      </c>
      <c r="E2198" s="224" t="s">
        <v>256</v>
      </c>
      <c r="F2198" s="224" t="s">
        <v>250</v>
      </c>
      <c r="G2198" s="223" t="str">
        <f>VLOOKUP($B2198,'FRS geographical categories'!$A$2:$C$45,2,FALSE)</f>
        <v>Predominantly Urban</v>
      </c>
      <c r="H2198" s="223" t="str">
        <f>VLOOKUP($B2198,'FRS geographical categories'!$A$2:$C$45,3,FALSE)</f>
        <v>Non-metropolitan</v>
      </c>
      <c r="I2198" s="224">
        <v>0</v>
      </c>
    </row>
    <row r="2199" spans="1:9" ht="15.5" x14ac:dyDescent="0.35">
      <c r="A2199" s="224" t="s">
        <v>56</v>
      </c>
      <c r="B2199" s="224" t="s">
        <v>47</v>
      </c>
      <c r="C2199" s="224" t="s">
        <v>89</v>
      </c>
      <c r="D2199" s="224" t="s">
        <v>55</v>
      </c>
      <c r="E2199" s="224" t="s">
        <v>256</v>
      </c>
      <c r="F2199" s="224" t="s">
        <v>10</v>
      </c>
      <c r="G2199" s="223" t="str">
        <f>VLOOKUP($B2199,'FRS geographical categories'!$A$2:$C$45,2,FALSE)</f>
        <v>Predominantly Urban</v>
      </c>
      <c r="H2199" s="223" t="str">
        <f>VLOOKUP($B2199,'FRS geographical categories'!$A$2:$C$45,3,FALSE)</f>
        <v>Non-metropolitan</v>
      </c>
      <c r="I2199" s="224">
        <v>0</v>
      </c>
    </row>
    <row r="2200" spans="1:9" ht="15.5" x14ac:dyDescent="0.35">
      <c r="A2200" s="224" t="s">
        <v>56</v>
      </c>
      <c r="B2200" s="224" t="s">
        <v>48</v>
      </c>
      <c r="C2200" s="224" t="s">
        <v>86</v>
      </c>
      <c r="D2200" s="224" t="s">
        <v>9</v>
      </c>
      <c r="E2200" s="224" t="s">
        <v>256</v>
      </c>
      <c r="F2200" s="224" t="s">
        <v>248</v>
      </c>
      <c r="G2200" s="223" t="str">
        <f>VLOOKUP($B2200,'FRS geographical categories'!$A$2:$C$45,2,FALSE)</f>
        <v>Predominantly Urban</v>
      </c>
      <c r="H2200" s="223" t="str">
        <f>VLOOKUP($B2200,'FRS geographical categories'!$A$2:$C$45,3,FALSE)</f>
        <v>Metropolitan</v>
      </c>
      <c r="I2200" s="224">
        <v>879</v>
      </c>
    </row>
    <row r="2201" spans="1:9" ht="15.5" x14ac:dyDescent="0.35">
      <c r="A2201" s="224" t="s">
        <v>56</v>
      </c>
      <c r="B2201" s="224" t="s">
        <v>48</v>
      </c>
      <c r="C2201" s="224" t="s">
        <v>86</v>
      </c>
      <c r="D2201" s="224" t="s">
        <v>9</v>
      </c>
      <c r="E2201" s="224" t="s">
        <v>256</v>
      </c>
      <c r="F2201" s="224" t="s">
        <v>249</v>
      </c>
      <c r="G2201" s="223" t="str">
        <f>VLOOKUP($B2201,'FRS geographical categories'!$A$2:$C$45,2,FALSE)</f>
        <v>Predominantly Urban</v>
      </c>
      <c r="H2201" s="223" t="str">
        <f>VLOOKUP($B2201,'FRS geographical categories'!$A$2:$C$45,3,FALSE)</f>
        <v>Metropolitan</v>
      </c>
      <c r="I2201" s="224">
        <v>1856</v>
      </c>
    </row>
    <row r="2202" spans="1:9" ht="15.5" x14ac:dyDescent="0.35">
      <c r="A2202" s="224" t="s">
        <v>56</v>
      </c>
      <c r="B2202" s="224" t="s">
        <v>48</v>
      </c>
      <c r="C2202" s="224" t="s">
        <v>86</v>
      </c>
      <c r="D2202" s="224" t="s">
        <v>9</v>
      </c>
      <c r="E2202" s="224" t="s">
        <v>256</v>
      </c>
      <c r="F2202" s="224" t="s">
        <v>250</v>
      </c>
      <c r="G2202" s="223" t="str">
        <f>VLOOKUP($B2202,'FRS geographical categories'!$A$2:$C$45,2,FALSE)</f>
        <v>Predominantly Urban</v>
      </c>
      <c r="H2202" s="223" t="str">
        <f>VLOOKUP($B2202,'FRS geographical categories'!$A$2:$C$45,3,FALSE)</f>
        <v>Metropolitan</v>
      </c>
      <c r="I2202" s="224">
        <v>2894</v>
      </c>
    </row>
    <row r="2203" spans="1:9" ht="15.5" x14ac:dyDescent="0.35">
      <c r="A2203" s="224" t="s">
        <v>56</v>
      </c>
      <c r="B2203" s="224" t="s">
        <v>48</v>
      </c>
      <c r="C2203" s="224" t="s">
        <v>86</v>
      </c>
      <c r="D2203" s="224" t="s">
        <v>9</v>
      </c>
      <c r="E2203" s="224" t="s">
        <v>256</v>
      </c>
      <c r="F2203" s="224" t="s">
        <v>111</v>
      </c>
      <c r="G2203" s="223" t="str">
        <f>VLOOKUP($B2203,'FRS geographical categories'!$A$2:$C$45,2,FALSE)</f>
        <v>Predominantly Urban</v>
      </c>
      <c r="H2203" s="223" t="str">
        <f>VLOOKUP($B2203,'FRS geographical categories'!$A$2:$C$45,3,FALSE)</f>
        <v>Metropolitan</v>
      </c>
      <c r="I2203" s="224">
        <v>10534</v>
      </c>
    </row>
    <row r="2204" spans="1:9" ht="15.5" x14ac:dyDescent="0.35">
      <c r="A2204" s="224" t="s">
        <v>56</v>
      </c>
      <c r="B2204" s="224" t="s">
        <v>48</v>
      </c>
      <c r="C2204" s="224" t="s">
        <v>86</v>
      </c>
      <c r="D2204" s="224" t="s">
        <v>9</v>
      </c>
      <c r="E2204" s="224" t="s">
        <v>256</v>
      </c>
      <c r="F2204" s="224" t="s">
        <v>10</v>
      </c>
      <c r="G2204" s="223" t="str">
        <f>VLOOKUP($B2204,'FRS geographical categories'!$A$2:$C$45,2,FALSE)</f>
        <v>Predominantly Urban</v>
      </c>
      <c r="H2204" s="223" t="str">
        <f>VLOOKUP($B2204,'FRS geographical categories'!$A$2:$C$45,3,FALSE)</f>
        <v>Metropolitan</v>
      </c>
      <c r="I2204" s="224">
        <v>11524</v>
      </c>
    </row>
    <row r="2205" spans="1:9" ht="15.5" x14ac:dyDescent="0.35">
      <c r="A2205" s="224" t="s">
        <v>56</v>
      </c>
      <c r="B2205" s="224" t="s">
        <v>48</v>
      </c>
      <c r="C2205" s="224" t="s">
        <v>86</v>
      </c>
      <c r="D2205" s="224" t="s">
        <v>55</v>
      </c>
      <c r="E2205" s="224" t="s">
        <v>256</v>
      </c>
      <c r="F2205" s="224" t="s">
        <v>248</v>
      </c>
      <c r="G2205" s="223" t="str">
        <f>VLOOKUP($B2205,'FRS geographical categories'!$A$2:$C$45,2,FALSE)</f>
        <v>Predominantly Urban</v>
      </c>
      <c r="H2205" s="223" t="str">
        <f>VLOOKUP($B2205,'FRS geographical categories'!$A$2:$C$45,3,FALSE)</f>
        <v>Metropolitan</v>
      </c>
      <c r="I2205" s="224">
        <v>37</v>
      </c>
    </row>
    <row r="2206" spans="1:9" ht="15.5" x14ac:dyDescent="0.35">
      <c r="A2206" s="224" t="s">
        <v>56</v>
      </c>
      <c r="B2206" s="224" t="s">
        <v>48</v>
      </c>
      <c r="C2206" s="224" t="s">
        <v>86</v>
      </c>
      <c r="D2206" s="224" t="s">
        <v>55</v>
      </c>
      <c r="E2206" s="224" t="s">
        <v>256</v>
      </c>
      <c r="F2206" s="224" t="s">
        <v>249</v>
      </c>
      <c r="G2206" s="223" t="str">
        <f>VLOOKUP($B2206,'FRS geographical categories'!$A$2:$C$45,2,FALSE)</f>
        <v>Predominantly Urban</v>
      </c>
      <c r="H2206" s="223" t="str">
        <f>VLOOKUP($B2206,'FRS geographical categories'!$A$2:$C$45,3,FALSE)</f>
        <v>Metropolitan</v>
      </c>
      <c r="I2206" s="224">
        <v>59</v>
      </c>
    </row>
    <row r="2207" spans="1:9" ht="15.5" x14ac:dyDescent="0.35">
      <c r="A2207" s="224" t="s">
        <v>56</v>
      </c>
      <c r="B2207" s="224" t="s">
        <v>48</v>
      </c>
      <c r="C2207" s="224" t="s">
        <v>86</v>
      </c>
      <c r="D2207" s="224" t="s">
        <v>55</v>
      </c>
      <c r="E2207" s="224" t="s">
        <v>256</v>
      </c>
      <c r="F2207" s="224" t="s">
        <v>250</v>
      </c>
      <c r="G2207" s="223" t="str">
        <f>VLOOKUP($B2207,'FRS geographical categories'!$A$2:$C$45,2,FALSE)</f>
        <v>Predominantly Urban</v>
      </c>
      <c r="H2207" s="223" t="str">
        <f>VLOOKUP($B2207,'FRS geographical categories'!$A$2:$C$45,3,FALSE)</f>
        <v>Metropolitan</v>
      </c>
      <c r="I2207" s="224">
        <v>37</v>
      </c>
    </row>
    <row r="2208" spans="1:9" ht="15.5" x14ac:dyDescent="0.35">
      <c r="A2208" s="224" t="s">
        <v>56</v>
      </c>
      <c r="B2208" s="224" t="s">
        <v>48</v>
      </c>
      <c r="C2208" s="224" t="s">
        <v>86</v>
      </c>
      <c r="D2208" s="224" t="s">
        <v>55</v>
      </c>
      <c r="E2208" s="224" t="s">
        <v>256</v>
      </c>
      <c r="F2208" s="224" t="s">
        <v>111</v>
      </c>
      <c r="G2208" s="223" t="str">
        <f>VLOOKUP($B2208,'FRS geographical categories'!$A$2:$C$45,2,FALSE)</f>
        <v>Predominantly Urban</v>
      </c>
      <c r="H2208" s="223" t="str">
        <f>VLOOKUP($B2208,'FRS geographical categories'!$A$2:$C$45,3,FALSE)</f>
        <v>Metropolitan</v>
      </c>
      <c r="I2208" s="224">
        <v>466</v>
      </c>
    </row>
    <row r="2209" spans="1:9" ht="15.5" x14ac:dyDescent="0.35">
      <c r="A2209" s="224" t="s">
        <v>56</v>
      </c>
      <c r="B2209" s="224" t="s">
        <v>48</v>
      </c>
      <c r="C2209" s="224" t="s">
        <v>86</v>
      </c>
      <c r="D2209" s="224" t="s">
        <v>55</v>
      </c>
      <c r="E2209" s="224" t="s">
        <v>256</v>
      </c>
      <c r="F2209" s="224" t="s">
        <v>10</v>
      </c>
      <c r="G2209" s="223" t="str">
        <f>VLOOKUP($B2209,'FRS geographical categories'!$A$2:$C$45,2,FALSE)</f>
        <v>Predominantly Urban</v>
      </c>
      <c r="H2209" s="223" t="str">
        <f>VLOOKUP($B2209,'FRS geographical categories'!$A$2:$C$45,3,FALSE)</f>
        <v>Metropolitan</v>
      </c>
      <c r="I2209" s="224">
        <v>466</v>
      </c>
    </row>
    <row r="2210" spans="1:9" ht="15.5" x14ac:dyDescent="0.35">
      <c r="A2210" s="224" t="s">
        <v>56</v>
      </c>
      <c r="B2210" s="224" t="s">
        <v>48</v>
      </c>
      <c r="C2210" s="224" t="s">
        <v>89</v>
      </c>
      <c r="D2210" s="224" t="s">
        <v>9</v>
      </c>
      <c r="E2210" s="224" t="s">
        <v>256</v>
      </c>
      <c r="F2210" s="224" t="s">
        <v>248</v>
      </c>
      <c r="G2210" s="223" t="str">
        <f>VLOOKUP($B2210,'FRS geographical categories'!$A$2:$C$45,2,FALSE)</f>
        <v>Predominantly Urban</v>
      </c>
      <c r="H2210" s="223" t="str">
        <f>VLOOKUP($B2210,'FRS geographical categories'!$A$2:$C$45,3,FALSE)</f>
        <v>Metropolitan</v>
      </c>
      <c r="I2210" s="224">
        <v>242</v>
      </c>
    </row>
    <row r="2211" spans="1:9" ht="15.5" x14ac:dyDescent="0.35">
      <c r="A2211" s="224" t="s">
        <v>56</v>
      </c>
      <c r="B2211" s="224" t="s">
        <v>48</v>
      </c>
      <c r="C2211" s="224" t="s">
        <v>89</v>
      </c>
      <c r="D2211" s="224" t="s">
        <v>9</v>
      </c>
      <c r="E2211" s="224" t="s">
        <v>256</v>
      </c>
      <c r="F2211" s="224" t="s">
        <v>249</v>
      </c>
      <c r="G2211" s="223" t="str">
        <f>VLOOKUP($B2211,'FRS geographical categories'!$A$2:$C$45,2,FALSE)</f>
        <v>Predominantly Urban</v>
      </c>
      <c r="H2211" s="223" t="str">
        <f>VLOOKUP($B2211,'FRS geographical categories'!$A$2:$C$45,3,FALSE)</f>
        <v>Metropolitan</v>
      </c>
      <c r="I2211" s="224">
        <v>628</v>
      </c>
    </row>
    <row r="2212" spans="1:9" ht="15.5" x14ac:dyDescent="0.35">
      <c r="A2212" s="224" t="s">
        <v>56</v>
      </c>
      <c r="B2212" s="224" t="s">
        <v>48</v>
      </c>
      <c r="C2212" s="224" t="s">
        <v>89</v>
      </c>
      <c r="D2212" s="224" t="s">
        <v>9</v>
      </c>
      <c r="E2212" s="224" t="s">
        <v>256</v>
      </c>
      <c r="F2212" s="224" t="s">
        <v>250</v>
      </c>
      <c r="G2212" s="223" t="str">
        <f>VLOOKUP($B2212,'FRS geographical categories'!$A$2:$C$45,2,FALSE)</f>
        <v>Predominantly Urban</v>
      </c>
      <c r="H2212" s="223" t="str">
        <f>VLOOKUP($B2212,'FRS geographical categories'!$A$2:$C$45,3,FALSE)</f>
        <v>Metropolitan</v>
      </c>
      <c r="I2212" s="224">
        <v>396</v>
      </c>
    </row>
    <row r="2213" spans="1:9" ht="15.5" x14ac:dyDescent="0.35">
      <c r="A2213" s="224" t="s">
        <v>56</v>
      </c>
      <c r="B2213" s="224" t="s">
        <v>48</v>
      </c>
      <c r="C2213" s="224" t="s">
        <v>89</v>
      </c>
      <c r="D2213" s="224" t="s">
        <v>9</v>
      </c>
      <c r="E2213" s="224" t="s">
        <v>256</v>
      </c>
      <c r="F2213" s="224" t="s">
        <v>10</v>
      </c>
      <c r="G2213" s="223" t="str">
        <f>VLOOKUP($B2213,'FRS geographical categories'!$A$2:$C$45,2,FALSE)</f>
        <v>Predominantly Urban</v>
      </c>
      <c r="H2213" s="223" t="str">
        <f>VLOOKUP($B2213,'FRS geographical categories'!$A$2:$C$45,3,FALSE)</f>
        <v>Metropolitan</v>
      </c>
      <c r="I2213" s="224">
        <v>1474</v>
      </c>
    </row>
    <row r="2214" spans="1:9" ht="15.5" x14ac:dyDescent="0.35">
      <c r="A2214" s="224" t="s">
        <v>56</v>
      </c>
      <c r="B2214" s="224" t="s">
        <v>48</v>
      </c>
      <c r="C2214" s="224" t="s">
        <v>89</v>
      </c>
      <c r="D2214" s="224" t="s">
        <v>55</v>
      </c>
      <c r="E2214" s="224" t="s">
        <v>256</v>
      </c>
      <c r="F2214" s="224" t="s">
        <v>248</v>
      </c>
      <c r="G2214" s="223" t="str">
        <f>VLOOKUP($B2214,'FRS geographical categories'!$A$2:$C$45,2,FALSE)</f>
        <v>Predominantly Urban</v>
      </c>
      <c r="H2214" s="223" t="str">
        <f>VLOOKUP($B2214,'FRS geographical categories'!$A$2:$C$45,3,FALSE)</f>
        <v>Metropolitan</v>
      </c>
      <c r="I2214" s="224">
        <v>0</v>
      </c>
    </row>
    <row r="2215" spans="1:9" ht="15.5" x14ac:dyDescent="0.35">
      <c r="A2215" s="224" t="s">
        <v>56</v>
      </c>
      <c r="B2215" s="224" t="s">
        <v>48</v>
      </c>
      <c r="C2215" s="224" t="s">
        <v>89</v>
      </c>
      <c r="D2215" s="224" t="s">
        <v>55</v>
      </c>
      <c r="E2215" s="224" t="s">
        <v>256</v>
      </c>
      <c r="F2215" s="224" t="s">
        <v>249</v>
      </c>
      <c r="G2215" s="223" t="str">
        <f>VLOOKUP($B2215,'FRS geographical categories'!$A$2:$C$45,2,FALSE)</f>
        <v>Predominantly Urban</v>
      </c>
      <c r="H2215" s="223" t="str">
        <f>VLOOKUP($B2215,'FRS geographical categories'!$A$2:$C$45,3,FALSE)</f>
        <v>Metropolitan</v>
      </c>
      <c r="I2215" s="224">
        <v>0</v>
      </c>
    </row>
    <row r="2216" spans="1:9" ht="15.5" x14ac:dyDescent="0.35">
      <c r="A2216" s="224" t="s">
        <v>56</v>
      </c>
      <c r="B2216" s="224" t="s">
        <v>48</v>
      </c>
      <c r="C2216" s="224" t="s">
        <v>89</v>
      </c>
      <c r="D2216" s="224" t="s">
        <v>55</v>
      </c>
      <c r="E2216" s="224" t="s">
        <v>256</v>
      </c>
      <c r="F2216" s="224" t="s">
        <v>250</v>
      </c>
      <c r="G2216" s="223" t="str">
        <f>VLOOKUP($B2216,'FRS geographical categories'!$A$2:$C$45,2,FALSE)</f>
        <v>Predominantly Urban</v>
      </c>
      <c r="H2216" s="223" t="str">
        <f>VLOOKUP($B2216,'FRS geographical categories'!$A$2:$C$45,3,FALSE)</f>
        <v>Metropolitan</v>
      </c>
      <c r="I2216" s="224">
        <v>0</v>
      </c>
    </row>
    <row r="2217" spans="1:9" ht="15.5" x14ac:dyDescent="0.35">
      <c r="A2217" s="224" t="s">
        <v>56</v>
      </c>
      <c r="B2217" s="224" t="s">
        <v>48</v>
      </c>
      <c r="C2217" s="224" t="s">
        <v>89</v>
      </c>
      <c r="D2217" s="224" t="s">
        <v>55</v>
      </c>
      <c r="E2217" s="224" t="s">
        <v>256</v>
      </c>
      <c r="F2217" s="224" t="s">
        <v>10</v>
      </c>
      <c r="G2217" s="223" t="str">
        <f>VLOOKUP($B2217,'FRS geographical categories'!$A$2:$C$45,2,FALSE)</f>
        <v>Predominantly Urban</v>
      </c>
      <c r="H2217" s="223" t="str">
        <f>VLOOKUP($B2217,'FRS geographical categories'!$A$2:$C$45,3,FALSE)</f>
        <v>Metropolitan</v>
      </c>
      <c r="I2217" s="224">
        <v>0</v>
      </c>
    </row>
    <row r="2218" spans="1:9" ht="15.5" x14ac:dyDescent="0.35">
      <c r="A2218" s="224" t="s">
        <v>56</v>
      </c>
      <c r="B2218" s="224" t="s">
        <v>49</v>
      </c>
      <c r="C2218" s="224" t="s">
        <v>86</v>
      </c>
      <c r="D2218" s="224" t="s">
        <v>9</v>
      </c>
      <c r="E2218" s="224" t="s">
        <v>256</v>
      </c>
      <c r="F2218" s="224" t="s">
        <v>248</v>
      </c>
      <c r="G2218" s="223" t="str">
        <f>VLOOKUP($B2218,'FRS geographical categories'!$A$2:$C$45,2,FALSE)</f>
        <v>Significantly Rural</v>
      </c>
      <c r="H2218" s="223" t="str">
        <f>VLOOKUP($B2218,'FRS geographical categories'!$A$2:$C$45,3,FALSE)</f>
        <v>Non-metropolitan</v>
      </c>
      <c r="I2218" s="224">
        <v>119</v>
      </c>
    </row>
    <row r="2219" spans="1:9" ht="15.5" x14ac:dyDescent="0.35">
      <c r="A2219" s="224" t="s">
        <v>56</v>
      </c>
      <c r="B2219" s="224" t="s">
        <v>49</v>
      </c>
      <c r="C2219" s="224" t="s">
        <v>86</v>
      </c>
      <c r="D2219" s="224" t="s">
        <v>9</v>
      </c>
      <c r="E2219" s="224" t="s">
        <v>256</v>
      </c>
      <c r="F2219" s="224" t="s">
        <v>249</v>
      </c>
      <c r="G2219" s="223" t="str">
        <f>VLOOKUP($B2219,'FRS geographical categories'!$A$2:$C$45,2,FALSE)</f>
        <v>Significantly Rural</v>
      </c>
      <c r="H2219" s="223" t="str">
        <f>VLOOKUP($B2219,'FRS geographical categories'!$A$2:$C$45,3,FALSE)</f>
        <v>Non-metropolitan</v>
      </c>
      <c r="I2219" s="224">
        <v>599</v>
      </c>
    </row>
    <row r="2220" spans="1:9" ht="15.5" x14ac:dyDescent="0.35">
      <c r="A2220" s="224" t="s">
        <v>56</v>
      </c>
      <c r="B2220" s="224" t="s">
        <v>49</v>
      </c>
      <c r="C2220" s="224" t="s">
        <v>86</v>
      </c>
      <c r="D2220" s="224" t="s">
        <v>9</v>
      </c>
      <c r="E2220" s="224" t="s">
        <v>256</v>
      </c>
      <c r="F2220" s="224" t="s">
        <v>250</v>
      </c>
      <c r="G2220" s="223" t="str">
        <f>VLOOKUP($B2220,'FRS geographical categories'!$A$2:$C$45,2,FALSE)</f>
        <v>Significantly Rural</v>
      </c>
      <c r="H2220" s="223" t="str">
        <f>VLOOKUP($B2220,'FRS geographical categories'!$A$2:$C$45,3,FALSE)</f>
        <v>Non-metropolitan</v>
      </c>
      <c r="I2220" s="224">
        <v>1444</v>
      </c>
    </row>
    <row r="2221" spans="1:9" ht="15.5" x14ac:dyDescent="0.35">
      <c r="A2221" s="224" t="s">
        <v>56</v>
      </c>
      <c r="B2221" s="224" t="s">
        <v>49</v>
      </c>
      <c r="C2221" s="224" t="s">
        <v>86</v>
      </c>
      <c r="D2221" s="224" t="s">
        <v>9</v>
      </c>
      <c r="E2221" s="224" t="s">
        <v>256</v>
      </c>
      <c r="F2221" s="224" t="s">
        <v>111</v>
      </c>
      <c r="G2221" s="223" t="str">
        <f>VLOOKUP($B2221,'FRS geographical categories'!$A$2:$C$45,2,FALSE)</f>
        <v>Significantly Rural</v>
      </c>
      <c r="H2221" s="223" t="str">
        <f>VLOOKUP($B2221,'FRS geographical categories'!$A$2:$C$45,3,FALSE)</f>
        <v>Non-metropolitan</v>
      </c>
      <c r="I2221" s="224">
        <v>4607</v>
      </c>
    </row>
    <row r="2222" spans="1:9" ht="15.5" x14ac:dyDescent="0.35">
      <c r="A2222" s="224" t="s">
        <v>56</v>
      </c>
      <c r="B2222" s="224" t="s">
        <v>49</v>
      </c>
      <c r="C2222" s="224" t="s">
        <v>86</v>
      </c>
      <c r="D2222" s="224" t="s">
        <v>9</v>
      </c>
      <c r="E2222" s="224" t="s">
        <v>256</v>
      </c>
      <c r="F2222" s="224" t="s">
        <v>10</v>
      </c>
      <c r="G2222" s="223" t="str">
        <f>VLOOKUP($B2222,'FRS geographical categories'!$A$2:$C$45,2,FALSE)</f>
        <v>Significantly Rural</v>
      </c>
      <c r="H2222" s="223" t="str">
        <f>VLOOKUP($B2222,'FRS geographical categories'!$A$2:$C$45,3,FALSE)</f>
        <v>Non-metropolitan</v>
      </c>
      <c r="I2222" s="224">
        <v>4607</v>
      </c>
    </row>
    <row r="2223" spans="1:9" ht="15.5" x14ac:dyDescent="0.35">
      <c r="A2223" s="224" t="s">
        <v>56</v>
      </c>
      <c r="B2223" s="224" t="s">
        <v>49</v>
      </c>
      <c r="C2223" s="224" t="s">
        <v>86</v>
      </c>
      <c r="D2223" s="224" t="s">
        <v>55</v>
      </c>
      <c r="E2223" s="224" t="s">
        <v>256</v>
      </c>
      <c r="F2223" s="224" t="s">
        <v>248</v>
      </c>
      <c r="G2223" s="223" t="str">
        <f>VLOOKUP($B2223,'FRS geographical categories'!$A$2:$C$45,2,FALSE)</f>
        <v>Significantly Rural</v>
      </c>
      <c r="H2223" s="223" t="str">
        <f>VLOOKUP($B2223,'FRS geographical categories'!$A$2:$C$45,3,FALSE)</f>
        <v>Non-metropolitan</v>
      </c>
      <c r="I2223" s="224">
        <v>0</v>
      </c>
    </row>
    <row r="2224" spans="1:9" ht="15.5" x14ac:dyDescent="0.35">
      <c r="A2224" s="224" t="s">
        <v>56</v>
      </c>
      <c r="B2224" s="224" t="s">
        <v>49</v>
      </c>
      <c r="C2224" s="224" t="s">
        <v>86</v>
      </c>
      <c r="D2224" s="224" t="s">
        <v>55</v>
      </c>
      <c r="E2224" s="224" t="s">
        <v>256</v>
      </c>
      <c r="F2224" s="224" t="s">
        <v>249</v>
      </c>
      <c r="G2224" s="223" t="str">
        <f>VLOOKUP($B2224,'FRS geographical categories'!$A$2:$C$45,2,FALSE)</f>
        <v>Significantly Rural</v>
      </c>
      <c r="H2224" s="223" t="str">
        <f>VLOOKUP($B2224,'FRS geographical categories'!$A$2:$C$45,3,FALSE)</f>
        <v>Non-metropolitan</v>
      </c>
      <c r="I2224" s="224">
        <v>0</v>
      </c>
    </row>
    <row r="2225" spans="1:9" ht="15.5" x14ac:dyDescent="0.35">
      <c r="A2225" s="224" t="s">
        <v>56</v>
      </c>
      <c r="B2225" s="224" t="s">
        <v>49</v>
      </c>
      <c r="C2225" s="224" t="s">
        <v>86</v>
      </c>
      <c r="D2225" s="224" t="s">
        <v>55</v>
      </c>
      <c r="E2225" s="224" t="s">
        <v>256</v>
      </c>
      <c r="F2225" s="224" t="s">
        <v>250</v>
      </c>
      <c r="G2225" s="223" t="str">
        <f>VLOOKUP($B2225,'FRS geographical categories'!$A$2:$C$45,2,FALSE)</f>
        <v>Significantly Rural</v>
      </c>
      <c r="H2225" s="223" t="str">
        <f>VLOOKUP($B2225,'FRS geographical categories'!$A$2:$C$45,3,FALSE)</f>
        <v>Non-metropolitan</v>
      </c>
      <c r="I2225" s="224">
        <v>0</v>
      </c>
    </row>
    <row r="2226" spans="1:9" ht="15.5" x14ac:dyDescent="0.35">
      <c r="A2226" s="224" t="s">
        <v>56</v>
      </c>
      <c r="B2226" s="224" t="s">
        <v>49</v>
      </c>
      <c r="C2226" s="224" t="s">
        <v>86</v>
      </c>
      <c r="D2226" s="224" t="s">
        <v>55</v>
      </c>
      <c r="E2226" s="224" t="s">
        <v>256</v>
      </c>
      <c r="F2226" s="224" t="s">
        <v>111</v>
      </c>
      <c r="G2226" s="223" t="str">
        <f>VLOOKUP($B2226,'FRS geographical categories'!$A$2:$C$45,2,FALSE)</f>
        <v>Significantly Rural</v>
      </c>
      <c r="H2226" s="223" t="str">
        <f>VLOOKUP($B2226,'FRS geographical categories'!$A$2:$C$45,3,FALSE)</f>
        <v>Non-metropolitan</v>
      </c>
      <c r="I2226" s="224">
        <v>0</v>
      </c>
    </row>
    <row r="2227" spans="1:9" ht="15.5" x14ac:dyDescent="0.35">
      <c r="A2227" s="224" t="s">
        <v>56</v>
      </c>
      <c r="B2227" s="224" t="s">
        <v>49</v>
      </c>
      <c r="C2227" s="224" t="s">
        <v>86</v>
      </c>
      <c r="D2227" s="224" t="s">
        <v>55</v>
      </c>
      <c r="E2227" s="224" t="s">
        <v>256</v>
      </c>
      <c r="F2227" s="224" t="s">
        <v>10</v>
      </c>
      <c r="G2227" s="223" t="str">
        <f>VLOOKUP($B2227,'FRS geographical categories'!$A$2:$C$45,2,FALSE)</f>
        <v>Significantly Rural</v>
      </c>
      <c r="H2227" s="223" t="str">
        <f>VLOOKUP($B2227,'FRS geographical categories'!$A$2:$C$45,3,FALSE)</f>
        <v>Non-metropolitan</v>
      </c>
      <c r="I2227" s="224">
        <v>0</v>
      </c>
    </row>
    <row r="2228" spans="1:9" ht="15.5" x14ac:dyDescent="0.35">
      <c r="A2228" s="224" t="s">
        <v>56</v>
      </c>
      <c r="B2228" s="224" t="s">
        <v>49</v>
      </c>
      <c r="C2228" s="224" t="s">
        <v>89</v>
      </c>
      <c r="D2228" s="224" t="s">
        <v>9</v>
      </c>
      <c r="E2228" s="224" t="s">
        <v>256</v>
      </c>
      <c r="F2228" s="224" t="s">
        <v>248</v>
      </c>
      <c r="G2228" s="223" t="str">
        <f>VLOOKUP($B2228,'FRS geographical categories'!$A$2:$C$45,2,FALSE)</f>
        <v>Significantly Rural</v>
      </c>
      <c r="H2228" s="223" t="str">
        <f>VLOOKUP($B2228,'FRS geographical categories'!$A$2:$C$45,3,FALSE)</f>
        <v>Non-metropolitan</v>
      </c>
      <c r="I2228" s="224">
        <v>0</v>
      </c>
    </row>
    <row r="2229" spans="1:9" ht="15.5" x14ac:dyDescent="0.35">
      <c r="A2229" s="224" t="s">
        <v>56</v>
      </c>
      <c r="B2229" s="224" t="s">
        <v>49</v>
      </c>
      <c r="C2229" s="224" t="s">
        <v>89</v>
      </c>
      <c r="D2229" s="224" t="s">
        <v>9</v>
      </c>
      <c r="E2229" s="224" t="s">
        <v>256</v>
      </c>
      <c r="F2229" s="224" t="s">
        <v>249</v>
      </c>
      <c r="G2229" s="223" t="str">
        <f>VLOOKUP($B2229,'FRS geographical categories'!$A$2:$C$45,2,FALSE)</f>
        <v>Significantly Rural</v>
      </c>
      <c r="H2229" s="223" t="str">
        <f>VLOOKUP($B2229,'FRS geographical categories'!$A$2:$C$45,3,FALSE)</f>
        <v>Non-metropolitan</v>
      </c>
      <c r="I2229" s="224">
        <v>0</v>
      </c>
    </row>
    <row r="2230" spans="1:9" ht="15.5" x14ac:dyDescent="0.35">
      <c r="A2230" s="224" t="s">
        <v>56</v>
      </c>
      <c r="B2230" s="224" t="s">
        <v>49</v>
      </c>
      <c r="C2230" s="224" t="s">
        <v>89</v>
      </c>
      <c r="D2230" s="224" t="s">
        <v>9</v>
      </c>
      <c r="E2230" s="224" t="s">
        <v>256</v>
      </c>
      <c r="F2230" s="224" t="s">
        <v>250</v>
      </c>
      <c r="G2230" s="223" t="str">
        <f>VLOOKUP($B2230,'FRS geographical categories'!$A$2:$C$45,2,FALSE)</f>
        <v>Significantly Rural</v>
      </c>
      <c r="H2230" s="223" t="str">
        <f>VLOOKUP($B2230,'FRS geographical categories'!$A$2:$C$45,3,FALSE)</f>
        <v>Non-metropolitan</v>
      </c>
      <c r="I2230" s="224">
        <v>0</v>
      </c>
    </row>
    <row r="2231" spans="1:9" ht="15.5" x14ac:dyDescent="0.35">
      <c r="A2231" s="224" t="s">
        <v>56</v>
      </c>
      <c r="B2231" s="224" t="s">
        <v>49</v>
      </c>
      <c r="C2231" s="224" t="s">
        <v>89</v>
      </c>
      <c r="D2231" s="224" t="s">
        <v>9</v>
      </c>
      <c r="E2231" s="224" t="s">
        <v>256</v>
      </c>
      <c r="F2231" s="224" t="s">
        <v>10</v>
      </c>
      <c r="G2231" s="223" t="str">
        <f>VLOOKUP($B2231,'FRS geographical categories'!$A$2:$C$45,2,FALSE)</f>
        <v>Significantly Rural</v>
      </c>
      <c r="H2231" s="223" t="str">
        <f>VLOOKUP($B2231,'FRS geographical categories'!$A$2:$C$45,3,FALSE)</f>
        <v>Non-metropolitan</v>
      </c>
      <c r="I2231" s="224">
        <v>0</v>
      </c>
    </row>
    <row r="2232" spans="1:9" ht="15.5" x14ac:dyDescent="0.35">
      <c r="A2232" s="224" t="s">
        <v>56</v>
      </c>
      <c r="B2232" s="224" t="s">
        <v>49</v>
      </c>
      <c r="C2232" s="224" t="s">
        <v>89</v>
      </c>
      <c r="D2232" s="224" t="s">
        <v>55</v>
      </c>
      <c r="E2232" s="224" t="s">
        <v>256</v>
      </c>
      <c r="F2232" s="224" t="s">
        <v>248</v>
      </c>
      <c r="G2232" s="223" t="str">
        <f>VLOOKUP($B2232,'FRS geographical categories'!$A$2:$C$45,2,FALSE)</f>
        <v>Significantly Rural</v>
      </c>
      <c r="H2232" s="223" t="str">
        <f>VLOOKUP($B2232,'FRS geographical categories'!$A$2:$C$45,3,FALSE)</f>
        <v>Non-metropolitan</v>
      </c>
      <c r="I2232" s="224">
        <v>0</v>
      </c>
    </row>
    <row r="2233" spans="1:9" ht="15.5" x14ac:dyDescent="0.35">
      <c r="A2233" s="224" t="s">
        <v>56</v>
      </c>
      <c r="B2233" s="224" t="s">
        <v>49</v>
      </c>
      <c r="C2233" s="224" t="s">
        <v>89</v>
      </c>
      <c r="D2233" s="224" t="s">
        <v>55</v>
      </c>
      <c r="E2233" s="224" t="s">
        <v>256</v>
      </c>
      <c r="F2233" s="224" t="s">
        <v>249</v>
      </c>
      <c r="G2233" s="223" t="str">
        <f>VLOOKUP($B2233,'FRS geographical categories'!$A$2:$C$45,2,FALSE)</f>
        <v>Significantly Rural</v>
      </c>
      <c r="H2233" s="223" t="str">
        <f>VLOOKUP($B2233,'FRS geographical categories'!$A$2:$C$45,3,FALSE)</f>
        <v>Non-metropolitan</v>
      </c>
      <c r="I2233" s="224">
        <v>0</v>
      </c>
    </row>
    <row r="2234" spans="1:9" ht="15.5" x14ac:dyDescent="0.35">
      <c r="A2234" s="224" t="s">
        <v>56</v>
      </c>
      <c r="B2234" s="224" t="s">
        <v>49</v>
      </c>
      <c r="C2234" s="224" t="s">
        <v>89</v>
      </c>
      <c r="D2234" s="224" t="s">
        <v>55</v>
      </c>
      <c r="E2234" s="224" t="s">
        <v>256</v>
      </c>
      <c r="F2234" s="224" t="s">
        <v>250</v>
      </c>
      <c r="G2234" s="223" t="str">
        <f>VLOOKUP($B2234,'FRS geographical categories'!$A$2:$C$45,2,FALSE)</f>
        <v>Significantly Rural</v>
      </c>
      <c r="H2234" s="223" t="str">
        <f>VLOOKUP($B2234,'FRS geographical categories'!$A$2:$C$45,3,FALSE)</f>
        <v>Non-metropolitan</v>
      </c>
      <c r="I2234" s="224">
        <v>0</v>
      </c>
    </row>
    <row r="2235" spans="1:9" ht="15.5" x14ac:dyDescent="0.35">
      <c r="A2235" s="224" t="s">
        <v>56</v>
      </c>
      <c r="B2235" s="224" t="s">
        <v>49</v>
      </c>
      <c r="C2235" s="224" t="s">
        <v>89</v>
      </c>
      <c r="D2235" s="224" t="s">
        <v>55</v>
      </c>
      <c r="E2235" s="224" t="s">
        <v>256</v>
      </c>
      <c r="F2235" s="224" t="s">
        <v>10</v>
      </c>
      <c r="G2235" s="223" t="str">
        <f>VLOOKUP($B2235,'FRS geographical categories'!$A$2:$C$45,2,FALSE)</f>
        <v>Significantly Rural</v>
      </c>
      <c r="H2235" s="223" t="str">
        <f>VLOOKUP($B2235,'FRS geographical categories'!$A$2:$C$45,3,FALSE)</f>
        <v>Non-metropolitan</v>
      </c>
      <c r="I2235" s="224">
        <v>0</v>
      </c>
    </row>
    <row r="2236" spans="1:9" ht="15.5" x14ac:dyDescent="0.35">
      <c r="A2236" s="224" t="s">
        <v>56</v>
      </c>
      <c r="B2236" s="224" t="s">
        <v>50</v>
      </c>
      <c r="C2236" s="224" t="s">
        <v>86</v>
      </c>
      <c r="D2236" s="224" t="s">
        <v>9</v>
      </c>
      <c r="E2236" s="224" t="s">
        <v>256</v>
      </c>
      <c r="F2236" s="224" t="s">
        <v>248</v>
      </c>
      <c r="G2236" s="223" t="str">
        <f>VLOOKUP($B2236,'FRS geographical categories'!$A$2:$C$45,2,FALSE)</f>
        <v>Predominantly Urban</v>
      </c>
      <c r="H2236" s="223" t="str">
        <f>VLOOKUP($B2236,'FRS geographical categories'!$A$2:$C$45,3,FALSE)</f>
        <v>Metropolitan</v>
      </c>
      <c r="I2236" s="224">
        <v>4994</v>
      </c>
    </row>
    <row r="2237" spans="1:9" ht="15.5" x14ac:dyDescent="0.35">
      <c r="A2237" s="224" t="s">
        <v>56</v>
      </c>
      <c r="B2237" s="224" t="s">
        <v>50</v>
      </c>
      <c r="C2237" s="224" t="s">
        <v>86</v>
      </c>
      <c r="D2237" s="224" t="s">
        <v>9</v>
      </c>
      <c r="E2237" s="224" t="s">
        <v>256</v>
      </c>
      <c r="F2237" s="224" t="s">
        <v>249</v>
      </c>
      <c r="G2237" s="223" t="str">
        <f>VLOOKUP($B2237,'FRS geographical categories'!$A$2:$C$45,2,FALSE)</f>
        <v>Predominantly Urban</v>
      </c>
      <c r="H2237" s="223" t="str">
        <f>VLOOKUP($B2237,'FRS geographical categories'!$A$2:$C$45,3,FALSE)</f>
        <v>Metropolitan</v>
      </c>
      <c r="I2237" s="224">
        <v>12618</v>
      </c>
    </row>
    <row r="2238" spans="1:9" ht="15.5" x14ac:dyDescent="0.35">
      <c r="A2238" s="224" t="s">
        <v>56</v>
      </c>
      <c r="B2238" s="224" t="s">
        <v>50</v>
      </c>
      <c r="C2238" s="224" t="s">
        <v>86</v>
      </c>
      <c r="D2238" s="224" t="s">
        <v>9</v>
      </c>
      <c r="E2238" s="224" t="s">
        <v>256</v>
      </c>
      <c r="F2238" s="224" t="s">
        <v>250</v>
      </c>
      <c r="G2238" s="223" t="str">
        <f>VLOOKUP($B2238,'FRS geographical categories'!$A$2:$C$45,2,FALSE)</f>
        <v>Predominantly Urban</v>
      </c>
      <c r="H2238" s="223" t="str">
        <f>VLOOKUP($B2238,'FRS geographical categories'!$A$2:$C$45,3,FALSE)</f>
        <v>Metropolitan</v>
      </c>
      <c r="I2238" s="224">
        <v>4723</v>
      </c>
    </row>
    <row r="2239" spans="1:9" ht="15.5" x14ac:dyDescent="0.35">
      <c r="A2239" s="224" t="s">
        <v>56</v>
      </c>
      <c r="B2239" s="224" t="s">
        <v>50</v>
      </c>
      <c r="C2239" s="224" t="s">
        <v>86</v>
      </c>
      <c r="D2239" s="224" t="s">
        <v>9</v>
      </c>
      <c r="E2239" s="224" t="s">
        <v>256</v>
      </c>
      <c r="F2239" s="224" t="s">
        <v>111</v>
      </c>
      <c r="G2239" s="223" t="str">
        <f>VLOOKUP($B2239,'FRS geographical categories'!$A$2:$C$45,2,FALSE)</f>
        <v>Predominantly Urban</v>
      </c>
      <c r="H2239" s="223" t="str">
        <f>VLOOKUP($B2239,'FRS geographical categories'!$A$2:$C$45,3,FALSE)</f>
        <v>Metropolitan</v>
      </c>
      <c r="I2239" s="224">
        <v>35630</v>
      </c>
    </row>
    <row r="2240" spans="1:9" ht="15.5" x14ac:dyDescent="0.35">
      <c r="A2240" s="224" t="s">
        <v>56</v>
      </c>
      <c r="B2240" s="224" t="s">
        <v>50</v>
      </c>
      <c r="C2240" s="224" t="s">
        <v>86</v>
      </c>
      <c r="D2240" s="224" t="s">
        <v>9</v>
      </c>
      <c r="E2240" s="224" t="s">
        <v>256</v>
      </c>
      <c r="F2240" s="224" t="s">
        <v>10</v>
      </c>
      <c r="G2240" s="223" t="str">
        <f>VLOOKUP($B2240,'FRS geographical categories'!$A$2:$C$45,2,FALSE)</f>
        <v>Predominantly Urban</v>
      </c>
      <c r="H2240" s="223" t="str">
        <f>VLOOKUP($B2240,'FRS geographical categories'!$A$2:$C$45,3,FALSE)</f>
        <v>Metropolitan</v>
      </c>
      <c r="I2240" s="224">
        <v>36997</v>
      </c>
    </row>
    <row r="2241" spans="1:9" ht="15.5" x14ac:dyDescent="0.35">
      <c r="A2241" s="224" t="s">
        <v>56</v>
      </c>
      <c r="B2241" s="224" t="s">
        <v>50</v>
      </c>
      <c r="C2241" s="224" t="s">
        <v>86</v>
      </c>
      <c r="D2241" s="224" t="s">
        <v>55</v>
      </c>
      <c r="E2241" s="224" t="s">
        <v>256</v>
      </c>
      <c r="F2241" s="224" t="s">
        <v>248</v>
      </c>
      <c r="G2241" s="223" t="str">
        <f>VLOOKUP($B2241,'FRS geographical categories'!$A$2:$C$45,2,FALSE)</f>
        <v>Predominantly Urban</v>
      </c>
      <c r="H2241" s="223" t="str">
        <f>VLOOKUP($B2241,'FRS geographical categories'!$A$2:$C$45,3,FALSE)</f>
        <v>Metropolitan</v>
      </c>
      <c r="I2241" s="224">
        <v>0</v>
      </c>
    </row>
    <row r="2242" spans="1:9" ht="15.5" x14ac:dyDescent="0.35">
      <c r="A2242" s="224" t="s">
        <v>56</v>
      </c>
      <c r="B2242" s="224" t="s">
        <v>50</v>
      </c>
      <c r="C2242" s="224" t="s">
        <v>86</v>
      </c>
      <c r="D2242" s="224" t="s">
        <v>55</v>
      </c>
      <c r="E2242" s="224" t="s">
        <v>256</v>
      </c>
      <c r="F2242" s="224" t="s">
        <v>249</v>
      </c>
      <c r="G2242" s="223" t="str">
        <f>VLOOKUP($B2242,'FRS geographical categories'!$A$2:$C$45,2,FALSE)</f>
        <v>Predominantly Urban</v>
      </c>
      <c r="H2242" s="223" t="str">
        <f>VLOOKUP($B2242,'FRS geographical categories'!$A$2:$C$45,3,FALSE)</f>
        <v>Metropolitan</v>
      </c>
      <c r="I2242" s="224">
        <v>0</v>
      </c>
    </row>
    <row r="2243" spans="1:9" ht="15.5" x14ac:dyDescent="0.35">
      <c r="A2243" s="224" t="s">
        <v>56</v>
      </c>
      <c r="B2243" s="224" t="s">
        <v>50</v>
      </c>
      <c r="C2243" s="224" t="s">
        <v>86</v>
      </c>
      <c r="D2243" s="224" t="s">
        <v>55</v>
      </c>
      <c r="E2243" s="224" t="s">
        <v>256</v>
      </c>
      <c r="F2243" s="224" t="s">
        <v>250</v>
      </c>
      <c r="G2243" s="223" t="str">
        <f>VLOOKUP($B2243,'FRS geographical categories'!$A$2:$C$45,2,FALSE)</f>
        <v>Predominantly Urban</v>
      </c>
      <c r="H2243" s="223" t="str">
        <f>VLOOKUP($B2243,'FRS geographical categories'!$A$2:$C$45,3,FALSE)</f>
        <v>Metropolitan</v>
      </c>
      <c r="I2243" s="224">
        <v>0</v>
      </c>
    </row>
    <row r="2244" spans="1:9" ht="15.5" x14ac:dyDescent="0.35">
      <c r="A2244" s="224" t="s">
        <v>56</v>
      </c>
      <c r="B2244" s="224" t="s">
        <v>50</v>
      </c>
      <c r="C2244" s="224" t="s">
        <v>86</v>
      </c>
      <c r="D2244" s="224" t="s">
        <v>55</v>
      </c>
      <c r="E2244" s="224" t="s">
        <v>256</v>
      </c>
      <c r="F2244" s="224" t="s">
        <v>111</v>
      </c>
      <c r="G2244" s="223" t="str">
        <f>VLOOKUP($B2244,'FRS geographical categories'!$A$2:$C$45,2,FALSE)</f>
        <v>Predominantly Urban</v>
      </c>
      <c r="H2244" s="223" t="str">
        <f>VLOOKUP($B2244,'FRS geographical categories'!$A$2:$C$45,3,FALSE)</f>
        <v>Metropolitan</v>
      </c>
      <c r="I2244" s="224">
        <v>0</v>
      </c>
    </row>
    <row r="2245" spans="1:9" ht="15.5" x14ac:dyDescent="0.35">
      <c r="A2245" s="224" t="s">
        <v>56</v>
      </c>
      <c r="B2245" s="224" t="s">
        <v>50</v>
      </c>
      <c r="C2245" s="224" t="s">
        <v>86</v>
      </c>
      <c r="D2245" s="224" t="s">
        <v>55</v>
      </c>
      <c r="E2245" s="224" t="s">
        <v>256</v>
      </c>
      <c r="F2245" s="224" t="s">
        <v>10</v>
      </c>
      <c r="G2245" s="223" t="str">
        <f>VLOOKUP($B2245,'FRS geographical categories'!$A$2:$C$45,2,FALSE)</f>
        <v>Predominantly Urban</v>
      </c>
      <c r="H2245" s="223" t="str">
        <f>VLOOKUP($B2245,'FRS geographical categories'!$A$2:$C$45,3,FALSE)</f>
        <v>Metropolitan</v>
      </c>
      <c r="I2245" s="224">
        <v>0</v>
      </c>
    </row>
    <row r="2246" spans="1:9" ht="15.5" x14ac:dyDescent="0.35">
      <c r="A2246" s="224" t="s">
        <v>56</v>
      </c>
      <c r="B2246" s="224" t="s">
        <v>50</v>
      </c>
      <c r="C2246" s="224" t="s">
        <v>89</v>
      </c>
      <c r="D2246" s="224" t="s">
        <v>9</v>
      </c>
      <c r="E2246" s="224" t="s">
        <v>256</v>
      </c>
      <c r="F2246" s="224" t="s">
        <v>248</v>
      </c>
      <c r="G2246" s="223" t="str">
        <f>VLOOKUP($B2246,'FRS geographical categories'!$A$2:$C$45,2,FALSE)</f>
        <v>Predominantly Urban</v>
      </c>
      <c r="H2246" s="223" t="str">
        <f>VLOOKUP($B2246,'FRS geographical categories'!$A$2:$C$45,3,FALSE)</f>
        <v>Metropolitan</v>
      </c>
      <c r="I2246" s="224">
        <v>0</v>
      </c>
    </row>
    <row r="2247" spans="1:9" ht="15.5" x14ac:dyDescent="0.35">
      <c r="A2247" s="224" t="s">
        <v>56</v>
      </c>
      <c r="B2247" s="224" t="s">
        <v>50</v>
      </c>
      <c r="C2247" s="224" t="s">
        <v>89</v>
      </c>
      <c r="D2247" s="224" t="s">
        <v>9</v>
      </c>
      <c r="E2247" s="224" t="s">
        <v>256</v>
      </c>
      <c r="F2247" s="224" t="s">
        <v>249</v>
      </c>
      <c r="G2247" s="223" t="str">
        <f>VLOOKUP($B2247,'FRS geographical categories'!$A$2:$C$45,2,FALSE)</f>
        <v>Predominantly Urban</v>
      </c>
      <c r="H2247" s="223" t="str">
        <f>VLOOKUP($B2247,'FRS geographical categories'!$A$2:$C$45,3,FALSE)</f>
        <v>Metropolitan</v>
      </c>
      <c r="I2247" s="224">
        <v>0</v>
      </c>
    </row>
    <row r="2248" spans="1:9" ht="15.5" x14ac:dyDescent="0.35">
      <c r="A2248" s="224" t="s">
        <v>56</v>
      </c>
      <c r="B2248" s="224" t="s">
        <v>50</v>
      </c>
      <c r="C2248" s="224" t="s">
        <v>89</v>
      </c>
      <c r="D2248" s="224" t="s">
        <v>9</v>
      </c>
      <c r="E2248" s="224" t="s">
        <v>256</v>
      </c>
      <c r="F2248" s="224" t="s">
        <v>250</v>
      </c>
      <c r="G2248" s="223" t="str">
        <f>VLOOKUP($B2248,'FRS geographical categories'!$A$2:$C$45,2,FALSE)</f>
        <v>Predominantly Urban</v>
      </c>
      <c r="H2248" s="223" t="str">
        <f>VLOOKUP($B2248,'FRS geographical categories'!$A$2:$C$45,3,FALSE)</f>
        <v>Metropolitan</v>
      </c>
      <c r="I2248" s="224">
        <v>0</v>
      </c>
    </row>
    <row r="2249" spans="1:9" ht="15.5" x14ac:dyDescent="0.35">
      <c r="A2249" s="224" t="s">
        <v>56</v>
      </c>
      <c r="B2249" s="224" t="s">
        <v>50</v>
      </c>
      <c r="C2249" s="224" t="s">
        <v>89</v>
      </c>
      <c r="D2249" s="224" t="s">
        <v>9</v>
      </c>
      <c r="E2249" s="224" t="s">
        <v>256</v>
      </c>
      <c r="F2249" s="224" t="s">
        <v>10</v>
      </c>
      <c r="G2249" s="223" t="str">
        <f>VLOOKUP($B2249,'FRS geographical categories'!$A$2:$C$45,2,FALSE)</f>
        <v>Predominantly Urban</v>
      </c>
      <c r="H2249" s="223" t="str">
        <f>VLOOKUP($B2249,'FRS geographical categories'!$A$2:$C$45,3,FALSE)</f>
        <v>Metropolitan</v>
      </c>
      <c r="I2249" s="224">
        <v>0</v>
      </c>
    </row>
    <row r="2250" spans="1:9" ht="15.5" x14ac:dyDescent="0.35">
      <c r="A2250" s="224" t="s">
        <v>56</v>
      </c>
      <c r="B2250" s="224" t="s">
        <v>50</v>
      </c>
      <c r="C2250" s="224" t="s">
        <v>89</v>
      </c>
      <c r="D2250" s="224" t="s">
        <v>55</v>
      </c>
      <c r="E2250" s="224" t="s">
        <v>256</v>
      </c>
      <c r="F2250" s="224" t="s">
        <v>248</v>
      </c>
      <c r="G2250" s="223" t="str">
        <f>VLOOKUP($B2250,'FRS geographical categories'!$A$2:$C$45,2,FALSE)</f>
        <v>Predominantly Urban</v>
      </c>
      <c r="H2250" s="223" t="str">
        <f>VLOOKUP($B2250,'FRS geographical categories'!$A$2:$C$45,3,FALSE)</f>
        <v>Metropolitan</v>
      </c>
      <c r="I2250" s="224">
        <v>0</v>
      </c>
    </row>
    <row r="2251" spans="1:9" ht="15.5" x14ac:dyDescent="0.35">
      <c r="A2251" s="224" t="s">
        <v>56</v>
      </c>
      <c r="B2251" s="224" t="s">
        <v>50</v>
      </c>
      <c r="C2251" s="224" t="s">
        <v>89</v>
      </c>
      <c r="D2251" s="224" t="s">
        <v>55</v>
      </c>
      <c r="E2251" s="224" t="s">
        <v>256</v>
      </c>
      <c r="F2251" s="224" t="s">
        <v>249</v>
      </c>
      <c r="G2251" s="223" t="str">
        <f>VLOOKUP($B2251,'FRS geographical categories'!$A$2:$C$45,2,FALSE)</f>
        <v>Predominantly Urban</v>
      </c>
      <c r="H2251" s="223" t="str">
        <f>VLOOKUP($B2251,'FRS geographical categories'!$A$2:$C$45,3,FALSE)</f>
        <v>Metropolitan</v>
      </c>
      <c r="I2251" s="224">
        <v>0</v>
      </c>
    </row>
    <row r="2252" spans="1:9" ht="15.5" x14ac:dyDescent="0.35">
      <c r="A2252" s="224" t="s">
        <v>56</v>
      </c>
      <c r="B2252" s="224" t="s">
        <v>50</v>
      </c>
      <c r="C2252" s="224" t="s">
        <v>89</v>
      </c>
      <c r="D2252" s="224" t="s">
        <v>55</v>
      </c>
      <c r="E2252" s="224" t="s">
        <v>256</v>
      </c>
      <c r="F2252" s="224" t="s">
        <v>250</v>
      </c>
      <c r="G2252" s="223" t="str">
        <f>VLOOKUP($B2252,'FRS geographical categories'!$A$2:$C$45,2,FALSE)</f>
        <v>Predominantly Urban</v>
      </c>
      <c r="H2252" s="223" t="str">
        <f>VLOOKUP($B2252,'FRS geographical categories'!$A$2:$C$45,3,FALSE)</f>
        <v>Metropolitan</v>
      </c>
      <c r="I2252" s="224">
        <v>0</v>
      </c>
    </row>
    <row r="2253" spans="1:9" ht="15.5" x14ac:dyDescent="0.35">
      <c r="A2253" s="224" t="s">
        <v>56</v>
      </c>
      <c r="B2253" s="224" t="s">
        <v>50</v>
      </c>
      <c r="C2253" s="224" t="s">
        <v>89</v>
      </c>
      <c r="D2253" s="224" t="s">
        <v>55</v>
      </c>
      <c r="E2253" s="224" t="s">
        <v>256</v>
      </c>
      <c r="F2253" s="224" t="s">
        <v>10</v>
      </c>
      <c r="G2253" s="223" t="str">
        <f>VLOOKUP($B2253,'FRS geographical categories'!$A$2:$C$45,2,FALSE)</f>
        <v>Predominantly Urban</v>
      </c>
      <c r="H2253" s="223" t="str">
        <f>VLOOKUP($B2253,'FRS geographical categories'!$A$2:$C$45,3,FALSE)</f>
        <v>Metropolitan</v>
      </c>
      <c r="I2253" s="224">
        <v>0</v>
      </c>
    </row>
    <row r="2254" spans="1:9" ht="15.5" x14ac:dyDescent="0.35">
      <c r="A2254" s="224" t="s">
        <v>56</v>
      </c>
      <c r="B2254" s="224" t="s">
        <v>51</v>
      </c>
      <c r="C2254" s="224" t="s">
        <v>86</v>
      </c>
      <c r="D2254" s="224" t="s">
        <v>9</v>
      </c>
      <c r="E2254" s="224" t="s">
        <v>256</v>
      </c>
      <c r="F2254" s="224" t="s">
        <v>248</v>
      </c>
      <c r="G2254" s="223" t="str">
        <f>VLOOKUP($B2254,'FRS geographical categories'!$A$2:$C$45,2,FALSE)</f>
        <v>Significantly Rural</v>
      </c>
      <c r="H2254" s="223" t="str">
        <f>VLOOKUP($B2254,'FRS geographical categories'!$A$2:$C$45,3,FALSE)</f>
        <v>Non-metropolitan</v>
      </c>
      <c r="I2254" s="224">
        <v>442</v>
      </c>
    </row>
    <row r="2255" spans="1:9" ht="15.5" x14ac:dyDescent="0.35">
      <c r="A2255" s="224" t="s">
        <v>56</v>
      </c>
      <c r="B2255" s="224" t="s">
        <v>51</v>
      </c>
      <c r="C2255" s="224" t="s">
        <v>86</v>
      </c>
      <c r="D2255" s="224" t="s">
        <v>9</v>
      </c>
      <c r="E2255" s="224" t="s">
        <v>256</v>
      </c>
      <c r="F2255" s="224" t="s">
        <v>249</v>
      </c>
      <c r="G2255" s="223" t="str">
        <f>VLOOKUP($B2255,'FRS geographical categories'!$A$2:$C$45,2,FALSE)</f>
        <v>Significantly Rural</v>
      </c>
      <c r="H2255" s="223" t="str">
        <f>VLOOKUP($B2255,'FRS geographical categories'!$A$2:$C$45,3,FALSE)</f>
        <v>Non-metropolitan</v>
      </c>
      <c r="I2255" s="224">
        <v>2681</v>
      </c>
    </row>
    <row r="2256" spans="1:9" ht="15.5" x14ac:dyDescent="0.35">
      <c r="A2256" s="224" t="s">
        <v>56</v>
      </c>
      <c r="B2256" s="224" t="s">
        <v>51</v>
      </c>
      <c r="C2256" s="224" t="s">
        <v>86</v>
      </c>
      <c r="D2256" s="224" t="s">
        <v>9</v>
      </c>
      <c r="E2256" s="224" t="s">
        <v>256</v>
      </c>
      <c r="F2256" s="224" t="s">
        <v>250</v>
      </c>
      <c r="G2256" s="223" t="str">
        <f>VLOOKUP($B2256,'FRS geographical categories'!$A$2:$C$45,2,FALSE)</f>
        <v>Significantly Rural</v>
      </c>
      <c r="H2256" s="223" t="str">
        <f>VLOOKUP($B2256,'FRS geographical categories'!$A$2:$C$45,3,FALSE)</f>
        <v>Non-metropolitan</v>
      </c>
      <c r="I2256" s="224">
        <v>247</v>
      </c>
    </row>
    <row r="2257" spans="1:9" ht="15.5" x14ac:dyDescent="0.35">
      <c r="A2257" s="224" t="s">
        <v>56</v>
      </c>
      <c r="B2257" s="224" t="s">
        <v>51</v>
      </c>
      <c r="C2257" s="224" t="s">
        <v>86</v>
      </c>
      <c r="D2257" s="224" t="s">
        <v>9</v>
      </c>
      <c r="E2257" s="224" t="s">
        <v>256</v>
      </c>
      <c r="F2257" s="224" t="s">
        <v>111</v>
      </c>
      <c r="G2257" s="223" t="str">
        <f>VLOOKUP($B2257,'FRS geographical categories'!$A$2:$C$45,2,FALSE)</f>
        <v>Significantly Rural</v>
      </c>
      <c r="H2257" s="223" t="str">
        <f>VLOOKUP($B2257,'FRS geographical categories'!$A$2:$C$45,3,FALSE)</f>
        <v>Non-metropolitan</v>
      </c>
      <c r="I2257" s="224">
        <v>3356</v>
      </c>
    </row>
    <row r="2258" spans="1:9" ht="15.5" x14ac:dyDescent="0.35">
      <c r="A2258" s="224" t="s">
        <v>56</v>
      </c>
      <c r="B2258" s="224" t="s">
        <v>51</v>
      </c>
      <c r="C2258" s="224" t="s">
        <v>86</v>
      </c>
      <c r="D2258" s="224" t="s">
        <v>9</v>
      </c>
      <c r="E2258" s="224" t="s">
        <v>256</v>
      </c>
      <c r="F2258" s="224" t="s">
        <v>10</v>
      </c>
      <c r="G2258" s="223" t="str">
        <f>VLOOKUP($B2258,'FRS geographical categories'!$A$2:$C$45,2,FALSE)</f>
        <v>Significantly Rural</v>
      </c>
      <c r="H2258" s="223" t="str">
        <f>VLOOKUP($B2258,'FRS geographical categories'!$A$2:$C$45,3,FALSE)</f>
        <v>Non-metropolitan</v>
      </c>
      <c r="I2258" s="224">
        <v>3519</v>
      </c>
    </row>
    <row r="2259" spans="1:9" ht="15.5" x14ac:dyDescent="0.35">
      <c r="A2259" s="224" t="s">
        <v>56</v>
      </c>
      <c r="B2259" s="224" t="s">
        <v>51</v>
      </c>
      <c r="C2259" s="224" t="s">
        <v>86</v>
      </c>
      <c r="D2259" s="224" t="s">
        <v>55</v>
      </c>
      <c r="E2259" s="224" t="s">
        <v>256</v>
      </c>
      <c r="F2259" s="224" t="s">
        <v>248</v>
      </c>
      <c r="G2259" s="223" t="str">
        <f>VLOOKUP($B2259,'FRS geographical categories'!$A$2:$C$45,2,FALSE)</f>
        <v>Significantly Rural</v>
      </c>
      <c r="H2259" s="223" t="str">
        <f>VLOOKUP($B2259,'FRS geographical categories'!$A$2:$C$45,3,FALSE)</f>
        <v>Non-metropolitan</v>
      </c>
      <c r="I2259" s="224">
        <v>0</v>
      </c>
    </row>
    <row r="2260" spans="1:9" ht="15.5" x14ac:dyDescent="0.35">
      <c r="A2260" s="224" t="s">
        <v>56</v>
      </c>
      <c r="B2260" s="224" t="s">
        <v>51</v>
      </c>
      <c r="C2260" s="224" t="s">
        <v>86</v>
      </c>
      <c r="D2260" s="224" t="s">
        <v>55</v>
      </c>
      <c r="E2260" s="224" t="s">
        <v>256</v>
      </c>
      <c r="F2260" s="224" t="s">
        <v>249</v>
      </c>
      <c r="G2260" s="223" t="str">
        <f>VLOOKUP($B2260,'FRS geographical categories'!$A$2:$C$45,2,FALSE)</f>
        <v>Significantly Rural</v>
      </c>
      <c r="H2260" s="223" t="str">
        <f>VLOOKUP($B2260,'FRS geographical categories'!$A$2:$C$45,3,FALSE)</f>
        <v>Non-metropolitan</v>
      </c>
      <c r="I2260" s="224">
        <v>0</v>
      </c>
    </row>
    <row r="2261" spans="1:9" ht="15.5" x14ac:dyDescent="0.35">
      <c r="A2261" s="224" t="s">
        <v>56</v>
      </c>
      <c r="B2261" s="224" t="s">
        <v>51</v>
      </c>
      <c r="C2261" s="224" t="s">
        <v>86</v>
      </c>
      <c r="D2261" s="224" t="s">
        <v>55</v>
      </c>
      <c r="E2261" s="224" t="s">
        <v>256</v>
      </c>
      <c r="F2261" s="224" t="s">
        <v>250</v>
      </c>
      <c r="G2261" s="223" t="str">
        <f>VLOOKUP($B2261,'FRS geographical categories'!$A$2:$C$45,2,FALSE)</f>
        <v>Significantly Rural</v>
      </c>
      <c r="H2261" s="223" t="str">
        <f>VLOOKUP($B2261,'FRS geographical categories'!$A$2:$C$45,3,FALSE)</f>
        <v>Non-metropolitan</v>
      </c>
      <c r="I2261" s="224">
        <v>0</v>
      </c>
    </row>
    <row r="2262" spans="1:9" ht="15.5" x14ac:dyDescent="0.35">
      <c r="A2262" s="224" t="s">
        <v>56</v>
      </c>
      <c r="B2262" s="224" t="s">
        <v>51</v>
      </c>
      <c r="C2262" s="224" t="s">
        <v>86</v>
      </c>
      <c r="D2262" s="224" t="s">
        <v>55</v>
      </c>
      <c r="E2262" s="224" t="s">
        <v>256</v>
      </c>
      <c r="F2262" s="224" t="s">
        <v>111</v>
      </c>
      <c r="G2262" s="223" t="str">
        <f>VLOOKUP($B2262,'FRS geographical categories'!$A$2:$C$45,2,FALSE)</f>
        <v>Significantly Rural</v>
      </c>
      <c r="H2262" s="223" t="str">
        <f>VLOOKUP($B2262,'FRS geographical categories'!$A$2:$C$45,3,FALSE)</f>
        <v>Non-metropolitan</v>
      </c>
      <c r="I2262" s="224">
        <v>33</v>
      </c>
    </row>
    <row r="2263" spans="1:9" ht="15.5" x14ac:dyDescent="0.35">
      <c r="A2263" s="224" t="s">
        <v>56</v>
      </c>
      <c r="B2263" s="224" t="s">
        <v>51</v>
      </c>
      <c r="C2263" s="224" t="s">
        <v>86</v>
      </c>
      <c r="D2263" s="224" t="s">
        <v>55</v>
      </c>
      <c r="E2263" s="224" t="s">
        <v>256</v>
      </c>
      <c r="F2263" s="224" t="s">
        <v>10</v>
      </c>
      <c r="G2263" s="223" t="str">
        <f>VLOOKUP($B2263,'FRS geographical categories'!$A$2:$C$45,2,FALSE)</f>
        <v>Significantly Rural</v>
      </c>
      <c r="H2263" s="223" t="str">
        <f>VLOOKUP($B2263,'FRS geographical categories'!$A$2:$C$45,3,FALSE)</f>
        <v>Non-metropolitan</v>
      </c>
      <c r="I2263" s="224">
        <v>33</v>
      </c>
    </row>
    <row r="2264" spans="1:9" ht="15.5" x14ac:dyDescent="0.35">
      <c r="A2264" s="224" t="s">
        <v>56</v>
      </c>
      <c r="B2264" s="224" t="s">
        <v>51</v>
      </c>
      <c r="C2264" s="224" t="s">
        <v>89</v>
      </c>
      <c r="D2264" s="224" t="s">
        <v>9</v>
      </c>
      <c r="E2264" s="224" t="s">
        <v>256</v>
      </c>
      <c r="F2264" s="224" t="s">
        <v>248</v>
      </c>
      <c r="G2264" s="223" t="str">
        <f>VLOOKUP($B2264,'FRS geographical categories'!$A$2:$C$45,2,FALSE)</f>
        <v>Significantly Rural</v>
      </c>
      <c r="H2264" s="223" t="str">
        <f>VLOOKUP($B2264,'FRS geographical categories'!$A$2:$C$45,3,FALSE)</f>
        <v>Non-metropolitan</v>
      </c>
      <c r="I2264" s="224">
        <v>0</v>
      </c>
    </row>
    <row r="2265" spans="1:9" ht="15.5" x14ac:dyDescent="0.35">
      <c r="A2265" s="224" t="s">
        <v>56</v>
      </c>
      <c r="B2265" s="224" t="s">
        <v>51</v>
      </c>
      <c r="C2265" s="224" t="s">
        <v>89</v>
      </c>
      <c r="D2265" s="224" t="s">
        <v>9</v>
      </c>
      <c r="E2265" s="224" t="s">
        <v>256</v>
      </c>
      <c r="F2265" s="224" t="s">
        <v>249</v>
      </c>
      <c r="G2265" s="223" t="str">
        <f>VLOOKUP($B2265,'FRS geographical categories'!$A$2:$C$45,2,FALSE)</f>
        <v>Significantly Rural</v>
      </c>
      <c r="H2265" s="223" t="str">
        <f>VLOOKUP($B2265,'FRS geographical categories'!$A$2:$C$45,3,FALSE)</f>
        <v>Non-metropolitan</v>
      </c>
      <c r="I2265" s="224">
        <v>0</v>
      </c>
    </row>
    <row r="2266" spans="1:9" ht="15.5" x14ac:dyDescent="0.35">
      <c r="A2266" s="224" t="s">
        <v>56</v>
      </c>
      <c r="B2266" s="224" t="s">
        <v>51</v>
      </c>
      <c r="C2266" s="224" t="s">
        <v>89</v>
      </c>
      <c r="D2266" s="224" t="s">
        <v>9</v>
      </c>
      <c r="E2266" s="224" t="s">
        <v>256</v>
      </c>
      <c r="F2266" s="224" t="s">
        <v>250</v>
      </c>
      <c r="G2266" s="223" t="str">
        <f>VLOOKUP($B2266,'FRS geographical categories'!$A$2:$C$45,2,FALSE)</f>
        <v>Significantly Rural</v>
      </c>
      <c r="H2266" s="223" t="str">
        <f>VLOOKUP($B2266,'FRS geographical categories'!$A$2:$C$45,3,FALSE)</f>
        <v>Non-metropolitan</v>
      </c>
      <c r="I2266" s="224">
        <v>0</v>
      </c>
    </row>
    <row r="2267" spans="1:9" ht="15.5" x14ac:dyDescent="0.35">
      <c r="A2267" s="224" t="s">
        <v>56</v>
      </c>
      <c r="B2267" s="224" t="s">
        <v>51</v>
      </c>
      <c r="C2267" s="224" t="s">
        <v>89</v>
      </c>
      <c r="D2267" s="224" t="s">
        <v>9</v>
      </c>
      <c r="E2267" s="224" t="s">
        <v>256</v>
      </c>
      <c r="F2267" s="224" t="s">
        <v>10</v>
      </c>
      <c r="G2267" s="223" t="str">
        <f>VLOOKUP($B2267,'FRS geographical categories'!$A$2:$C$45,2,FALSE)</f>
        <v>Significantly Rural</v>
      </c>
      <c r="H2267" s="223" t="str">
        <f>VLOOKUP($B2267,'FRS geographical categories'!$A$2:$C$45,3,FALSE)</f>
        <v>Non-metropolitan</v>
      </c>
      <c r="I2267" s="224">
        <v>0</v>
      </c>
    </row>
    <row r="2268" spans="1:9" ht="15.5" x14ac:dyDescent="0.35">
      <c r="A2268" s="224" t="s">
        <v>56</v>
      </c>
      <c r="B2268" s="224" t="s">
        <v>51</v>
      </c>
      <c r="C2268" s="224" t="s">
        <v>89</v>
      </c>
      <c r="D2268" s="224" t="s">
        <v>55</v>
      </c>
      <c r="E2268" s="224" t="s">
        <v>256</v>
      </c>
      <c r="F2268" s="224" t="s">
        <v>248</v>
      </c>
      <c r="G2268" s="223" t="str">
        <f>VLOOKUP($B2268,'FRS geographical categories'!$A$2:$C$45,2,FALSE)</f>
        <v>Significantly Rural</v>
      </c>
      <c r="H2268" s="223" t="str">
        <f>VLOOKUP($B2268,'FRS geographical categories'!$A$2:$C$45,3,FALSE)</f>
        <v>Non-metropolitan</v>
      </c>
      <c r="I2268" s="224">
        <v>0</v>
      </c>
    </row>
    <row r="2269" spans="1:9" ht="15.5" x14ac:dyDescent="0.35">
      <c r="A2269" s="224" t="s">
        <v>56</v>
      </c>
      <c r="B2269" s="224" t="s">
        <v>51</v>
      </c>
      <c r="C2269" s="224" t="s">
        <v>89</v>
      </c>
      <c r="D2269" s="224" t="s">
        <v>55</v>
      </c>
      <c r="E2269" s="224" t="s">
        <v>256</v>
      </c>
      <c r="F2269" s="224" t="s">
        <v>249</v>
      </c>
      <c r="G2269" s="223" t="str">
        <f>VLOOKUP($B2269,'FRS geographical categories'!$A$2:$C$45,2,FALSE)</f>
        <v>Significantly Rural</v>
      </c>
      <c r="H2269" s="223" t="str">
        <f>VLOOKUP($B2269,'FRS geographical categories'!$A$2:$C$45,3,FALSE)</f>
        <v>Non-metropolitan</v>
      </c>
      <c r="I2269" s="224">
        <v>0</v>
      </c>
    </row>
    <row r="2270" spans="1:9" ht="15.5" x14ac:dyDescent="0.35">
      <c r="A2270" s="224" t="s">
        <v>56</v>
      </c>
      <c r="B2270" s="224" t="s">
        <v>51</v>
      </c>
      <c r="C2270" s="224" t="s">
        <v>89</v>
      </c>
      <c r="D2270" s="224" t="s">
        <v>55</v>
      </c>
      <c r="E2270" s="224" t="s">
        <v>256</v>
      </c>
      <c r="F2270" s="224" t="s">
        <v>250</v>
      </c>
      <c r="G2270" s="223" t="str">
        <f>VLOOKUP($B2270,'FRS geographical categories'!$A$2:$C$45,2,FALSE)</f>
        <v>Significantly Rural</v>
      </c>
      <c r="H2270" s="223" t="str">
        <f>VLOOKUP($B2270,'FRS geographical categories'!$A$2:$C$45,3,FALSE)</f>
        <v>Non-metropolitan</v>
      </c>
      <c r="I2270" s="224">
        <v>0</v>
      </c>
    </row>
    <row r="2271" spans="1:9" ht="15.5" x14ac:dyDescent="0.35">
      <c r="A2271" s="224" t="s">
        <v>56</v>
      </c>
      <c r="B2271" s="224" t="s">
        <v>51</v>
      </c>
      <c r="C2271" s="224" t="s">
        <v>89</v>
      </c>
      <c r="D2271" s="224" t="s">
        <v>55</v>
      </c>
      <c r="E2271" s="224" t="s">
        <v>256</v>
      </c>
      <c r="F2271" s="224" t="s">
        <v>10</v>
      </c>
      <c r="G2271" s="223" t="str">
        <f>VLOOKUP($B2271,'FRS geographical categories'!$A$2:$C$45,2,FALSE)</f>
        <v>Significantly Rural</v>
      </c>
      <c r="H2271" s="223" t="str">
        <f>VLOOKUP($B2271,'FRS geographical categories'!$A$2:$C$45,3,FALSE)</f>
        <v>Non-metropolitan</v>
      </c>
      <c r="I2271" s="224">
        <v>0</v>
      </c>
    </row>
    <row r="2272" spans="1:9" ht="15.5" x14ac:dyDescent="0.35">
      <c r="A2272" s="224" t="s">
        <v>56</v>
      </c>
      <c r="B2272" s="224" t="s">
        <v>52</v>
      </c>
      <c r="C2272" s="224" t="s">
        <v>86</v>
      </c>
      <c r="D2272" s="224" t="s">
        <v>9</v>
      </c>
      <c r="E2272" s="224" t="s">
        <v>256</v>
      </c>
      <c r="F2272" s="224" t="s">
        <v>248</v>
      </c>
      <c r="G2272" s="223" t="str">
        <f>VLOOKUP($B2272,'FRS geographical categories'!$A$2:$C$45,2,FALSE)</f>
        <v>Predominantly Urban</v>
      </c>
      <c r="H2272" s="223" t="str">
        <f>VLOOKUP($B2272,'FRS geographical categories'!$A$2:$C$45,3,FALSE)</f>
        <v>Metropolitan</v>
      </c>
      <c r="I2272" s="224">
        <v>1355</v>
      </c>
    </row>
    <row r="2273" spans="1:9" ht="15.5" x14ac:dyDescent="0.35">
      <c r="A2273" s="224" t="s">
        <v>56</v>
      </c>
      <c r="B2273" s="224" t="s">
        <v>52</v>
      </c>
      <c r="C2273" s="224" t="s">
        <v>86</v>
      </c>
      <c r="D2273" s="224" t="s">
        <v>9</v>
      </c>
      <c r="E2273" s="224" t="s">
        <v>256</v>
      </c>
      <c r="F2273" s="224" t="s">
        <v>249</v>
      </c>
      <c r="G2273" s="223" t="str">
        <f>VLOOKUP($B2273,'FRS geographical categories'!$A$2:$C$45,2,FALSE)</f>
        <v>Predominantly Urban</v>
      </c>
      <c r="H2273" s="223" t="str">
        <f>VLOOKUP($B2273,'FRS geographical categories'!$A$2:$C$45,3,FALSE)</f>
        <v>Metropolitan</v>
      </c>
      <c r="I2273" s="224">
        <v>3882</v>
      </c>
    </row>
    <row r="2274" spans="1:9" ht="15.5" x14ac:dyDescent="0.35">
      <c r="A2274" s="224" t="s">
        <v>56</v>
      </c>
      <c r="B2274" s="224" t="s">
        <v>52</v>
      </c>
      <c r="C2274" s="224" t="s">
        <v>86</v>
      </c>
      <c r="D2274" s="224" t="s">
        <v>9</v>
      </c>
      <c r="E2274" s="224" t="s">
        <v>256</v>
      </c>
      <c r="F2274" s="224" t="s">
        <v>250</v>
      </c>
      <c r="G2274" s="223" t="str">
        <f>VLOOKUP($B2274,'FRS geographical categories'!$A$2:$C$45,2,FALSE)</f>
        <v>Predominantly Urban</v>
      </c>
      <c r="H2274" s="223" t="str">
        <f>VLOOKUP($B2274,'FRS geographical categories'!$A$2:$C$45,3,FALSE)</f>
        <v>Metropolitan</v>
      </c>
      <c r="I2274" s="224">
        <v>2179</v>
      </c>
    </row>
    <row r="2275" spans="1:9" ht="15.5" x14ac:dyDescent="0.35">
      <c r="A2275" s="224" t="s">
        <v>56</v>
      </c>
      <c r="B2275" s="224" t="s">
        <v>52</v>
      </c>
      <c r="C2275" s="224" t="s">
        <v>86</v>
      </c>
      <c r="D2275" s="224" t="s">
        <v>9</v>
      </c>
      <c r="E2275" s="224" t="s">
        <v>256</v>
      </c>
      <c r="F2275" s="224" t="s">
        <v>111</v>
      </c>
      <c r="G2275" s="223" t="str">
        <f>VLOOKUP($B2275,'FRS geographical categories'!$A$2:$C$45,2,FALSE)</f>
        <v>Predominantly Urban</v>
      </c>
      <c r="H2275" s="223" t="str">
        <f>VLOOKUP($B2275,'FRS geographical categories'!$A$2:$C$45,3,FALSE)</f>
        <v>Metropolitan</v>
      </c>
      <c r="I2275" s="224">
        <v>10851</v>
      </c>
    </row>
    <row r="2276" spans="1:9" ht="15.5" x14ac:dyDescent="0.35">
      <c r="A2276" s="224" t="s">
        <v>56</v>
      </c>
      <c r="B2276" s="224" t="s">
        <v>52</v>
      </c>
      <c r="C2276" s="224" t="s">
        <v>86</v>
      </c>
      <c r="D2276" s="224" t="s">
        <v>9</v>
      </c>
      <c r="E2276" s="224" t="s">
        <v>256</v>
      </c>
      <c r="F2276" s="224" t="s">
        <v>10</v>
      </c>
      <c r="G2276" s="223" t="str">
        <f>VLOOKUP($B2276,'FRS geographical categories'!$A$2:$C$45,2,FALSE)</f>
        <v>Predominantly Urban</v>
      </c>
      <c r="H2276" s="223" t="str">
        <f>VLOOKUP($B2276,'FRS geographical categories'!$A$2:$C$45,3,FALSE)</f>
        <v>Metropolitan</v>
      </c>
      <c r="I2276" s="224">
        <v>10851</v>
      </c>
    </row>
    <row r="2277" spans="1:9" ht="15.5" x14ac:dyDescent="0.35">
      <c r="A2277" s="224" t="s">
        <v>56</v>
      </c>
      <c r="B2277" s="224" t="s">
        <v>52</v>
      </c>
      <c r="C2277" s="224" t="s">
        <v>86</v>
      </c>
      <c r="D2277" s="224" t="s">
        <v>55</v>
      </c>
      <c r="E2277" s="224" t="s">
        <v>256</v>
      </c>
      <c r="F2277" s="224" t="s">
        <v>248</v>
      </c>
      <c r="G2277" s="223" t="str">
        <f>VLOOKUP($B2277,'FRS geographical categories'!$A$2:$C$45,2,FALSE)</f>
        <v>Predominantly Urban</v>
      </c>
      <c r="H2277" s="223" t="str">
        <f>VLOOKUP($B2277,'FRS geographical categories'!$A$2:$C$45,3,FALSE)</f>
        <v>Metropolitan</v>
      </c>
      <c r="I2277" s="224">
        <v>0</v>
      </c>
    </row>
    <row r="2278" spans="1:9" ht="15.5" x14ac:dyDescent="0.35">
      <c r="A2278" s="224" t="s">
        <v>56</v>
      </c>
      <c r="B2278" s="224" t="s">
        <v>52</v>
      </c>
      <c r="C2278" s="224" t="s">
        <v>86</v>
      </c>
      <c r="D2278" s="224" t="s">
        <v>55</v>
      </c>
      <c r="E2278" s="224" t="s">
        <v>256</v>
      </c>
      <c r="F2278" s="224" t="s">
        <v>249</v>
      </c>
      <c r="G2278" s="223" t="str">
        <f>VLOOKUP($B2278,'FRS geographical categories'!$A$2:$C$45,2,FALSE)</f>
        <v>Predominantly Urban</v>
      </c>
      <c r="H2278" s="223" t="str">
        <f>VLOOKUP($B2278,'FRS geographical categories'!$A$2:$C$45,3,FALSE)</f>
        <v>Metropolitan</v>
      </c>
      <c r="I2278" s="224">
        <v>0</v>
      </c>
    </row>
    <row r="2279" spans="1:9" ht="15.5" x14ac:dyDescent="0.35">
      <c r="A2279" s="224" t="s">
        <v>56</v>
      </c>
      <c r="B2279" s="224" t="s">
        <v>52</v>
      </c>
      <c r="C2279" s="224" t="s">
        <v>86</v>
      </c>
      <c r="D2279" s="224" t="s">
        <v>55</v>
      </c>
      <c r="E2279" s="224" t="s">
        <v>256</v>
      </c>
      <c r="F2279" s="224" t="s">
        <v>250</v>
      </c>
      <c r="G2279" s="223" t="str">
        <f>VLOOKUP($B2279,'FRS geographical categories'!$A$2:$C$45,2,FALSE)</f>
        <v>Predominantly Urban</v>
      </c>
      <c r="H2279" s="223" t="str">
        <f>VLOOKUP($B2279,'FRS geographical categories'!$A$2:$C$45,3,FALSE)</f>
        <v>Metropolitan</v>
      </c>
      <c r="I2279" s="224">
        <v>0</v>
      </c>
    </row>
    <row r="2280" spans="1:9" ht="15.5" x14ac:dyDescent="0.35">
      <c r="A2280" s="224" t="s">
        <v>56</v>
      </c>
      <c r="B2280" s="224" t="s">
        <v>52</v>
      </c>
      <c r="C2280" s="224" t="s">
        <v>86</v>
      </c>
      <c r="D2280" s="224" t="s">
        <v>55</v>
      </c>
      <c r="E2280" s="224" t="s">
        <v>256</v>
      </c>
      <c r="F2280" s="224" t="s">
        <v>111</v>
      </c>
      <c r="G2280" s="223" t="str">
        <f>VLOOKUP($B2280,'FRS geographical categories'!$A$2:$C$45,2,FALSE)</f>
        <v>Predominantly Urban</v>
      </c>
      <c r="H2280" s="223" t="str">
        <f>VLOOKUP($B2280,'FRS geographical categories'!$A$2:$C$45,3,FALSE)</f>
        <v>Metropolitan</v>
      </c>
      <c r="I2280" s="224">
        <v>0</v>
      </c>
    </row>
    <row r="2281" spans="1:9" ht="15.5" x14ac:dyDescent="0.35">
      <c r="A2281" s="224" t="s">
        <v>56</v>
      </c>
      <c r="B2281" s="224" t="s">
        <v>52</v>
      </c>
      <c r="C2281" s="224" t="s">
        <v>86</v>
      </c>
      <c r="D2281" s="224" t="s">
        <v>55</v>
      </c>
      <c r="E2281" s="224" t="s">
        <v>256</v>
      </c>
      <c r="F2281" s="224" t="s">
        <v>10</v>
      </c>
      <c r="G2281" s="223" t="str">
        <f>VLOOKUP($B2281,'FRS geographical categories'!$A$2:$C$45,2,FALSE)</f>
        <v>Predominantly Urban</v>
      </c>
      <c r="H2281" s="223" t="str">
        <f>VLOOKUP($B2281,'FRS geographical categories'!$A$2:$C$45,3,FALSE)</f>
        <v>Metropolitan</v>
      </c>
      <c r="I2281" s="224">
        <v>0</v>
      </c>
    </row>
    <row r="2282" spans="1:9" ht="15.5" x14ac:dyDescent="0.35">
      <c r="A2282" s="224" t="s">
        <v>56</v>
      </c>
      <c r="B2282" s="224" t="s">
        <v>52</v>
      </c>
      <c r="C2282" s="224" t="s">
        <v>89</v>
      </c>
      <c r="D2282" s="224" t="s">
        <v>9</v>
      </c>
      <c r="E2282" s="224" t="s">
        <v>256</v>
      </c>
      <c r="F2282" s="224" t="s">
        <v>248</v>
      </c>
      <c r="G2282" s="223" t="str">
        <f>VLOOKUP($B2282,'FRS geographical categories'!$A$2:$C$45,2,FALSE)</f>
        <v>Predominantly Urban</v>
      </c>
      <c r="H2282" s="223" t="str">
        <f>VLOOKUP($B2282,'FRS geographical categories'!$A$2:$C$45,3,FALSE)</f>
        <v>Metropolitan</v>
      </c>
      <c r="I2282" s="224">
        <v>0</v>
      </c>
    </row>
    <row r="2283" spans="1:9" ht="15.5" x14ac:dyDescent="0.35">
      <c r="A2283" s="224" t="s">
        <v>56</v>
      </c>
      <c r="B2283" s="224" t="s">
        <v>52</v>
      </c>
      <c r="C2283" s="224" t="s">
        <v>89</v>
      </c>
      <c r="D2283" s="224" t="s">
        <v>9</v>
      </c>
      <c r="E2283" s="224" t="s">
        <v>256</v>
      </c>
      <c r="F2283" s="224" t="s">
        <v>249</v>
      </c>
      <c r="G2283" s="223" t="str">
        <f>VLOOKUP($B2283,'FRS geographical categories'!$A$2:$C$45,2,FALSE)</f>
        <v>Predominantly Urban</v>
      </c>
      <c r="H2283" s="223" t="str">
        <f>VLOOKUP($B2283,'FRS geographical categories'!$A$2:$C$45,3,FALSE)</f>
        <v>Metropolitan</v>
      </c>
      <c r="I2283" s="224">
        <v>0</v>
      </c>
    </row>
    <row r="2284" spans="1:9" ht="15.5" x14ac:dyDescent="0.35">
      <c r="A2284" s="224" t="s">
        <v>56</v>
      </c>
      <c r="B2284" s="224" t="s">
        <v>52</v>
      </c>
      <c r="C2284" s="224" t="s">
        <v>89</v>
      </c>
      <c r="D2284" s="224" t="s">
        <v>9</v>
      </c>
      <c r="E2284" s="224" t="s">
        <v>256</v>
      </c>
      <c r="F2284" s="224" t="s">
        <v>250</v>
      </c>
      <c r="G2284" s="223" t="str">
        <f>VLOOKUP($B2284,'FRS geographical categories'!$A$2:$C$45,2,FALSE)</f>
        <v>Predominantly Urban</v>
      </c>
      <c r="H2284" s="223" t="str">
        <f>VLOOKUP($B2284,'FRS geographical categories'!$A$2:$C$45,3,FALSE)</f>
        <v>Metropolitan</v>
      </c>
      <c r="I2284" s="224">
        <v>0</v>
      </c>
    </row>
    <row r="2285" spans="1:9" ht="15.5" x14ac:dyDescent="0.35">
      <c r="A2285" s="224" t="s">
        <v>56</v>
      </c>
      <c r="B2285" s="224" t="s">
        <v>52</v>
      </c>
      <c r="C2285" s="224" t="s">
        <v>89</v>
      </c>
      <c r="D2285" s="224" t="s">
        <v>9</v>
      </c>
      <c r="E2285" s="224" t="s">
        <v>256</v>
      </c>
      <c r="F2285" s="224" t="s">
        <v>10</v>
      </c>
      <c r="G2285" s="223" t="str">
        <f>VLOOKUP($B2285,'FRS geographical categories'!$A$2:$C$45,2,FALSE)</f>
        <v>Predominantly Urban</v>
      </c>
      <c r="H2285" s="223" t="str">
        <f>VLOOKUP($B2285,'FRS geographical categories'!$A$2:$C$45,3,FALSE)</f>
        <v>Metropolitan</v>
      </c>
      <c r="I2285" s="224">
        <v>0</v>
      </c>
    </row>
    <row r="2286" spans="1:9" ht="15.5" x14ac:dyDescent="0.35">
      <c r="A2286" s="224" t="s">
        <v>56</v>
      </c>
      <c r="B2286" s="224" t="s">
        <v>52</v>
      </c>
      <c r="C2286" s="224" t="s">
        <v>89</v>
      </c>
      <c r="D2286" s="224" t="s">
        <v>55</v>
      </c>
      <c r="E2286" s="224" t="s">
        <v>256</v>
      </c>
      <c r="F2286" s="224" t="s">
        <v>248</v>
      </c>
      <c r="G2286" s="223" t="str">
        <f>VLOOKUP($B2286,'FRS geographical categories'!$A$2:$C$45,2,FALSE)</f>
        <v>Predominantly Urban</v>
      </c>
      <c r="H2286" s="223" t="str">
        <f>VLOOKUP($B2286,'FRS geographical categories'!$A$2:$C$45,3,FALSE)</f>
        <v>Metropolitan</v>
      </c>
      <c r="I2286" s="224">
        <v>0</v>
      </c>
    </row>
    <row r="2287" spans="1:9" ht="15.5" x14ac:dyDescent="0.35">
      <c r="A2287" s="224" t="s">
        <v>56</v>
      </c>
      <c r="B2287" s="224" t="s">
        <v>52</v>
      </c>
      <c r="C2287" s="224" t="s">
        <v>89</v>
      </c>
      <c r="D2287" s="224" t="s">
        <v>55</v>
      </c>
      <c r="E2287" s="224" t="s">
        <v>256</v>
      </c>
      <c r="F2287" s="224" t="s">
        <v>249</v>
      </c>
      <c r="G2287" s="223" t="str">
        <f>VLOOKUP($B2287,'FRS geographical categories'!$A$2:$C$45,2,FALSE)</f>
        <v>Predominantly Urban</v>
      </c>
      <c r="H2287" s="223" t="str">
        <f>VLOOKUP($B2287,'FRS geographical categories'!$A$2:$C$45,3,FALSE)</f>
        <v>Metropolitan</v>
      </c>
      <c r="I2287" s="224">
        <v>0</v>
      </c>
    </row>
    <row r="2288" spans="1:9" ht="15.5" x14ac:dyDescent="0.35">
      <c r="A2288" s="224" t="s">
        <v>56</v>
      </c>
      <c r="B2288" s="224" t="s">
        <v>52</v>
      </c>
      <c r="C2288" s="224" t="s">
        <v>89</v>
      </c>
      <c r="D2288" s="224" t="s">
        <v>55</v>
      </c>
      <c r="E2288" s="224" t="s">
        <v>256</v>
      </c>
      <c r="F2288" s="224" t="s">
        <v>250</v>
      </c>
      <c r="G2288" s="223" t="str">
        <f>VLOOKUP($B2288,'FRS geographical categories'!$A$2:$C$45,2,FALSE)</f>
        <v>Predominantly Urban</v>
      </c>
      <c r="H2288" s="223" t="str">
        <f>VLOOKUP($B2288,'FRS geographical categories'!$A$2:$C$45,3,FALSE)</f>
        <v>Metropolitan</v>
      </c>
      <c r="I2288" s="224">
        <v>0</v>
      </c>
    </row>
    <row r="2289" spans="1:9" ht="15.5" x14ac:dyDescent="0.35">
      <c r="A2289" s="224" t="s">
        <v>56</v>
      </c>
      <c r="B2289" s="224" t="s">
        <v>52</v>
      </c>
      <c r="C2289" s="224" t="s">
        <v>89</v>
      </c>
      <c r="D2289" s="224" t="s">
        <v>55</v>
      </c>
      <c r="E2289" s="224" t="s">
        <v>256</v>
      </c>
      <c r="F2289" s="224" t="s">
        <v>10</v>
      </c>
      <c r="G2289" s="223" t="str">
        <f>VLOOKUP($B2289,'FRS geographical categories'!$A$2:$C$45,2,FALSE)</f>
        <v>Predominantly Urban</v>
      </c>
      <c r="H2289" s="223" t="str">
        <f>VLOOKUP($B2289,'FRS geographical categories'!$A$2:$C$45,3,FALSE)</f>
        <v>Metropolitan</v>
      </c>
      <c r="I2289" s="224">
        <v>0</v>
      </c>
    </row>
    <row r="2290" spans="1:9" ht="15.5" x14ac:dyDescent="0.35">
      <c r="A2290" s="224" t="s">
        <v>81</v>
      </c>
      <c r="B2290" s="224" t="s">
        <v>8</v>
      </c>
      <c r="C2290" s="224" t="s">
        <v>86</v>
      </c>
      <c r="D2290" s="224" t="s">
        <v>9</v>
      </c>
      <c r="E2290" s="224" t="s">
        <v>256</v>
      </c>
      <c r="F2290" s="224" t="s">
        <v>248</v>
      </c>
      <c r="G2290" s="223" t="str">
        <f>VLOOKUP($B2290,'FRS geographical categories'!$A$2:$C$45,2,FALSE)</f>
        <v>Predominantly Urban</v>
      </c>
      <c r="H2290" s="223" t="str">
        <f>VLOOKUP($B2290,'FRS geographical categories'!$A$2:$C$45,3,FALSE)</f>
        <v>Non-metropolitan</v>
      </c>
      <c r="I2290" s="224">
        <v>476</v>
      </c>
    </row>
    <row r="2291" spans="1:9" ht="15.5" x14ac:dyDescent="0.35">
      <c r="A2291" s="224" t="s">
        <v>81</v>
      </c>
      <c r="B2291" s="224" t="s">
        <v>8</v>
      </c>
      <c r="C2291" s="224" t="s">
        <v>86</v>
      </c>
      <c r="D2291" s="224" t="s">
        <v>9</v>
      </c>
      <c r="E2291" s="224" t="s">
        <v>256</v>
      </c>
      <c r="F2291" s="224" t="s">
        <v>249</v>
      </c>
      <c r="G2291" s="223" t="str">
        <f>VLOOKUP($B2291,'FRS geographical categories'!$A$2:$C$45,2,FALSE)</f>
        <v>Predominantly Urban</v>
      </c>
      <c r="H2291" s="223" t="str">
        <f>VLOOKUP($B2291,'FRS geographical categories'!$A$2:$C$45,3,FALSE)</f>
        <v>Non-metropolitan</v>
      </c>
      <c r="I2291" s="224">
        <v>1936</v>
      </c>
    </row>
    <row r="2292" spans="1:9" ht="15.5" x14ac:dyDescent="0.35">
      <c r="A2292" s="224" t="s">
        <v>81</v>
      </c>
      <c r="B2292" s="224" t="s">
        <v>8</v>
      </c>
      <c r="C2292" s="224" t="s">
        <v>86</v>
      </c>
      <c r="D2292" s="224" t="s">
        <v>9</v>
      </c>
      <c r="E2292" s="224" t="s">
        <v>256</v>
      </c>
      <c r="F2292" s="224" t="s">
        <v>250</v>
      </c>
      <c r="G2292" s="223" t="str">
        <f>VLOOKUP($B2292,'FRS geographical categories'!$A$2:$C$45,2,FALSE)</f>
        <v>Predominantly Urban</v>
      </c>
      <c r="H2292" s="223" t="str">
        <f>VLOOKUP($B2292,'FRS geographical categories'!$A$2:$C$45,3,FALSE)</f>
        <v>Non-metropolitan</v>
      </c>
      <c r="I2292" s="224">
        <v>1206</v>
      </c>
    </row>
    <row r="2293" spans="1:9" ht="15.5" x14ac:dyDescent="0.35">
      <c r="A2293" s="224" t="s">
        <v>81</v>
      </c>
      <c r="B2293" s="224" t="s">
        <v>8</v>
      </c>
      <c r="C2293" s="224" t="s">
        <v>86</v>
      </c>
      <c r="D2293" s="224" t="s">
        <v>9</v>
      </c>
      <c r="E2293" s="224" t="s">
        <v>256</v>
      </c>
      <c r="F2293" s="224" t="s">
        <v>111</v>
      </c>
      <c r="G2293" s="223" t="str">
        <f>VLOOKUP($B2293,'FRS geographical categories'!$A$2:$C$45,2,FALSE)</f>
        <v>Predominantly Urban</v>
      </c>
      <c r="H2293" s="223" t="str">
        <f>VLOOKUP($B2293,'FRS geographical categories'!$A$2:$C$45,3,FALSE)</f>
        <v>Non-metropolitan</v>
      </c>
      <c r="I2293" s="224">
        <v>4263</v>
      </c>
    </row>
    <row r="2294" spans="1:9" ht="15.5" x14ac:dyDescent="0.35">
      <c r="A2294" s="224" t="s">
        <v>81</v>
      </c>
      <c r="B2294" s="224" t="s">
        <v>8</v>
      </c>
      <c r="C2294" s="224" t="s">
        <v>86</v>
      </c>
      <c r="D2294" s="224" t="s">
        <v>9</v>
      </c>
      <c r="E2294" s="224" t="s">
        <v>256</v>
      </c>
      <c r="F2294" s="224" t="s">
        <v>10</v>
      </c>
      <c r="G2294" s="223" t="str">
        <f>VLOOKUP($B2294,'FRS geographical categories'!$A$2:$C$45,2,FALSE)</f>
        <v>Predominantly Urban</v>
      </c>
      <c r="H2294" s="223" t="str">
        <f>VLOOKUP($B2294,'FRS geographical categories'!$A$2:$C$45,3,FALSE)</f>
        <v>Non-metropolitan</v>
      </c>
      <c r="I2294" s="224">
        <v>4488</v>
      </c>
    </row>
    <row r="2295" spans="1:9" ht="15.5" x14ac:dyDescent="0.35">
      <c r="A2295" s="224" t="s">
        <v>81</v>
      </c>
      <c r="B2295" s="224" t="s">
        <v>8</v>
      </c>
      <c r="C2295" s="224" t="s">
        <v>86</v>
      </c>
      <c r="D2295" s="224" t="s">
        <v>55</v>
      </c>
      <c r="E2295" s="224" t="s">
        <v>256</v>
      </c>
      <c r="F2295" s="224" t="s">
        <v>248</v>
      </c>
      <c r="G2295" s="223" t="str">
        <f>VLOOKUP($B2295,'FRS geographical categories'!$A$2:$C$45,2,FALSE)</f>
        <v>Predominantly Urban</v>
      </c>
      <c r="H2295" s="223" t="str">
        <f>VLOOKUP($B2295,'FRS geographical categories'!$A$2:$C$45,3,FALSE)</f>
        <v>Non-metropolitan</v>
      </c>
      <c r="I2295" s="224">
        <v>0</v>
      </c>
    </row>
    <row r="2296" spans="1:9" ht="15.5" x14ac:dyDescent="0.35">
      <c r="A2296" s="224" t="s">
        <v>81</v>
      </c>
      <c r="B2296" s="224" t="s">
        <v>8</v>
      </c>
      <c r="C2296" s="224" t="s">
        <v>86</v>
      </c>
      <c r="D2296" s="224" t="s">
        <v>55</v>
      </c>
      <c r="E2296" s="224" t="s">
        <v>256</v>
      </c>
      <c r="F2296" s="224" t="s">
        <v>249</v>
      </c>
      <c r="G2296" s="223" t="str">
        <f>VLOOKUP($B2296,'FRS geographical categories'!$A$2:$C$45,2,FALSE)</f>
        <v>Predominantly Urban</v>
      </c>
      <c r="H2296" s="223" t="str">
        <f>VLOOKUP($B2296,'FRS geographical categories'!$A$2:$C$45,3,FALSE)</f>
        <v>Non-metropolitan</v>
      </c>
      <c r="I2296" s="224">
        <v>0</v>
      </c>
    </row>
    <row r="2297" spans="1:9" ht="15.5" x14ac:dyDescent="0.35">
      <c r="A2297" s="224" t="s">
        <v>81</v>
      </c>
      <c r="B2297" s="224" t="s">
        <v>8</v>
      </c>
      <c r="C2297" s="224" t="s">
        <v>86</v>
      </c>
      <c r="D2297" s="224" t="s">
        <v>55</v>
      </c>
      <c r="E2297" s="224" t="s">
        <v>256</v>
      </c>
      <c r="F2297" s="224" t="s">
        <v>250</v>
      </c>
      <c r="G2297" s="223" t="str">
        <f>VLOOKUP($B2297,'FRS geographical categories'!$A$2:$C$45,2,FALSE)</f>
        <v>Predominantly Urban</v>
      </c>
      <c r="H2297" s="223" t="str">
        <f>VLOOKUP($B2297,'FRS geographical categories'!$A$2:$C$45,3,FALSE)</f>
        <v>Non-metropolitan</v>
      </c>
      <c r="I2297" s="224">
        <v>0</v>
      </c>
    </row>
    <row r="2298" spans="1:9" ht="15.5" x14ac:dyDescent="0.35">
      <c r="A2298" s="224" t="s">
        <v>81</v>
      </c>
      <c r="B2298" s="224" t="s">
        <v>8</v>
      </c>
      <c r="C2298" s="224" t="s">
        <v>86</v>
      </c>
      <c r="D2298" s="224" t="s">
        <v>55</v>
      </c>
      <c r="E2298" s="224" t="s">
        <v>256</v>
      </c>
      <c r="F2298" s="224" t="s">
        <v>111</v>
      </c>
      <c r="G2298" s="223" t="str">
        <f>VLOOKUP($B2298,'FRS geographical categories'!$A$2:$C$45,2,FALSE)</f>
        <v>Predominantly Urban</v>
      </c>
      <c r="H2298" s="223" t="str">
        <f>VLOOKUP($B2298,'FRS geographical categories'!$A$2:$C$45,3,FALSE)</f>
        <v>Non-metropolitan</v>
      </c>
      <c r="I2298" s="224">
        <v>0</v>
      </c>
    </row>
    <row r="2299" spans="1:9" ht="15.5" x14ac:dyDescent="0.35">
      <c r="A2299" s="224" t="s">
        <v>81</v>
      </c>
      <c r="B2299" s="224" t="s">
        <v>8</v>
      </c>
      <c r="C2299" s="224" t="s">
        <v>86</v>
      </c>
      <c r="D2299" s="224" t="s">
        <v>55</v>
      </c>
      <c r="E2299" s="224" t="s">
        <v>256</v>
      </c>
      <c r="F2299" s="224" t="s">
        <v>10</v>
      </c>
      <c r="G2299" s="223" t="str">
        <f>VLOOKUP($B2299,'FRS geographical categories'!$A$2:$C$45,2,FALSE)</f>
        <v>Predominantly Urban</v>
      </c>
      <c r="H2299" s="223" t="str">
        <f>VLOOKUP($B2299,'FRS geographical categories'!$A$2:$C$45,3,FALSE)</f>
        <v>Non-metropolitan</v>
      </c>
      <c r="I2299" s="224">
        <v>0</v>
      </c>
    </row>
    <row r="2300" spans="1:9" ht="15.5" x14ac:dyDescent="0.35">
      <c r="A2300" s="224" t="s">
        <v>81</v>
      </c>
      <c r="B2300" s="224" t="s">
        <v>8</v>
      </c>
      <c r="C2300" s="224" t="s">
        <v>89</v>
      </c>
      <c r="D2300" s="224" t="s">
        <v>9</v>
      </c>
      <c r="E2300" s="224" t="s">
        <v>256</v>
      </c>
      <c r="F2300" s="224" t="s">
        <v>248</v>
      </c>
      <c r="G2300" s="223" t="str">
        <f>VLOOKUP($B2300,'FRS geographical categories'!$A$2:$C$45,2,FALSE)</f>
        <v>Predominantly Urban</v>
      </c>
      <c r="H2300" s="223" t="str">
        <f>VLOOKUP($B2300,'FRS geographical categories'!$A$2:$C$45,3,FALSE)</f>
        <v>Non-metropolitan</v>
      </c>
      <c r="I2300" s="224">
        <v>0</v>
      </c>
    </row>
    <row r="2301" spans="1:9" ht="15.5" x14ac:dyDescent="0.35">
      <c r="A2301" s="224" t="s">
        <v>81</v>
      </c>
      <c r="B2301" s="224" t="s">
        <v>8</v>
      </c>
      <c r="C2301" s="224" t="s">
        <v>89</v>
      </c>
      <c r="D2301" s="224" t="s">
        <v>9</v>
      </c>
      <c r="E2301" s="224" t="s">
        <v>256</v>
      </c>
      <c r="F2301" s="224" t="s">
        <v>249</v>
      </c>
      <c r="G2301" s="223" t="str">
        <f>VLOOKUP($B2301,'FRS geographical categories'!$A$2:$C$45,2,FALSE)</f>
        <v>Predominantly Urban</v>
      </c>
      <c r="H2301" s="223" t="str">
        <f>VLOOKUP($B2301,'FRS geographical categories'!$A$2:$C$45,3,FALSE)</f>
        <v>Non-metropolitan</v>
      </c>
      <c r="I2301" s="224">
        <v>0</v>
      </c>
    </row>
    <row r="2302" spans="1:9" ht="15.5" x14ac:dyDescent="0.35">
      <c r="A2302" s="224" t="s">
        <v>81</v>
      </c>
      <c r="B2302" s="224" t="s">
        <v>8</v>
      </c>
      <c r="C2302" s="224" t="s">
        <v>89</v>
      </c>
      <c r="D2302" s="224" t="s">
        <v>9</v>
      </c>
      <c r="E2302" s="224" t="s">
        <v>256</v>
      </c>
      <c r="F2302" s="224" t="s">
        <v>250</v>
      </c>
      <c r="G2302" s="223" t="str">
        <f>VLOOKUP($B2302,'FRS geographical categories'!$A$2:$C$45,2,FALSE)</f>
        <v>Predominantly Urban</v>
      </c>
      <c r="H2302" s="223" t="str">
        <f>VLOOKUP($B2302,'FRS geographical categories'!$A$2:$C$45,3,FALSE)</f>
        <v>Non-metropolitan</v>
      </c>
      <c r="I2302" s="224">
        <v>0</v>
      </c>
    </row>
    <row r="2303" spans="1:9" ht="15.5" x14ac:dyDescent="0.35">
      <c r="A2303" s="224" t="s">
        <v>81</v>
      </c>
      <c r="B2303" s="224" t="s">
        <v>8</v>
      </c>
      <c r="C2303" s="224" t="s">
        <v>89</v>
      </c>
      <c r="D2303" s="224" t="s">
        <v>9</v>
      </c>
      <c r="E2303" s="224" t="s">
        <v>256</v>
      </c>
      <c r="F2303" s="224" t="s">
        <v>10</v>
      </c>
      <c r="G2303" s="223" t="str">
        <f>VLOOKUP($B2303,'FRS geographical categories'!$A$2:$C$45,2,FALSE)</f>
        <v>Predominantly Urban</v>
      </c>
      <c r="H2303" s="223" t="str">
        <f>VLOOKUP($B2303,'FRS geographical categories'!$A$2:$C$45,3,FALSE)</f>
        <v>Non-metropolitan</v>
      </c>
      <c r="I2303" s="224">
        <v>0</v>
      </c>
    </row>
    <row r="2304" spans="1:9" ht="15.5" x14ac:dyDescent="0.35">
      <c r="A2304" s="224" t="s">
        <v>81</v>
      </c>
      <c r="B2304" s="224" t="s">
        <v>8</v>
      </c>
      <c r="C2304" s="224" t="s">
        <v>89</v>
      </c>
      <c r="D2304" s="224" t="s">
        <v>55</v>
      </c>
      <c r="E2304" s="224" t="s">
        <v>256</v>
      </c>
      <c r="F2304" s="224" t="s">
        <v>248</v>
      </c>
      <c r="G2304" s="223" t="str">
        <f>VLOOKUP($B2304,'FRS geographical categories'!$A$2:$C$45,2,FALSE)</f>
        <v>Predominantly Urban</v>
      </c>
      <c r="H2304" s="223" t="str">
        <f>VLOOKUP($B2304,'FRS geographical categories'!$A$2:$C$45,3,FALSE)</f>
        <v>Non-metropolitan</v>
      </c>
      <c r="I2304" s="224">
        <v>0</v>
      </c>
    </row>
    <row r="2305" spans="1:9" ht="15.5" x14ac:dyDescent="0.35">
      <c r="A2305" s="224" t="s">
        <v>81</v>
      </c>
      <c r="B2305" s="224" t="s">
        <v>8</v>
      </c>
      <c r="C2305" s="224" t="s">
        <v>89</v>
      </c>
      <c r="D2305" s="224" t="s">
        <v>55</v>
      </c>
      <c r="E2305" s="224" t="s">
        <v>256</v>
      </c>
      <c r="F2305" s="224" t="s">
        <v>249</v>
      </c>
      <c r="G2305" s="223" t="str">
        <f>VLOOKUP($B2305,'FRS geographical categories'!$A$2:$C$45,2,FALSE)</f>
        <v>Predominantly Urban</v>
      </c>
      <c r="H2305" s="223" t="str">
        <f>VLOOKUP($B2305,'FRS geographical categories'!$A$2:$C$45,3,FALSE)</f>
        <v>Non-metropolitan</v>
      </c>
      <c r="I2305" s="224">
        <v>0</v>
      </c>
    </row>
    <row r="2306" spans="1:9" ht="15.5" x14ac:dyDescent="0.35">
      <c r="A2306" s="224" t="s">
        <v>81</v>
      </c>
      <c r="B2306" s="224" t="s">
        <v>8</v>
      </c>
      <c r="C2306" s="224" t="s">
        <v>89</v>
      </c>
      <c r="D2306" s="224" t="s">
        <v>55</v>
      </c>
      <c r="E2306" s="224" t="s">
        <v>256</v>
      </c>
      <c r="F2306" s="224" t="s">
        <v>250</v>
      </c>
      <c r="G2306" s="223" t="str">
        <f>VLOOKUP($B2306,'FRS geographical categories'!$A$2:$C$45,2,FALSE)</f>
        <v>Predominantly Urban</v>
      </c>
      <c r="H2306" s="223" t="str">
        <f>VLOOKUP($B2306,'FRS geographical categories'!$A$2:$C$45,3,FALSE)</f>
        <v>Non-metropolitan</v>
      </c>
      <c r="I2306" s="224">
        <v>0</v>
      </c>
    </row>
    <row r="2307" spans="1:9" ht="15.5" x14ac:dyDescent="0.35">
      <c r="A2307" s="224" t="s">
        <v>81</v>
      </c>
      <c r="B2307" s="224" t="s">
        <v>8</v>
      </c>
      <c r="C2307" s="224" t="s">
        <v>89</v>
      </c>
      <c r="D2307" s="224" t="s">
        <v>55</v>
      </c>
      <c r="E2307" s="224" t="s">
        <v>256</v>
      </c>
      <c r="F2307" s="224" t="s">
        <v>10</v>
      </c>
      <c r="G2307" s="223" t="str">
        <f>VLOOKUP($B2307,'FRS geographical categories'!$A$2:$C$45,2,FALSE)</f>
        <v>Predominantly Urban</v>
      </c>
      <c r="H2307" s="223" t="str">
        <f>VLOOKUP($B2307,'FRS geographical categories'!$A$2:$C$45,3,FALSE)</f>
        <v>Non-metropolitan</v>
      </c>
      <c r="I2307" s="224">
        <v>0</v>
      </c>
    </row>
    <row r="2308" spans="1:9" ht="15.5" x14ac:dyDescent="0.35">
      <c r="A2308" s="224" t="s">
        <v>81</v>
      </c>
      <c r="B2308" s="224" t="s">
        <v>11</v>
      </c>
      <c r="C2308" s="224" t="s">
        <v>86</v>
      </c>
      <c r="D2308" s="224" t="s">
        <v>9</v>
      </c>
      <c r="E2308" s="224" t="s">
        <v>256</v>
      </c>
      <c r="F2308" s="224" t="s">
        <v>248</v>
      </c>
      <c r="G2308" s="223" t="str">
        <f>VLOOKUP($B2308,'FRS geographical categories'!$A$2:$C$45,2,FALSE)</f>
        <v>Significantly Rural</v>
      </c>
      <c r="H2308" s="223" t="str">
        <f>VLOOKUP($B2308,'FRS geographical categories'!$A$2:$C$45,3,FALSE)</f>
        <v>Non-metropolitan</v>
      </c>
      <c r="I2308" s="224">
        <v>241</v>
      </c>
    </row>
    <row r="2309" spans="1:9" ht="15.5" x14ac:dyDescent="0.35">
      <c r="A2309" s="224" t="s">
        <v>81</v>
      </c>
      <c r="B2309" s="224" t="s">
        <v>11</v>
      </c>
      <c r="C2309" s="224" t="s">
        <v>86</v>
      </c>
      <c r="D2309" s="224" t="s">
        <v>9</v>
      </c>
      <c r="E2309" s="224" t="s">
        <v>256</v>
      </c>
      <c r="F2309" s="224" t="s">
        <v>249</v>
      </c>
      <c r="G2309" s="223" t="str">
        <f>VLOOKUP($B2309,'FRS geographical categories'!$A$2:$C$45,2,FALSE)</f>
        <v>Significantly Rural</v>
      </c>
      <c r="H2309" s="223" t="str">
        <f>VLOOKUP($B2309,'FRS geographical categories'!$A$2:$C$45,3,FALSE)</f>
        <v>Non-metropolitan</v>
      </c>
      <c r="I2309" s="224">
        <v>438</v>
      </c>
    </row>
    <row r="2310" spans="1:9" ht="15.5" x14ac:dyDescent="0.35">
      <c r="A2310" s="224" t="s">
        <v>81</v>
      </c>
      <c r="B2310" s="224" t="s">
        <v>11</v>
      </c>
      <c r="C2310" s="224" t="s">
        <v>86</v>
      </c>
      <c r="D2310" s="224" t="s">
        <v>9</v>
      </c>
      <c r="E2310" s="224" t="s">
        <v>256</v>
      </c>
      <c r="F2310" s="224" t="s">
        <v>250</v>
      </c>
      <c r="G2310" s="223" t="str">
        <f>VLOOKUP($B2310,'FRS geographical categories'!$A$2:$C$45,2,FALSE)</f>
        <v>Significantly Rural</v>
      </c>
      <c r="H2310" s="223" t="str">
        <f>VLOOKUP($B2310,'FRS geographical categories'!$A$2:$C$45,3,FALSE)</f>
        <v>Non-metropolitan</v>
      </c>
      <c r="I2310" s="224">
        <v>2406</v>
      </c>
    </row>
    <row r="2311" spans="1:9" ht="15.5" x14ac:dyDescent="0.35">
      <c r="A2311" s="224" t="s">
        <v>81</v>
      </c>
      <c r="B2311" s="224" t="s">
        <v>11</v>
      </c>
      <c r="C2311" s="224" t="s">
        <v>86</v>
      </c>
      <c r="D2311" s="224" t="s">
        <v>9</v>
      </c>
      <c r="E2311" s="224" t="s">
        <v>256</v>
      </c>
      <c r="F2311" s="224" t="s">
        <v>111</v>
      </c>
      <c r="G2311" s="223" t="str">
        <f>VLOOKUP($B2311,'FRS geographical categories'!$A$2:$C$45,2,FALSE)</f>
        <v>Significantly Rural</v>
      </c>
      <c r="H2311" s="223" t="str">
        <f>VLOOKUP($B2311,'FRS geographical categories'!$A$2:$C$45,3,FALSE)</f>
        <v>Non-metropolitan</v>
      </c>
      <c r="I2311" s="224">
        <v>4352</v>
      </c>
    </row>
    <row r="2312" spans="1:9" ht="15.5" x14ac:dyDescent="0.35">
      <c r="A2312" s="224" t="s">
        <v>81</v>
      </c>
      <c r="B2312" s="224" t="s">
        <v>11</v>
      </c>
      <c r="C2312" s="224" t="s">
        <v>86</v>
      </c>
      <c r="D2312" s="224" t="s">
        <v>9</v>
      </c>
      <c r="E2312" s="224" t="s">
        <v>256</v>
      </c>
      <c r="F2312" s="224" t="s">
        <v>10</v>
      </c>
      <c r="G2312" s="223" t="str">
        <f>VLOOKUP($B2312,'FRS geographical categories'!$A$2:$C$45,2,FALSE)</f>
        <v>Significantly Rural</v>
      </c>
      <c r="H2312" s="223" t="str">
        <f>VLOOKUP($B2312,'FRS geographical categories'!$A$2:$C$45,3,FALSE)</f>
        <v>Non-metropolitan</v>
      </c>
      <c r="I2312" s="224">
        <v>6150</v>
      </c>
    </row>
    <row r="2313" spans="1:9" ht="15.5" x14ac:dyDescent="0.35">
      <c r="A2313" s="224" t="s">
        <v>81</v>
      </c>
      <c r="B2313" s="224" t="s">
        <v>11</v>
      </c>
      <c r="C2313" s="224" t="s">
        <v>86</v>
      </c>
      <c r="D2313" s="224" t="s">
        <v>55</v>
      </c>
      <c r="E2313" s="224" t="s">
        <v>256</v>
      </c>
      <c r="F2313" s="224" t="s">
        <v>248</v>
      </c>
      <c r="G2313" s="223" t="str">
        <f>VLOOKUP($B2313,'FRS geographical categories'!$A$2:$C$45,2,FALSE)</f>
        <v>Significantly Rural</v>
      </c>
      <c r="H2313" s="223" t="str">
        <f>VLOOKUP($B2313,'FRS geographical categories'!$A$2:$C$45,3,FALSE)</f>
        <v>Non-metropolitan</v>
      </c>
      <c r="I2313" s="224">
        <v>5</v>
      </c>
    </row>
    <row r="2314" spans="1:9" ht="15.5" x14ac:dyDescent="0.35">
      <c r="A2314" s="224" t="s">
        <v>81</v>
      </c>
      <c r="B2314" s="224" t="s">
        <v>11</v>
      </c>
      <c r="C2314" s="224" t="s">
        <v>86</v>
      </c>
      <c r="D2314" s="224" t="s">
        <v>55</v>
      </c>
      <c r="E2314" s="224" t="s">
        <v>256</v>
      </c>
      <c r="F2314" s="224" t="s">
        <v>249</v>
      </c>
      <c r="G2314" s="223" t="str">
        <f>VLOOKUP($B2314,'FRS geographical categories'!$A$2:$C$45,2,FALSE)</f>
        <v>Significantly Rural</v>
      </c>
      <c r="H2314" s="223" t="str">
        <f>VLOOKUP($B2314,'FRS geographical categories'!$A$2:$C$45,3,FALSE)</f>
        <v>Non-metropolitan</v>
      </c>
      <c r="I2314" s="224">
        <v>3</v>
      </c>
    </row>
    <row r="2315" spans="1:9" ht="15.5" x14ac:dyDescent="0.35">
      <c r="A2315" s="224" t="s">
        <v>81</v>
      </c>
      <c r="B2315" s="224" t="s">
        <v>11</v>
      </c>
      <c r="C2315" s="224" t="s">
        <v>86</v>
      </c>
      <c r="D2315" s="224" t="s">
        <v>55</v>
      </c>
      <c r="E2315" s="224" t="s">
        <v>256</v>
      </c>
      <c r="F2315" s="224" t="s">
        <v>250</v>
      </c>
      <c r="G2315" s="223" t="str">
        <f>VLOOKUP($B2315,'FRS geographical categories'!$A$2:$C$45,2,FALSE)</f>
        <v>Significantly Rural</v>
      </c>
      <c r="H2315" s="223" t="str">
        <f>VLOOKUP($B2315,'FRS geographical categories'!$A$2:$C$45,3,FALSE)</f>
        <v>Non-metropolitan</v>
      </c>
      <c r="I2315" s="224">
        <v>441</v>
      </c>
    </row>
    <row r="2316" spans="1:9" ht="15.5" x14ac:dyDescent="0.35">
      <c r="A2316" s="224" t="s">
        <v>81</v>
      </c>
      <c r="B2316" s="224" t="s">
        <v>11</v>
      </c>
      <c r="C2316" s="224" t="s">
        <v>86</v>
      </c>
      <c r="D2316" s="224" t="s">
        <v>55</v>
      </c>
      <c r="E2316" s="224" t="s">
        <v>256</v>
      </c>
      <c r="F2316" s="224" t="s">
        <v>111</v>
      </c>
      <c r="G2316" s="223" t="str">
        <f>VLOOKUP($B2316,'FRS geographical categories'!$A$2:$C$45,2,FALSE)</f>
        <v>Significantly Rural</v>
      </c>
      <c r="H2316" s="223" t="str">
        <f>VLOOKUP($B2316,'FRS geographical categories'!$A$2:$C$45,3,FALSE)</f>
        <v>Non-metropolitan</v>
      </c>
      <c r="I2316" s="224">
        <v>882</v>
      </c>
    </row>
    <row r="2317" spans="1:9" ht="15.5" x14ac:dyDescent="0.35">
      <c r="A2317" s="224" t="s">
        <v>81</v>
      </c>
      <c r="B2317" s="224" t="s">
        <v>11</v>
      </c>
      <c r="C2317" s="224" t="s">
        <v>86</v>
      </c>
      <c r="D2317" s="224" t="s">
        <v>55</v>
      </c>
      <c r="E2317" s="224" t="s">
        <v>256</v>
      </c>
      <c r="F2317" s="224" t="s">
        <v>10</v>
      </c>
      <c r="G2317" s="223" t="str">
        <f>VLOOKUP($B2317,'FRS geographical categories'!$A$2:$C$45,2,FALSE)</f>
        <v>Significantly Rural</v>
      </c>
      <c r="H2317" s="223" t="str">
        <f>VLOOKUP($B2317,'FRS geographical categories'!$A$2:$C$45,3,FALSE)</f>
        <v>Non-metropolitan</v>
      </c>
      <c r="I2317" s="224">
        <v>1790</v>
      </c>
    </row>
    <row r="2318" spans="1:9" ht="15.5" x14ac:dyDescent="0.35">
      <c r="A2318" s="224" t="s">
        <v>81</v>
      </c>
      <c r="B2318" s="224" t="s">
        <v>11</v>
      </c>
      <c r="C2318" s="224" t="s">
        <v>89</v>
      </c>
      <c r="D2318" s="224" t="s">
        <v>9</v>
      </c>
      <c r="E2318" s="224" t="s">
        <v>256</v>
      </c>
      <c r="F2318" s="224" t="s">
        <v>248</v>
      </c>
      <c r="G2318" s="223" t="str">
        <f>VLOOKUP($B2318,'FRS geographical categories'!$A$2:$C$45,2,FALSE)</f>
        <v>Significantly Rural</v>
      </c>
      <c r="H2318" s="223" t="str">
        <f>VLOOKUP($B2318,'FRS geographical categories'!$A$2:$C$45,3,FALSE)</f>
        <v>Non-metropolitan</v>
      </c>
      <c r="I2318" s="224">
        <v>57</v>
      </c>
    </row>
    <row r="2319" spans="1:9" ht="15.5" x14ac:dyDescent="0.35">
      <c r="A2319" s="224" t="s">
        <v>81</v>
      </c>
      <c r="B2319" s="224" t="s">
        <v>11</v>
      </c>
      <c r="C2319" s="224" t="s">
        <v>89</v>
      </c>
      <c r="D2319" s="224" t="s">
        <v>9</v>
      </c>
      <c r="E2319" s="224" t="s">
        <v>256</v>
      </c>
      <c r="F2319" s="224" t="s">
        <v>249</v>
      </c>
      <c r="G2319" s="223" t="str">
        <f>VLOOKUP($B2319,'FRS geographical categories'!$A$2:$C$45,2,FALSE)</f>
        <v>Significantly Rural</v>
      </c>
      <c r="H2319" s="223" t="str">
        <f>VLOOKUP($B2319,'FRS geographical categories'!$A$2:$C$45,3,FALSE)</f>
        <v>Non-metropolitan</v>
      </c>
      <c r="I2319" s="224">
        <v>8</v>
      </c>
    </row>
    <row r="2320" spans="1:9" ht="15.5" x14ac:dyDescent="0.35">
      <c r="A2320" s="224" t="s">
        <v>81</v>
      </c>
      <c r="B2320" s="224" t="s">
        <v>11</v>
      </c>
      <c r="C2320" s="224" t="s">
        <v>89</v>
      </c>
      <c r="D2320" s="224" t="s">
        <v>9</v>
      </c>
      <c r="E2320" s="224" t="s">
        <v>256</v>
      </c>
      <c r="F2320" s="224" t="s">
        <v>250</v>
      </c>
      <c r="G2320" s="223" t="str">
        <f>VLOOKUP($B2320,'FRS geographical categories'!$A$2:$C$45,2,FALSE)</f>
        <v>Significantly Rural</v>
      </c>
      <c r="H2320" s="223" t="str">
        <f>VLOOKUP($B2320,'FRS geographical categories'!$A$2:$C$45,3,FALSE)</f>
        <v>Non-metropolitan</v>
      </c>
      <c r="I2320" s="224">
        <v>86</v>
      </c>
    </row>
    <row r="2321" spans="1:9" ht="15.5" x14ac:dyDescent="0.35">
      <c r="A2321" s="224" t="s">
        <v>81</v>
      </c>
      <c r="B2321" s="224" t="s">
        <v>11</v>
      </c>
      <c r="C2321" s="224" t="s">
        <v>89</v>
      </c>
      <c r="D2321" s="224" t="s">
        <v>9</v>
      </c>
      <c r="E2321" s="224" t="s">
        <v>256</v>
      </c>
      <c r="F2321" s="224" t="s">
        <v>10</v>
      </c>
      <c r="G2321" s="223" t="str">
        <f>VLOOKUP($B2321,'FRS geographical categories'!$A$2:$C$45,2,FALSE)</f>
        <v>Significantly Rural</v>
      </c>
      <c r="H2321" s="223" t="str">
        <f>VLOOKUP($B2321,'FRS geographical categories'!$A$2:$C$45,3,FALSE)</f>
        <v>Non-metropolitan</v>
      </c>
      <c r="I2321" s="224">
        <v>186</v>
      </c>
    </row>
    <row r="2322" spans="1:9" ht="15.5" x14ac:dyDescent="0.35">
      <c r="A2322" s="224" t="s">
        <v>81</v>
      </c>
      <c r="B2322" s="224" t="s">
        <v>11</v>
      </c>
      <c r="C2322" s="224" t="s">
        <v>89</v>
      </c>
      <c r="D2322" s="224" t="s">
        <v>55</v>
      </c>
      <c r="E2322" s="224" t="s">
        <v>256</v>
      </c>
      <c r="F2322" s="224" t="s">
        <v>248</v>
      </c>
      <c r="G2322" s="223" t="str">
        <f>VLOOKUP($B2322,'FRS geographical categories'!$A$2:$C$45,2,FALSE)</f>
        <v>Significantly Rural</v>
      </c>
      <c r="H2322" s="223" t="str">
        <f>VLOOKUP($B2322,'FRS geographical categories'!$A$2:$C$45,3,FALSE)</f>
        <v>Non-metropolitan</v>
      </c>
      <c r="I2322" s="224">
        <v>0</v>
      </c>
    </row>
    <row r="2323" spans="1:9" ht="15.5" x14ac:dyDescent="0.35">
      <c r="A2323" s="224" t="s">
        <v>81</v>
      </c>
      <c r="B2323" s="224" t="s">
        <v>11</v>
      </c>
      <c r="C2323" s="224" t="s">
        <v>89</v>
      </c>
      <c r="D2323" s="224" t="s">
        <v>55</v>
      </c>
      <c r="E2323" s="224" t="s">
        <v>256</v>
      </c>
      <c r="F2323" s="224" t="s">
        <v>249</v>
      </c>
      <c r="G2323" s="223" t="str">
        <f>VLOOKUP($B2323,'FRS geographical categories'!$A$2:$C$45,2,FALSE)</f>
        <v>Significantly Rural</v>
      </c>
      <c r="H2323" s="223" t="str">
        <f>VLOOKUP($B2323,'FRS geographical categories'!$A$2:$C$45,3,FALSE)</f>
        <v>Non-metropolitan</v>
      </c>
      <c r="I2323" s="224">
        <v>0</v>
      </c>
    </row>
    <row r="2324" spans="1:9" ht="15.5" x14ac:dyDescent="0.35">
      <c r="A2324" s="224" t="s">
        <v>81</v>
      </c>
      <c r="B2324" s="224" t="s">
        <v>11</v>
      </c>
      <c r="C2324" s="224" t="s">
        <v>89</v>
      </c>
      <c r="D2324" s="224" t="s">
        <v>55</v>
      </c>
      <c r="E2324" s="224" t="s">
        <v>256</v>
      </c>
      <c r="F2324" s="224" t="s">
        <v>250</v>
      </c>
      <c r="G2324" s="223" t="str">
        <f>VLOOKUP($B2324,'FRS geographical categories'!$A$2:$C$45,2,FALSE)</f>
        <v>Significantly Rural</v>
      </c>
      <c r="H2324" s="223" t="str">
        <f>VLOOKUP($B2324,'FRS geographical categories'!$A$2:$C$45,3,FALSE)</f>
        <v>Non-metropolitan</v>
      </c>
      <c r="I2324" s="224">
        <v>0</v>
      </c>
    </row>
    <row r="2325" spans="1:9" ht="15.5" x14ac:dyDescent="0.35">
      <c r="A2325" s="224" t="s">
        <v>81</v>
      </c>
      <c r="B2325" s="224" t="s">
        <v>11</v>
      </c>
      <c r="C2325" s="224" t="s">
        <v>89</v>
      </c>
      <c r="D2325" s="224" t="s">
        <v>55</v>
      </c>
      <c r="E2325" s="224" t="s">
        <v>256</v>
      </c>
      <c r="F2325" s="224" t="s">
        <v>10</v>
      </c>
      <c r="G2325" s="223" t="str">
        <f>VLOOKUP($B2325,'FRS geographical categories'!$A$2:$C$45,2,FALSE)</f>
        <v>Significantly Rural</v>
      </c>
      <c r="H2325" s="223" t="str">
        <f>VLOOKUP($B2325,'FRS geographical categories'!$A$2:$C$45,3,FALSE)</f>
        <v>Non-metropolitan</v>
      </c>
      <c r="I2325" s="224">
        <v>0</v>
      </c>
    </row>
    <row r="2326" spans="1:9" ht="15.5" x14ac:dyDescent="0.35">
      <c r="A2326" s="224" t="s">
        <v>81</v>
      </c>
      <c r="B2326" s="224" t="s">
        <v>12</v>
      </c>
      <c r="C2326" s="224" t="s">
        <v>86</v>
      </c>
      <c r="D2326" s="224" t="s">
        <v>9</v>
      </c>
      <c r="E2326" s="224" t="s">
        <v>256</v>
      </c>
      <c r="F2326" s="224" t="s">
        <v>248</v>
      </c>
      <c r="G2326" s="223" t="str">
        <f>VLOOKUP($B2326,'FRS geographical categories'!$A$2:$C$45,2,FALSE)</f>
        <v>Predominantly Urban</v>
      </c>
      <c r="H2326" s="223" t="str">
        <f>VLOOKUP($B2326,'FRS geographical categories'!$A$2:$C$45,3,FALSE)</f>
        <v>Non-metropolitan</v>
      </c>
      <c r="I2326" s="224">
        <v>189</v>
      </c>
    </row>
    <row r="2327" spans="1:9" ht="15.5" x14ac:dyDescent="0.35">
      <c r="A2327" s="224" t="s">
        <v>81</v>
      </c>
      <c r="B2327" s="224" t="s">
        <v>12</v>
      </c>
      <c r="C2327" s="224" t="s">
        <v>86</v>
      </c>
      <c r="D2327" s="224" t="s">
        <v>9</v>
      </c>
      <c r="E2327" s="224" t="s">
        <v>256</v>
      </c>
      <c r="F2327" s="224" t="s">
        <v>249</v>
      </c>
      <c r="G2327" s="223" t="str">
        <f>VLOOKUP($B2327,'FRS geographical categories'!$A$2:$C$45,2,FALSE)</f>
        <v>Predominantly Urban</v>
      </c>
      <c r="H2327" s="223" t="str">
        <f>VLOOKUP($B2327,'FRS geographical categories'!$A$2:$C$45,3,FALSE)</f>
        <v>Non-metropolitan</v>
      </c>
      <c r="I2327" s="224">
        <v>704</v>
      </c>
    </row>
    <row r="2328" spans="1:9" ht="15.5" x14ac:dyDescent="0.35">
      <c r="A2328" s="224" t="s">
        <v>81</v>
      </c>
      <c r="B2328" s="224" t="s">
        <v>12</v>
      </c>
      <c r="C2328" s="224" t="s">
        <v>86</v>
      </c>
      <c r="D2328" s="224" t="s">
        <v>9</v>
      </c>
      <c r="E2328" s="224" t="s">
        <v>256</v>
      </c>
      <c r="F2328" s="224" t="s">
        <v>250</v>
      </c>
      <c r="G2328" s="223" t="str">
        <f>VLOOKUP($B2328,'FRS geographical categories'!$A$2:$C$45,2,FALSE)</f>
        <v>Predominantly Urban</v>
      </c>
      <c r="H2328" s="223" t="str">
        <f>VLOOKUP($B2328,'FRS geographical categories'!$A$2:$C$45,3,FALSE)</f>
        <v>Non-metropolitan</v>
      </c>
      <c r="I2328" s="224">
        <v>3798</v>
      </c>
    </row>
    <row r="2329" spans="1:9" ht="15.5" x14ac:dyDescent="0.35">
      <c r="A2329" s="224" t="s">
        <v>81</v>
      </c>
      <c r="B2329" s="224" t="s">
        <v>12</v>
      </c>
      <c r="C2329" s="224" t="s">
        <v>86</v>
      </c>
      <c r="D2329" s="224" t="s">
        <v>9</v>
      </c>
      <c r="E2329" s="224" t="s">
        <v>256</v>
      </c>
      <c r="F2329" s="224" t="s">
        <v>111</v>
      </c>
      <c r="G2329" s="223" t="str">
        <f>VLOOKUP($B2329,'FRS geographical categories'!$A$2:$C$45,2,FALSE)</f>
        <v>Predominantly Urban</v>
      </c>
      <c r="H2329" s="223" t="str">
        <f>VLOOKUP($B2329,'FRS geographical categories'!$A$2:$C$45,3,FALSE)</f>
        <v>Non-metropolitan</v>
      </c>
      <c r="I2329" s="224">
        <v>5879</v>
      </c>
    </row>
    <row r="2330" spans="1:9" ht="15.5" x14ac:dyDescent="0.35">
      <c r="A2330" s="224" t="s">
        <v>81</v>
      </c>
      <c r="B2330" s="224" t="s">
        <v>12</v>
      </c>
      <c r="C2330" s="224" t="s">
        <v>86</v>
      </c>
      <c r="D2330" s="224" t="s">
        <v>9</v>
      </c>
      <c r="E2330" s="224" t="s">
        <v>256</v>
      </c>
      <c r="F2330" s="224" t="s">
        <v>10</v>
      </c>
      <c r="G2330" s="223" t="str">
        <f>VLOOKUP($B2330,'FRS geographical categories'!$A$2:$C$45,2,FALSE)</f>
        <v>Predominantly Urban</v>
      </c>
      <c r="H2330" s="223" t="str">
        <f>VLOOKUP($B2330,'FRS geographical categories'!$A$2:$C$45,3,FALSE)</f>
        <v>Non-metropolitan</v>
      </c>
      <c r="I2330" s="224">
        <v>6129</v>
      </c>
    </row>
    <row r="2331" spans="1:9" ht="15.5" x14ac:dyDescent="0.35">
      <c r="A2331" s="224" t="s">
        <v>81</v>
      </c>
      <c r="B2331" s="224" t="s">
        <v>12</v>
      </c>
      <c r="C2331" s="224" t="s">
        <v>86</v>
      </c>
      <c r="D2331" s="224" t="s">
        <v>55</v>
      </c>
      <c r="E2331" s="224" t="s">
        <v>256</v>
      </c>
      <c r="F2331" s="224" t="s">
        <v>248</v>
      </c>
      <c r="G2331" s="223" t="str">
        <f>VLOOKUP($B2331,'FRS geographical categories'!$A$2:$C$45,2,FALSE)</f>
        <v>Predominantly Urban</v>
      </c>
      <c r="H2331" s="223" t="str">
        <f>VLOOKUP($B2331,'FRS geographical categories'!$A$2:$C$45,3,FALSE)</f>
        <v>Non-metropolitan</v>
      </c>
      <c r="I2331" s="224">
        <v>0</v>
      </c>
    </row>
    <row r="2332" spans="1:9" ht="15.5" x14ac:dyDescent="0.35">
      <c r="A2332" s="224" t="s">
        <v>81</v>
      </c>
      <c r="B2332" s="224" t="s">
        <v>12</v>
      </c>
      <c r="C2332" s="224" t="s">
        <v>86</v>
      </c>
      <c r="D2332" s="224" t="s">
        <v>55</v>
      </c>
      <c r="E2332" s="224" t="s">
        <v>256</v>
      </c>
      <c r="F2332" s="224" t="s">
        <v>249</v>
      </c>
      <c r="G2332" s="223" t="str">
        <f>VLOOKUP($B2332,'FRS geographical categories'!$A$2:$C$45,2,FALSE)</f>
        <v>Predominantly Urban</v>
      </c>
      <c r="H2332" s="223" t="str">
        <f>VLOOKUP($B2332,'FRS geographical categories'!$A$2:$C$45,3,FALSE)</f>
        <v>Non-metropolitan</v>
      </c>
      <c r="I2332" s="224">
        <v>0</v>
      </c>
    </row>
    <row r="2333" spans="1:9" ht="15.5" x14ac:dyDescent="0.35">
      <c r="A2333" s="224" t="s">
        <v>81</v>
      </c>
      <c r="B2333" s="224" t="s">
        <v>12</v>
      </c>
      <c r="C2333" s="224" t="s">
        <v>86</v>
      </c>
      <c r="D2333" s="224" t="s">
        <v>55</v>
      </c>
      <c r="E2333" s="224" t="s">
        <v>256</v>
      </c>
      <c r="F2333" s="224" t="s">
        <v>250</v>
      </c>
      <c r="G2333" s="223" t="str">
        <f>VLOOKUP($B2333,'FRS geographical categories'!$A$2:$C$45,2,FALSE)</f>
        <v>Predominantly Urban</v>
      </c>
      <c r="H2333" s="223" t="str">
        <f>VLOOKUP($B2333,'FRS geographical categories'!$A$2:$C$45,3,FALSE)</f>
        <v>Non-metropolitan</v>
      </c>
      <c r="I2333" s="224">
        <v>0</v>
      </c>
    </row>
    <row r="2334" spans="1:9" ht="15.5" x14ac:dyDescent="0.35">
      <c r="A2334" s="224" t="s">
        <v>81</v>
      </c>
      <c r="B2334" s="224" t="s">
        <v>12</v>
      </c>
      <c r="C2334" s="224" t="s">
        <v>86</v>
      </c>
      <c r="D2334" s="224" t="s">
        <v>55</v>
      </c>
      <c r="E2334" s="224" t="s">
        <v>256</v>
      </c>
      <c r="F2334" s="224" t="s">
        <v>111</v>
      </c>
      <c r="G2334" s="223" t="str">
        <f>VLOOKUP($B2334,'FRS geographical categories'!$A$2:$C$45,2,FALSE)</f>
        <v>Predominantly Urban</v>
      </c>
      <c r="H2334" s="223" t="str">
        <f>VLOOKUP($B2334,'FRS geographical categories'!$A$2:$C$45,3,FALSE)</f>
        <v>Non-metropolitan</v>
      </c>
      <c r="I2334" s="224">
        <v>0</v>
      </c>
    </row>
    <row r="2335" spans="1:9" ht="15.5" x14ac:dyDescent="0.35">
      <c r="A2335" s="224" t="s">
        <v>81</v>
      </c>
      <c r="B2335" s="224" t="s">
        <v>12</v>
      </c>
      <c r="C2335" s="224" t="s">
        <v>86</v>
      </c>
      <c r="D2335" s="224" t="s">
        <v>55</v>
      </c>
      <c r="E2335" s="224" t="s">
        <v>256</v>
      </c>
      <c r="F2335" s="224" t="s">
        <v>10</v>
      </c>
      <c r="G2335" s="223" t="str">
        <f>VLOOKUP($B2335,'FRS geographical categories'!$A$2:$C$45,2,FALSE)</f>
        <v>Predominantly Urban</v>
      </c>
      <c r="H2335" s="223" t="str">
        <f>VLOOKUP($B2335,'FRS geographical categories'!$A$2:$C$45,3,FALSE)</f>
        <v>Non-metropolitan</v>
      </c>
      <c r="I2335" s="224">
        <v>0</v>
      </c>
    </row>
    <row r="2336" spans="1:9" ht="15.5" x14ac:dyDescent="0.35">
      <c r="A2336" s="224" t="s">
        <v>81</v>
      </c>
      <c r="B2336" s="224" t="s">
        <v>12</v>
      </c>
      <c r="C2336" s="224" t="s">
        <v>89</v>
      </c>
      <c r="D2336" s="224" t="s">
        <v>9</v>
      </c>
      <c r="E2336" s="224" t="s">
        <v>256</v>
      </c>
      <c r="F2336" s="224" t="s">
        <v>248</v>
      </c>
      <c r="G2336" s="223" t="str">
        <f>VLOOKUP($B2336,'FRS geographical categories'!$A$2:$C$45,2,FALSE)</f>
        <v>Predominantly Urban</v>
      </c>
      <c r="H2336" s="223" t="str">
        <f>VLOOKUP($B2336,'FRS geographical categories'!$A$2:$C$45,3,FALSE)</f>
        <v>Non-metropolitan</v>
      </c>
      <c r="I2336" s="224">
        <v>0</v>
      </c>
    </row>
    <row r="2337" spans="1:9" ht="15.5" x14ac:dyDescent="0.35">
      <c r="A2337" s="224" t="s">
        <v>81</v>
      </c>
      <c r="B2337" s="224" t="s">
        <v>12</v>
      </c>
      <c r="C2337" s="224" t="s">
        <v>89</v>
      </c>
      <c r="D2337" s="224" t="s">
        <v>9</v>
      </c>
      <c r="E2337" s="224" t="s">
        <v>256</v>
      </c>
      <c r="F2337" s="224" t="s">
        <v>249</v>
      </c>
      <c r="G2337" s="223" t="str">
        <f>VLOOKUP($B2337,'FRS geographical categories'!$A$2:$C$45,2,FALSE)</f>
        <v>Predominantly Urban</v>
      </c>
      <c r="H2337" s="223" t="str">
        <f>VLOOKUP($B2337,'FRS geographical categories'!$A$2:$C$45,3,FALSE)</f>
        <v>Non-metropolitan</v>
      </c>
      <c r="I2337" s="224">
        <v>0</v>
      </c>
    </row>
    <row r="2338" spans="1:9" ht="15.5" x14ac:dyDescent="0.35">
      <c r="A2338" s="224" t="s">
        <v>81</v>
      </c>
      <c r="B2338" s="224" t="s">
        <v>12</v>
      </c>
      <c r="C2338" s="224" t="s">
        <v>89</v>
      </c>
      <c r="D2338" s="224" t="s">
        <v>9</v>
      </c>
      <c r="E2338" s="224" t="s">
        <v>256</v>
      </c>
      <c r="F2338" s="224" t="s">
        <v>250</v>
      </c>
      <c r="G2338" s="223" t="str">
        <f>VLOOKUP($B2338,'FRS geographical categories'!$A$2:$C$45,2,FALSE)</f>
        <v>Predominantly Urban</v>
      </c>
      <c r="H2338" s="223" t="str">
        <f>VLOOKUP($B2338,'FRS geographical categories'!$A$2:$C$45,3,FALSE)</f>
        <v>Non-metropolitan</v>
      </c>
      <c r="I2338" s="224">
        <v>0</v>
      </c>
    </row>
    <row r="2339" spans="1:9" ht="15.5" x14ac:dyDescent="0.35">
      <c r="A2339" s="224" t="s">
        <v>81</v>
      </c>
      <c r="B2339" s="224" t="s">
        <v>12</v>
      </c>
      <c r="C2339" s="224" t="s">
        <v>89</v>
      </c>
      <c r="D2339" s="224" t="s">
        <v>9</v>
      </c>
      <c r="E2339" s="224" t="s">
        <v>256</v>
      </c>
      <c r="F2339" s="224" t="s">
        <v>10</v>
      </c>
      <c r="G2339" s="223" t="str">
        <f>VLOOKUP($B2339,'FRS geographical categories'!$A$2:$C$45,2,FALSE)</f>
        <v>Predominantly Urban</v>
      </c>
      <c r="H2339" s="223" t="str">
        <f>VLOOKUP($B2339,'FRS geographical categories'!$A$2:$C$45,3,FALSE)</f>
        <v>Non-metropolitan</v>
      </c>
      <c r="I2339" s="224">
        <v>0</v>
      </c>
    </row>
    <row r="2340" spans="1:9" ht="15.5" x14ac:dyDescent="0.35">
      <c r="A2340" s="224" t="s">
        <v>81</v>
      </c>
      <c r="B2340" s="224" t="s">
        <v>12</v>
      </c>
      <c r="C2340" s="224" t="s">
        <v>89</v>
      </c>
      <c r="D2340" s="224" t="s">
        <v>55</v>
      </c>
      <c r="E2340" s="224" t="s">
        <v>256</v>
      </c>
      <c r="F2340" s="224" t="s">
        <v>248</v>
      </c>
      <c r="G2340" s="223" t="str">
        <f>VLOOKUP($B2340,'FRS geographical categories'!$A$2:$C$45,2,FALSE)</f>
        <v>Predominantly Urban</v>
      </c>
      <c r="H2340" s="223" t="str">
        <f>VLOOKUP($B2340,'FRS geographical categories'!$A$2:$C$45,3,FALSE)</f>
        <v>Non-metropolitan</v>
      </c>
      <c r="I2340" s="224">
        <v>0</v>
      </c>
    </row>
    <row r="2341" spans="1:9" ht="15.5" x14ac:dyDescent="0.35">
      <c r="A2341" s="224" t="s">
        <v>81</v>
      </c>
      <c r="B2341" s="224" t="s">
        <v>12</v>
      </c>
      <c r="C2341" s="224" t="s">
        <v>89</v>
      </c>
      <c r="D2341" s="224" t="s">
        <v>55</v>
      </c>
      <c r="E2341" s="224" t="s">
        <v>256</v>
      </c>
      <c r="F2341" s="224" t="s">
        <v>249</v>
      </c>
      <c r="G2341" s="223" t="str">
        <f>VLOOKUP($B2341,'FRS geographical categories'!$A$2:$C$45,2,FALSE)</f>
        <v>Predominantly Urban</v>
      </c>
      <c r="H2341" s="223" t="str">
        <f>VLOOKUP($B2341,'FRS geographical categories'!$A$2:$C$45,3,FALSE)</f>
        <v>Non-metropolitan</v>
      </c>
      <c r="I2341" s="224">
        <v>0</v>
      </c>
    </row>
    <row r="2342" spans="1:9" ht="15.5" x14ac:dyDescent="0.35">
      <c r="A2342" s="224" t="s">
        <v>81</v>
      </c>
      <c r="B2342" s="224" t="s">
        <v>12</v>
      </c>
      <c r="C2342" s="224" t="s">
        <v>89</v>
      </c>
      <c r="D2342" s="224" t="s">
        <v>55</v>
      </c>
      <c r="E2342" s="224" t="s">
        <v>256</v>
      </c>
      <c r="F2342" s="224" t="s">
        <v>250</v>
      </c>
      <c r="G2342" s="223" t="str">
        <f>VLOOKUP($B2342,'FRS geographical categories'!$A$2:$C$45,2,FALSE)</f>
        <v>Predominantly Urban</v>
      </c>
      <c r="H2342" s="223" t="str">
        <f>VLOOKUP($B2342,'FRS geographical categories'!$A$2:$C$45,3,FALSE)</f>
        <v>Non-metropolitan</v>
      </c>
      <c r="I2342" s="224">
        <v>0</v>
      </c>
    </row>
    <row r="2343" spans="1:9" ht="15.5" x14ac:dyDescent="0.35">
      <c r="A2343" s="224" t="s">
        <v>81</v>
      </c>
      <c r="B2343" s="224" t="s">
        <v>12</v>
      </c>
      <c r="C2343" s="224" t="s">
        <v>89</v>
      </c>
      <c r="D2343" s="224" t="s">
        <v>55</v>
      </c>
      <c r="E2343" s="224" t="s">
        <v>256</v>
      </c>
      <c r="F2343" s="224" t="s">
        <v>10</v>
      </c>
      <c r="G2343" s="223" t="str">
        <f>VLOOKUP($B2343,'FRS geographical categories'!$A$2:$C$45,2,FALSE)</f>
        <v>Predominantly Urban</v>
      </c>
      <c r="H2343" s="223" t="str">
        <f>VLOOKUP($B2343,'FRS geographical categories'!$A$2:$C$45,3,FALSE)</f>
        <v>Non-metropolitan</v>
      </c>
      <c r="I2343" s="224">
        <v>0</v>
      </c>
    </row>
    <row r="2344" spans="1:9" ht="15.5" x14ac:dyDescent="0.35">
      <c r="A2344" s="224" t="s">
        <v>81</v>
      </c>
      <c r="B2344" s="224" t="s">
        <v>13</v>
      </c>
      <c r="C2344" s="224" t="s">
        <v>86</v>
      </c>
      <c r="D2344" s="224" t="s">
        <v>9</v>
      </c>
      <c r="E2344" s="224" t="s">
        <v>256</v>
      </c>
      <c r="F2344" s="224" t="s">
        <v>248</v>
      </c>
      <c r="G2344" s="223" t="str">
        <f>VLOOKUP($B2344,'FRS geographical categories'!$A$2:$C$45,2,FALSE)</f>
        <v>Significantly Rural</v>
      </c>
      <c r="H2344" s="223" t="str">
        <f>VLOOKUP($B2344,'FRS geographical categories'!$A$2:$C$45,3,FALSE)</f>
        <v>Non-metropolitan</v>
      </c>
      <c r="I2344" s="224">
        <v>357</v>
      </c>
    </row>
    <row r="2345" spans="1:9" ht="15.5" x14ac:dyDescent="0.35">
      <c r="A2345" s="224" t="s">
        <v>81</v>
      </c>
      <c r="B2345" s="224" t="s">
        <v>13</v>
      </c>
      <c r="C2345" s="224" t="s">
        <v>86</v>
      </c>
      <c r="D2345" s="224" t="s">
        <v>9</v>
      </c>
      <c r="E2345" s="224" t="s">
        <v>256</v>
      </c>
      <c r="F2345" s="224" t="s">
        <v>249</v>
      </c>
      <c r="G2345" s="223" t="str">
        <f>VLOOKUP($B2345,'FRS geographical categories'!$A$2:$C$45,2,FALSE)</f>
        <v>Significantly Rural</v>
      </c>
      <c r="H2345" s="223" t="str">
        <f>VLOOKUP($B2345,'FRS geographical categories'!$A$2:$C$45,3,FALSE)</f>
        <v>Non-metropolitan</v>
      </c>
      <c r="I2345" s="224">
        <v>908</v>
      </c>
    </row>
    <row r="2346" spans="1:9" ht="15.5" x14ac:dyDescent="0.35">
      <c r="A2346" s="224" t="s">
        <v>81</v>
      </c>
      <c r="B2346" s="224" t="s">
        <v>13</v>
      </c>
      <c r="C2346" s="224" t="s">
        <v>86</v>
      </c>
      <c r="D2346" s="224" t="s">
        <v>9</v>
      </c>
      <c r="E2346" s="224" t="s">
        <v>256</v>
      </c>
      <c r="F2346" s="224" t="s">
        <v>250</v>
      </c>
      <c r="G2346" s="223" t="str">
        <f>VLOOKUP($B2346,'FRS geographical categories'!$A$2:$C$45,2,FALSE)</f>
        <v>Significantly Rural</v>
      </c>
      <c r="H2346" s="223" t="str">
        <f>VLOOKUP($B2346,'FRS geographical categories'!$A$2:$C$45,3,FALSE)</f>
        <v>Non-metropolitan</v>
      </c>
      <c r="I2346" s="224">
        <v>887</v>
      </c>
    </row>
    <row r="2347" spans="1:9" ht="15.5" x14ac:dyDescent="0.35">
      <c r="A2347" s="224" t="s">
        <v>81</v>
      </c>
      <c r="B2347" s="224" t="s">
        <v>13</v>
      </c>
      <c r="C2347" s="224" t="s">
        <v>86</v>
      </c>
      <c r="D2347" s="224" t="s">
        <v>9</v>
      </c>
      <c r="E2347" s="224" t="s">
        <v>256</v>
      </c>
      <c r="F2347" s="224" t="s">
        <v>111</v>
      </c>
      <c r="G2347" s="223" t="str">
        <f>VLOOKUP($B2347,'FRS geographical categories'!$A$2:$C$45,2,FALSE)</f>
        <v>Significantly Rural</v>
      </c>
      <c r="H2347" s="223" t="str">
        <f>VLOOKUP($B2347,'FRS geographical categories'!$A$2:$C$45,3,FALSE)</f>
        <v>Non-metropolitan</v>
      </c>
      <c r="I2347" s="224">
        <v>2284</v>
      </c>
    </row>
    <row r="2348" spans="1:9" ht="15.5" x14ac:dyDescent="0.35">
      <c r="A2348" s="224" t="s">
        <v>81</v>
      </c>
      <c r="B2348" s="224" t="s">
        <v>13</v>
      </c>
      <c r="C2348" s="224" t="s">
        <v>86</v>
      </c>
      <c r="D2348" s="224" t="s">
        <v>9</v>
      </c>
      <c r="E2348" s="224" t="s">
        <v>256</v>
      </c>
      <c r="F2348" s="224" t="s">
        <v>10</v>
      </c>
      <c r="G2348" s="223" t="str">
        <f>VLOOKUP($B2348,'FRS geographical categories'!$A$2:$C$45,2,FALSE)</f>
        <v>Significantly Rural</v>
      </c>
      <c r="H2348" s="223" t="str">
        <f>VLOOKUP($B2348,'FRS geographical categories'!$A$2:$C$45,3,FALSE)</f>
        <v>Non-metropolitan</v>
      </c>
      <c r="I2348" s="224">
        <v>2678</v>
      </c>
    </row>
    <row r="2349" spans="1:9" ht="15.5" x14ac:dyDescent="0.35">
      <c r="A2349" s="224" t="s">
        <v>81</v>
      </c>
      <c r="B2349" s="224" t="s">
        <v>13</v>
      </c>
      <c r="C2349" s="224" t="s">
        <v>86</v>
      </c>
      <c r="D2349" s="224" t="s">
        <v>55</v>
      </c>
      <c r="E2349" s="224" t="s">
        <v>256</v>
      </c>
      <c r="F2349" s="224" t="s">
        <v>248</v>
      </c>
      <c r="G2349" s="223" t="str">
        <f>VLOOKUP($B2349,'FRS geographical categories'!$A$2:$C$45,2,FALSE)</f>
        <v>Significantly Rural</v>
      </c>
      <c r="H2349" s="223" t="str">
        <f>VLOOKUP($B2349,'FRS geographical categories'!$A$2:$C$45,3,FALSE)</f>
        <v>Non-metropolitan</v>
      </c>
      <c r="I2349" s="224">
        <v>107</v>
      </c>
    </row>
    <row r="2350" spans="1:9" ht="15.5" x14ac:dyDescent="0.35">
      <c r="A2350" s="224" t="s">
        <v>81</v>
      </c>
      <c r="B2350" s="224" t="s">
        <v>13</v>
      </c>
      <c r="C2350" s="224" t="s">
        <v>86</v>
      </c>
      <c r="D2350" s="224" t="s">
        <v>55</v>
      </c>
      <c r="E2350" s="224" t="s">
        <v>256</v>
      </c>
      <c r="F2350" s="224" t="s">
        <v>249</v>
      </c>
      <c r="G2350" s="223" t="str">
        <f>VLOOKUP($B2350,'FRS geographical categories'!$A$2:$C$45,2,FALSE)</f>
        <v>Significantly Rural</v>
      </c>
      <c r="H2350" s="223" t="str">
        <f>VLOOKUP($B2350,'FRS geographical categories'!$A$2:$C$45,3,FALSE)</f>
        <v>Non-metropolitan</v>
      </c>
      <c r="I2350" s="224">
        <v>116</v>
      </c>
    </row>
    <row r="2351" spans="1:9" ht="15.5" x14ac:dyDescent="0.35">
      <c r="A2351" s="224" t="s">
        <v>81</v>
      </c>
      <c r="B2351" s="224" t="s">
        <v>13</v>
      </c>
      <c r="C2351" s="224" t="s">
        <v>86</v>
      </c>
      <c r="D2351" s="224" t="s">
        <v>55</v>
      </c>
      <c r="E2351" s="224" t="s">
        <v>256</v>
      </c>
      <c r="F2351" s="224" t="s">
        <v>250</v>
      </c>
      <c r="G2351" s="223" t="str">
        <f>VLOOKUP($B2351,'FRS geographical categories'!$A$2:$C$45,2,FALSE)</f>
        <v>Significantly Rural</v>
      </c>
      <c r="H2351" s="223" t="str">
        <f>VLOOKUP($B2351,'FRS geographical categories'!$A$2:$C$45,3,FALSE)</f>
        <v>Non-metropolitan</v>
      </c>
      <c r="I2351" s="224">
        <v>32</v>
      </c>
    </row>
    <row r="2352" spans="1:9" ht="15.5" x14ac:dyDescent="0.35">
      <c r="A2352" s="224" t="s">
        <v>81</v>
      </c>
      <c r="B2352" s="224" t="s">
        <v>13</v>
      </c>
      <c r="C2352" s="224" t="s">
        <v>86</v>
      </c>
      <c r="D2352" s="224" t="s">
        <v>55</v>
      </c>
      <c r="E2352" s="224" t="s">
        <v>256</v>
      </c>
      <c r="F2352" s="224" t="s">
        <v>111</v>
      </c>
      <c r="G2352" s="223" t="str">
        <f>VLOOKUP($B2352,'FRS geographical categories'!$A$2:$C$45,2,FALSE)</f>
        <v>Significantly Rural</v>
      </c>
      <c r="H2352" s="223" t="str">
        <f>VLOOKUP($B2352,'FRS geographical categories'!$A$2:$C$45,3,FALSE)</f>
        <v>Non-metropolitan</v>
      </c>
      <c r="I2352" s="224">
        <v>273</v>
      </c>
    </row>
    <row r="2353" spans="1:9" ht="15.5" x14ac:dyDescent="0.35">
      <c r="A2353" s="224" t="s">
        <v>81</v>
      </c>
      <c r="B2353" s="224" t="s">
        <v>13</v>
      </c>
      <c r="C2353" s="224" t="s">
        <v>86</v>
      </c>
      <c r="D2353" s="224" t="s">
        <v>55</v>
      </c>
      <c r="E2353" s="224" t="s">
        <v>256</v>
      </c>
      <c r="F2353" s="224" t="s">
        <v>10</v>
      </c>
      <c r="G2353" s="223" t="str">
        <f>VLOOKUP($B2353,'FRS geographical categories'!$A$2:$C$45,2,FALSE)</f>
        <v>Significantly Rural</v>
      </c>
      <c r="H2353" s="223" t="str">
        <f>VLOOKUP($B2353,'FRS geographical categories'!$A$2:$C$45,3,FALSE)</f>
        <v>Non-metropolitan</v>
      </c>
      <c r="I2353" s="224">
        <v>273</v>
      </c>
    </row>
    <row r="2354" spans="1:9" ht="15.5" x14ac:dyDescent="0.35">
      <c r="A2354" s="224" t="s">
        <v>81</v>
      </c>
      <c r="B2354" s="224" t="s">
        <v>13</v>
      </c>
      <c r="C2354" s="224" t="s">
        <v>89</v>
      </c>
      <c r="D2354" s="224" t="s">
        <v>9</v>
      </c>
      <c r="E2354" s="224" t="s">
        <v>256</v>
      </c>
      <c r="F2354" s="224" t="s">
        <v>248</v>
      </c>
      <c r="G2354" s="223" t="str">
        <f>VLOOKUP($B2354,'FRS geographical categories'!$A$2:$C$45,2,FALSE)</f>
        <v>Significantly Rural</v>
      </c>
      <c r="H2354" s="223" t="str">
        <f>VLOOKUP($B2354,'FRS geographical categories'!$A$2:$C$45,3,FALSE)</f>
        <v>Non-metropolitan</v>
      </c>
      <c r="I2354" s="224">
        <v>0</v>
      </c>
    </row>
    <row r="2355" spans="1:9" ht="15.5" x14ac:dyDescent="0.35">
      <c r="A2355" s="224" t="s">
        <v>81</v>
      </c>
      <c r="B2355" s="224" t="s">
        <v>13</v>
      </c>
      <c r="C2355" s="224" t="s">
        <v>89</v>
      </c>
      <c r="D2355" s="224" t="s">
        <v>9</v>
      </c>
      <c r="E2355" s="224" t="s">
        <v>256</v>
      </c>
      <c r="F2355" s="224" t="s">
        <v>249</v>
      </c>
      <c r="G2355" s="223" t="str">
        <f>VLOOKUP($B2355,'FRS geographical categories'!$A$2:$C$45,2,FALSE)</f>
        <v>Significantly Rural</v>
      </c>
      <c r="H2355" s="223" t="str">
        <f>VLOOKUP($B2355,'FRS geographical categories'!$A$2:$C$45,3,FALSE)</f>
        <v>Non-metropolitan</v>
      </c>
      <c r="I2355" s="224">
        <v>0</v>
      </c>
    </row>
    <row r="2356" spans="1:9" ht="15.5" x14ac:dyDescent="0.35">
      <c r="A2356" s="224" t="s">
        <v>81</v>
      </c>
      <c r="B2356" s="224" t="s">
        <v>13</v>
      </c>
      <c r="C2356" s="224" t="s">
        <v>89</v>
      </c>
      <c r="D2356" s="224" t="s">
        <v>9</v>
      </c>
      <c r="E2356" s="224" t="s">
        <v>256</v>
      </c>
      <c r="F2356" s="224" t="s">
        <v>250</v>
      </c>
      <c r="G2356" s="223" t="str">
        <f>VLOOKUP($B2356,'FRS geographical categories'!$A$2:$C$45,2,FALSE)</f>
        <v>Significantly Rural</v>
      </c>
      <c r="H2356" s="223" t="str">
        <f>VLOOKUP($B2356,'FRS geographical categories'!$A$2:$C$45,3,FALSE)</f>
        <v>Non-metropolitan</v>
      </c>
      <c r="I2356" s="224">
        <v>0</v>
      </c>
    </row>
    <row r="2357" spans="1:9" ht="15.5" x14ac:dyDescent="0.35">
      <c r="A2357" s="224" t="s">
        <v>81</v>
      </c>
      <c r="B2357" s="224" t="s">
        <v>13</v>
      </c>
      <c r="C2357" s="224" t="s">
        <v>89</v>
      </c>
      <c r="D2357" s="224" t="s">
        <v>9</v>
      </c>
      <c r="E2357" s="224" t="s">
        <v>256</v>
      </c>
      <c r="F2357" s="224" t="s">
        <v>10</v>
      </c>
      <c r="G2357" s="223" t="str">
        <f>VLOOKUP($B2357,'FRS geographical categories'!$A$2:$C$45,2,FALSE)</f>
        <v>Significantly Rural</v>
      </c>
      <c r="H2357" s="223" t="str">
        <f>VLOOKUP($B2357,'FRS geographical categories'!$A$2:$C$45,3,FALSE)</f>
        <v>Non-metropolitan</v>
      </c>
      <c r="I2357" s="224">
        <v>0</v>
      </c>
    </row>
    <row r="2358" spans="1:9" ht="15.5" x14ac:dyDescent="0.35">
      <c r="A2358" s="224" t="s">
        <v>81</v>
      </c>
      <c r="B2358" s="224" t="s">
        <v>13</v>
      </c>
      <c r="C2358" s="224" t="s">
        <v>89</v>
      </c>
      <c r="D2358" s="224" t="s">
        <v>55</v>
      </c>
      <c r="E2358" s="224" t="s">
        <v>256</v>
      </c>
      <c r="F2358" s="224" t="s">
        <v>248</v>
      </c>
      <c r="G2358" s="223" t="str">
        <f>VLOOKUP($B2358,'FRS geographical categories'!$A$2:$C$45,2,FALSE)</f>
        <v>Significantly Rural</v>
      </c>
      <c r="H2358" s="223" t="str">
        <f>VLOOKUP($B2358,'FRS geographical categories'!$A$2:$C$45,3,FALSE)</f>
        <v>Non-metropolitan</v>
      </c>
      <c r="I2358" s="224">
        <v>0</v>
      </c>
    </row>
    <row r="2359" spans="1:9" ht="15.5" x14ac:dyDescent="0.35">
      <c r="A2359" s="224" t="s">
        <v>81</v>
      </c>
      <c r="B2359" s="224" t="s">
        <v>13</v>
      </c>
      <c r="C2359" s="224" t="s">
        <v>89</v>
      </c>
      <c r="D2359" s="224" t="s">
        <v>55</v>
      </c>
      <c r="E2359" s="224" t="s">
        <v>256</v>
      </c>
      <c r="F2359" s="224" t="s">
        <v>249</v>
      </c>
      <c r="G2359" s="223" t="str">
        <f>VLOOKUP($B2359,'FRS geographical categories'!$A$2:$C$45,2,FALSE)</f>
        <v>Significantly Rural</v>
      </c>
      <c r="H2359" s="223" t="str">
        <f>VLOOKUP($B2359,'FRS geographical categories'!$A$2:$C$45,3,FALSE)</f>
        <v>Non-metropolitan</v>
      </c>
      <c r="I2359" s="224">
        <v>0</v>
      </c>
    </row>
    <row r="2360" spans="1:9" ht="15.5" x14ac:dyDescent="0.35">
      <c r="A2360" s="224" t="s">
        <v>81</v>
      </c>
      <c r="B2360" s="224" t="s">
        <v>13</v>
      </c>
      <c r="C2360" s="224" t="s">
        <v>89</v>
      </c>
      <c r="D2360" s="224" t="s">
        <v>55</v>
      </c>
      <c r="E2360" s="224" t="s">
        <v>256</v>
      </c>
      <c r="F2360" s="224" t="s">
        <v>250</v>
      </c>
      <c r="G2360" s="223" t="str">
        <f>VLOOKUP($B2360,'FRS geographical categories'!$A$2:$C$45,2,FALSE)</f>
        <v>Significantly Rural</v>
      </c>
      <c r="H2360" s="223" t="str">
        <f>VLOOKUP($B2360,'FRS geographical categories'!$A$2:$C$45,3,FALSE)</f>
        <v>Non-metropolitan</v>
      </c>
      <c r="I2360" s="224">
        <v>0</v>
      </c>
    </row>
    <row r="2361" spans="1:9" ht="15.5" x14ac:dyDescent="0.35">
      <c r="A2361" s="224" t="s">
        <v>81</v>
      </c>
      <c r="B2361" s="224" t="s">
        <v>13</v>
      </c>
      <c r="C2361" s="224" t="s">
        <v>89</v>
      </c>
      <c r="D2361" s="224" t="s">
        <v>55</v>
      </c>
      <c r="E2361" s="224" t="s">
        <v>256</v>
      </c>
      <c r="F2361" s="224" t="s">
        <v>10</v>
      </c>
      <c r="G2361" s="223" t="str">
        <f>VLOOKUP($B2361,'FRS geographical categories'!$A$2:$C$45,2,FALSE)</f>
        <v>Significantly Rural</v>
      </c>
      <c r="H2361" s="223" t="str">
        <f>VLOOKUP($B2361,'FRS geographical categories'!$A$2:$C$45,3,FALSE)</f>
        <v>Non-metropolitan</v>
      </c>
      <c r="I2361" s="224">
        <v>0</v>
      </c>
    </row>
    <row r="2362" spans="1:9" ht="15.5" x14ac:dyDescent="0.35">
      <c r="A2362" s="224" t="s">
        <v>81</v>
      </c>
      <c r="B2362" s="224" t="s">
        <v>14</v>
      </c>
      <c r="C2362" s="224" t="s">
        <v>86</v>
      </c>
      <c r="D2362" s="224" t="s">
        <v>9</v>
      </c>
      <c r="E2362" s="224" t="s">
        <v>256</v>
      </c>
      <c r="F2362" s="224" t="s">
        <v>248</v>
      </c>
      <c r="G2362" s="223" t="str">
        <f>VLOOKUP($B2362,'FRS geographical categories'!$A$2:$C$45,2,FALSE)</f>
        <v>Predominantly Rural</v>
      </c>
      <c r="H2362" s="223" t="str">
        <f>VLOOKUP($B2362,'FRS geographical categories'!$A$2:$C$45,3,FALSE)</f>
        <v>Non-metropolitan</v>
      </c>
      <c r="I2362" s="224">
        <v>427</v>
      </c>
    </row>
    <row r="2363" spans="1:9" ht="15.5" x14ac:dyDescent="0.35">
      <c r="A2363" s="224" t="s">
        <v>81</v>
      </c>
      <c r="B2363" s="224" t="s">
        <v>14</v>
      </c>
      <c r="C2363" s="224" t="s">
        <v>86</v>
      </c>
      <c r="D2363" s="224" t="s">
        <v>9</v>
      </c>
      <c r="E2363" s="224" t="s">
        <v>256</v>
      </c>
      <c r="F2363" s="224" t="s">
        <v>249</v>
      </c>
      <c r="G2363" s="223" t="str">
        <f>VLOOKUP($B2363,'FRS geographical categories'!$A$2:$C$45,2,FALSE)</f>
        <v>Predominantly Rural</v>
      </c>
      <c r="H2363" s="223" t="str">
        <f>VLOOKUP($B2363,'FRS geographical categories'!$A$2:$C$45,3,FALSE)</f>
        <v>Non-metropolitan</v>
      </c>
      <c r="I2363" s="224">
        <v>1945</v>
      </c>
    </row>
    <row r="2364" spans="1:9" ht="15.5" x14ac:dyDescent="0.35">
      <c r="A2364" s="224" t="s">
        <v>81</v>
      </c>
      <c r="B2364" s="224" t="s">
        <v>14</v>
      </c>
      <c r="C2364" s="224" t="s">
        <v>86</v>
      </c>
      <c r="D2364" s="224" t="s">
        <v>9</v>
      </c>
      <c r="E2364" s="224" t="s">
        <v>256</v>
      </c>
      <c r="F2364" s="224" t="s">
        <v>250</v>
      </c>
      <c r="G2364" s="223" t="str">
        <f>VLOOKUP($B2364,'FRS geographical categories'!$A$2:$C$45,2,FALSE)</f>
        <v>Predominantly Rural</v>
      </c>
      <c r="H2364" s="223" t="str">
        <f>VLOOKUP($B2364,'FRS geographical categories'!$A$2:$C$45,3,FALSE)</f>
        <v>Non-metropolitan</v>
      </c>
      <c r="I2364" s="224">
        <v>2685</v>
      </c>
    </row>
    <row r="2365" spans="1:9" ht="15.5" x14ac:dyDescent="0.35">
      <c r="A2365" s="224" t="s">
        <v>81</v>
      </c>
      <c r="B2365" s="224" t="s">
        <v>14</v>
      </c>
      <c r="C2365" s="224" t="s">
        <v>86</v>
      </c>
      <c r="D2365" s="224" t="s">
        <v>9</v>
      </c>
      <c r="E2365" s="224" t="s">
        <v>256</v>
      </c>
      <c r="F2365" s="224" t="s">
        <v>111</v>
      </c>
      <c r="G2365" s="223" t="str">
        <f>VLOOKUP($B2365,'FRS geographical categories'!$A$2:$C$45,2,FALSE)</f>
        <v>Predominantly Rural</v>
      </c>
      <c r="H2365" s="223" t="str">
        <f>VLOOKUP($B2365,'FRS geographical categories'!$A$2:$C$45,3,FALSE)</f>
        <v>Non-metropolitan</v>
      </c>
      <c r="I2365" s="224">
        <v>5879</v>
      </c>
    </row>
    <row r="2366" spans="1:9" ht="15.5" x14ac:dyDescent="0.35">
      <c r="A2366" s="224" t="s">
        <v>81</v>
      </c>
      <c r="B2366" s="224" t="s">
        <v>14</v>
      </c>
      <c r="C2366" s="224" t="s">
        <v>86</v>
      </c>
      <c r="D2366" s="224" t="s">
        <v>9</v>
      </c>
      <c r="E2366" s="224" t="s">
        <v>256</v>
      </c>
      <c r="F2366" s="224" t="s">
        <v>10</v>
      </c>
      <c r="G2366" s="223" t="str">
        <f>VLOOKUP($B2366,'FRS geographical categories'!$A$2:$C$45,2,FALSE)</f>
        <v>Predominantly Rural</v>
      </c>
      <c r="H2366" s="223" t="str">
        <f>VLOOKUP($B2366,'FRS geographical categories'!$A$2:$C$45,3,FALSE)</f>
        <v>Non-metropolitan</v>
      </c>
      <c r="I2366" s="224">
        <v>5961</v>
      </c>
    </row>
    <row r="2367" spans="1:9" ht="15.5" x14ac:dyDescent="0.35">
      <c r="A2367" s="224" t="s">
        <v>81</v>
      </c>
      <c r="B2367" s="224" t="s">
        <v>14</v>
      </c>
      <c r="C2367" s="224" t="s">
        <v>86</v>
      </c>
      <c r="D2367" s="224" t="s">
        <v>55</v>
      </c>
      <c r="E2367" s="224" t="s">
        <v>256</v>
      </c>
      <c r="F2367" s="224" t="s">
        <v>248</v>
      </c>
      <c r="G2367" s="223" t="str">
        <f>VLOOKUP($B2367,'FRS geographical categories'!$A$2:$C$45,2,FALSE)</f>
        <v>Predominantly Rural</v>
      </c>
      <c r="H2367" s="223" t="str">
        <f>VLOOKUP($B2367,'FRS geographical categories'!$A$2:$C$45,3,FALSE)</f>
        <v>Non-metropolitan</v>
      </c>
      <c r="I2367" s="224">
        <v>0</v>
      </c>
    </row>
    <row r="2368" spans="1:9" ht="15.5" x14ac:dyDescent="0.35">
      <c r="A2368" s="224" t="s">
        <v>81</v>
      </c>
      <c r="B2368" s="224" t="s">
        <v>14</v>
      </c>
      <c r="C2368" s="224" t="s">
        <v>86</v>
      </c>
      <c r="D2368" s="224" t="s">
        <v>55</v>
      </c>
      <c r="E2368" s="224" t="s">
        <v>256</v>
      </c>
      <c r="F2368" s="224" t="s">
        <v>249</v>
      </c>
      <c r="G2368" s="223" t="str">
        <f>VLOOKUP($B2368,'FRS geographical categories'!$A$2:$C$45,2,FALSE)</f>
        <v>Predominantly Rural</v>
      </c>
      <c r="H2368" s="223" t="str">
        <f>VLOOKUP($B2368,'FRS geographical categories'!$A$2:$C$45,3,FALSE)</f>
        <v>Non-metropolitan</v>
      </c>
      <c r="I2368" s="224">
        <v>0</v>
      </c>
    </row>
    <row r="2369" spans="1:9" ht="15.5" x14ac:dyDescent="0.35">
      <c r="A2369" s="224" t="s">
        <v>81</v>
      </c>
      <c r="B2369" s="224" t="s">
        <v>14</v>
      </c>
      <c r="C2369" s="224" t="s">
        <v>86</v>
      </c>
      <c r="D2369" s="224" t="s">
        <v>55</v>
      </c>
      <c r="E2369" s="224" t="s">
        <v>256</v>
      </c>
      <c r="F2369" s="224" t="s">
        <v>250</v>
      </c>
      <c r="G2369" s="223" t="str">
        <f>VLOOKUP($B2369,'FRS geographical categories'!$A$2:$C$45,2,FALSE)</f>
        <v>Predominantly Rural</v>
      </c>
      <c r="H2369" s="223" t="str">
        <f>VLOOKUP($B2369,'FRS geographical categories'!$A$2:$C$45,3,FALSE)</f>
        <v>Non-metropolitan</v>
      </c>
      <c r="I2369" s="224">
        <v>0</v>
      </c>
    </row>
    <row r="2370" spans="1:9" ht="15.5" x14ac:dyDescent="0.35">
      <c r="A2370" s="224" t="s">
        <v>81</v>
      </c>
      <c r="B2370" s="224" t="s">
        <v>14</v>
      </c>
      <c r="C2370" s="224" t="s">
        <v>86</v>
      </c>
      <c r="D2370" s="224" t="s">
        <v>55</v>
      </c>
      <c r="E2370" s="224" t="s">
        <v>256</v>
      </c>
      <c r="F2370" s="224" t="s">
        <v>111</v>
      </c>
      <c r="G2370" s="223" t="str">
        <f>VLOOKUP($B2370,'FRS geographical categories'!$A$2:$C$45,2,FALSE)</f>
        <v>Predominantly Rural</v>
      </c>
      <c r="H2370" s="223" t="str">
        <f>VLOOKUP($B2370,'FRS geographical categories'!$A$2:$C$45,3,FALSE)</f>
        <v>Non-metropolitan</v>
      </c>
      <c r="I2370" s="224">
        <v>0</v>
      </c>
    </row>
    <row r="2371" spans="1:9" ht="15.5" x14ac:dyDescent="0.35">
      <c r="A2371" s="224" t="s">
        <v>81</v>
      </c>
      <c r="B2371" s="224" t="s">
        <v>14</v>
      </c>
      <c r="C2371" s="224" t="s">
        <v>86</v>
      </c>
      <c r="D2371" s="224" t="s">
        <v>55</v>
      </c>
      <c r="E2371" s="224" t="s">
        <v>256</v>
      </c>
      <c r="F2371" s="224" t="s">
        <v>10</v>
      </c>
      <c r="G2371" s="223" t="str">
        <f>VLOOKUP($B2371,'FRS geographical categories'!$A$2:$C$45,2,FALSE)</f>
        <v>Predominantly Rural</v>
      </c>
      <c r="H2371" s="223" t="str">
        <f>VLOOKUP($B2371,'FRS geographical categories'!$A$2:$C$45,3,FALSE)</f>
        <v>Non-metropolitan</v>
      </c>
      <c r="I2371" s="224">
        <v>0</v>
      </c>
    </row>
    <row r="2372" spans="1:9" ht="15.5" x14ac:dyDescent="0.35">
      <c r="A2372" s="224" t="s">
        <v>81</v>
      </c>
      <c r="B2372" s="224" t="s">
        <v>14</v>
      </c>
      <c r="C2372" s="224" t="s">
        <v>89</v>
      </c>
      <c r="D2372" s="224" t="s">
        <v>9</v>
      </c>
      <c r="E2372" s="224" t="s">
        <v>256</v>
      </c>
      <c r="F2372" s="224" t="s">
        <v>248</v>
      </c>
      <c r="G2372" s="223" t="str">
        <f>VLOOKUP($B2372,'FRS geographical categories'!$A$2:$C$45,2,FALSE)</f>
        <v>Predominantly Rural</v>
      </c>
      <c r="H2372" s="223" t="str">
        <f>VLOOKUP($B2372,'FRS geographical categories'!$A$2:$C$45,3,FALSE)</f>
        <v>Non-metropolitan</v>
      </c>
      <c r="I2372" s="224">
        <v>30</v>
      </c>
    </row>
    <row r="2373" spans="1:9" ht="15.5" x14ac:dyDescent="0.35">
      <c r="A2373" s="224" t="s">
        <v>81</v>
      </c>
      <c r="B2373" s="224" t="s">
        <v>14</v>
      </c>
      <c r="C2373" s="224" t="s">
        <v>89</v>
      </c>
      <c r="D2373" s="224" t="s">
        <v>9</v>
      </c>
      <c r="E2373" s="224" t="s">
        <v>256</v>
      </c>
      <c r="F2373" s="224" t="s">
        <v>249</v>
      </c>
      <c r="G2373" s="223" t="str">
        <f>VLOOKUP($B2373,'FRS geographical categories'!$A$2:$C$45,2,FALSE)</f>
        <v>Predominantly Rural</v>
      </c>
      <c r="H2373" s="223" t="str">
        <f>VLOOKUP($B2373,'FRS geographical categories'!$A$2:$C$45,3,FALSE)</f>
        <v>Non-metropolitan</v>
      </c>
      <c r="I2373" s="224">
        <v>108</v>
      </c>
    </row>
    <row r="2374" spans="1:9" ht="15.5" x14ac:dyDescent="0.35">
      <c r="A2374" s="224" t="s">
        <v>81</v>
      </c>
      <c r="B2374" s="224" t="s">
        <v>14</v>
      </c>
      <c r="C2374" s="224" t="s">
        <v>89</v>
      </c>
      <c r="D2374" s="224" t="s">
        <v>9</v>
      </c>
      <c r="E2374" s="224" t="s">
        <v>256</v>
      </c>
      <c r="F2374" s="224" t="s">
        <v>250</v>
      </c>
      <c r="G2374" s="223" t="str">
        <f>VLOOKUP($B2374,'FRS geographical categories'!$A$2:$C$45,2,FALSE)</f>
        <v>Predominantly Rural</v>
      </c>
      <c r="H2374" s="223" t="str">
        <f>VLOOKUP($B2374,'FRS geographical categories'!$A$2:$C$45,3,FALSE)</f>
        <v>Non-metropolitan</v>
      </c>
      <c r="I2374" s="224">
        <v>126</v>
      </c>
    </row>
    <row r="2375" spans="1:9" ht="15.5" x14ac:dyDescent="0.35">
      <c r="A2375" s="224" t="s">
        <v>81</v>
      </c>
      <c r="B2375" s="224" t="s">
        <v>14</v>
      </c>
      <c r="C2375" s="224" t="s">
        <v>89</v>
      </c>
      <c r="D2375" s="224" t="s">
        <v>9</v>
      </c>
      <c r="E2375" s="224" t="s">
        <v>256</v>
      </c>
      <c r="F2375" s="224" t="s">
        <v>10</v>
      </c>
      <c r="G2375" s="223" t="str">
        <f>VLOOKUP($B2375,'FRS geographical categories'!$A$2:$C$45,2,FALSE)</f>
        <v>Predominantly Rural</v>
      </c>
      <c r="H2375" s="223" t="str">
        <f>VLOOKUP($B2375,'FRS geographical categories'!$A$2:$C$45,3,FALSE)</f>
        <v>Non-metropolitan</v>
      </c>
      <c r="I2375" s="224">
        <v>360</v>
      </c>
    </row>
    <row r="2376" spans="1:9" ht="15.5" x14ac:dyDescent="0.35">
      <c r="A2376" s="224" t="s">
        <v>81</v>
      </c>
      <c r="B2376" s="224" t="s">
        <v>14</v>
      </c>
      <c r="C2376" s="224" t="s">
        <v>89</v>
      </c>
      <c r="D2376" s="224" t="s">
        <v>55</v>
      </c>
      <c r="E2376" s="224" t="s">
        <v>256</v>
      </c>
      <c r="F2376" s="224" t="s">
        <v>248</v>
      </c>
      <c r="G2376" s="223" t="str">
        <f>VLOOKUP($B2376,'FRS geographical categories'!$A$2:$C$45,2,FALSE)</f>
        <v>Predominantly Rural</v>
      </c>
      <c r="H2376" s="223" t="str">
        <f>VLOOKUP($B2376,'FRS geographical categories'!$A$2:$C$45,3,FALSE)</f>
        <v>Non-metropolitan</v>
      </c>
      <c r="I2376" s="224">
        <v>0</v>
      </c>
    </row>
    <row r="2377" spans="1:9" ht="15.5" x14ac:dyDescent="0.35">
      <c r="A2377" s="224" t="s">
        <v>81</v>
      </c>
      <c r="B2377" s="224" t="s">
        <v>14</v>
      </c>
      <c r="C2377" s="224" t="s">
        <v>89</v>
      </c>
      <c r="D2377" s="224" t="s">
        <v>55</v>
      </c>
      <c r="E2377" s="224" t="s">
        <v>256</v>
      </c>
      <c r="F2377" s="224" t="s">
        <v>249</v>
      </c>
      <c r="G2377" s="223" t="str">
        <f>VLOOKUP($B2377,'FRS geographical categories'!$A$2:$C$45,2,FALSE)</f>
        <v>Predominantly Rural</v>
      </c>
      <c r="H2377" s="223" t="str">
        <f>VLOOKUP($B2377,'FRS geographical categories'!$A$2:$C$45,3,FALSE)</f>
        <v>Non-metropolitan</v>
      </c>
      <c r="I2377" s="224">
        <v>0</v>
      </c>
    </row>
    <row r="2378" spans="1:9" ht="15.5" x14ac:dyDescent="0.35">
      <c r="A2378" s="224" t="s">
        <v>81</v>
      </c>
      <c r="B2378" s="224" t="s">
        <v>14</v>
      </c>
      <c r="C2378" s="224" t="s">
        <v>89</v>
      </c>
      <c r="D2378" s="224" t="s">
        <v>55</v>
      </c>
      <c r="E2378" s="224" t="s">
        <v>256</v>
      </c>
      <c r="F2378" s="224" t="s">
        <v>250</v>
      </c>
      <c r="G2378" s="223" t="str">
        <f>VLOOKUP($B2378,'FRS geographical categories'!$A$2:$C$45,2,FALSE)</f>
        <v>Predominantly Rural</v>
      </c>
      <c r="H2378" s="223" t="str">
        <f>VLOOKUP($B2378,'FRS geographical categories'!$A$2:$C$45,3,FALSE)</f>
        <v>Non-metropolitan</v>
      </c>
      <c r="I2378" s="224">
        <v>0</v>
      </c>
    </row>
    <row r="2379" spans="1:9" ht="15.5" x14ac:dyDescent="0.35">
      <c r="A2379" s="224" t="s">
        <v>81</v>
      </c>
      <c r="B2379" s="224" t="s">
        <v>14</v>
      </c>
      <c r="C2379" s="224" t="s">
        <v>89</v>
      </c>
      <c r="D2379" s="224" t="s">
        <v>55</v>
      </c>
      <c r="E2379" s="224" t="s">
        <v>256</v>
      </c>
      <c r="F2379" s="224" t="s">
        <v>10</v>
      </c>
      <c r="G2379" s="223" t="str">
        <f>VLOOKUP($B2379,'FRS geographical categories'!$A$2:$C$45,2,FALSE)</f>
        <v>Predominantly Rural</v>
      </c>
      <c r="H2379" s="223" t="str">
        <f>VLOOKUP($B2379,'FRS geographical categories'!$A$2:$C$45,3,FALSE)</f>
        <v>Non-metropolitan</v>
      </c>
      <c r="I2379" s="224">
        <v>0</v>
      </c>
    </row>
    <row r="2380" spans="1:9" ht="15.5" x14ac:dyDescent="0.35">
      <c r="A2380" s="224" t="s">
        <v>81</v>
      </c>
      <c r="B2380" s="224" t="s">
        <v>15</v>
      </c>
      <c r="C2380" s="224" t="s">
        <v>86</v>
      </c>
      <c r="D2380" s="224" t="s">
        <v>9</v>
      </c>
      <c r="E2380" s="224" t="s">
        <v>256</v>
      </c>
      <c r="F2380" s="224" t="s">
        <v>248</v>
      </c>
      <c r="G2380" s="223" t="str">
        <f>VLOOKUP($B2380,'FRS geographical categories'!$A$2:$C$45,2,FALSE)</f>
        <v>Significantly Rural</v>
      </c>
      <c r="H2380" s="223" t="str">
        <f>VLOOKUP($B2380,'FRS geographical categories'!$A$2:$C$45,3,FALSE)</f>
        <v>Non-metropolitan</v>
      </c>
      <c r="I2380" s="224">
        <v>431</v>
      </c>
    </row>
    <row r="2381" spans="1:9" ht="15.5" x14ac:dyDescent="0.35">
      <c r="A2381" s="224" t="s">
        <v>81</v>
      </c>
      <c r="B2381" s="224" t="s">
        <v>15</v>
      </c>
      <c r="C2381" s="224" t="s">
        <v>86</v>
      </c>
      <c r="D2381" s="224" t="s">
        <v>9</v>
      </c>
      <c r="E2381" s="224" t="s">
        <v>256</v>
      </c>
      <c r="F2381" s="224" t="s">
        <v>249</v>
      </c>
      <c r="G2381" s="223" t="str">
        <f>VLOOKUP($B2381,'FRS geographical categories'!$A$2:$C$45,2,FALSE)</f>
        <v>Significantly Rural</v>
      </c>
      <c r="H2381" s="223" t="str">
        <f>VLOOKUP($B2381,'FRS geographical categories'!$A$2:$C$45,3,FALSE)</f>
        <v>Non-metropolitan</v>
      </c>
      <c r="I2381" s="224">
        <v>1815</v>
      </c>
    </row>
    <row r="2382" spans="1:9" ht="15.5" x14ac:dyDescent="0.35">
      <c r="A2382" s="224" t="s">
        <v>81</v>
      </c>
      <c r="B2382" s="224" t="s">
        <v>15</v>
      </c>
      <c r="C2382" s="224" t="s">
        <v>86</v>
      </c>
      <c r="D2382" s="224" t="s">
        <v>9</v>
      </c>
      <c r="E2382" s="224" t="s">
        <v>256</v>
      </c>
      <c r="F2382" s="224" t="s">
        <v>250</v>
      </c>
      <c r="G2382" s="223" t="str">
        <f>VLOOKUP($B2382,'FRS geographical categories'!$A$2:$C$45,2,FALSE)</f>
        <v>Significantly Rural</v>
      </c>
      <c r="H2382" s="223" t="str">
        <f>VLOOKUP($B2382,'FRS geographical categories'!$A$2:$C$45,3,FALSE)</f>
        <v>Non-metropolitan</v>
      </c>
      <c r="I2382" s="224">
        <v>8312</v>
      </c>
    </row>
    <row r="2383" spans="1:9" ht="15.5" x14ac:dyDescent="0.35">
      <c r="A2383" s="224" t="s">
        <v>81</v>
      </c>
      <c r="B2383" s="224" t="s">
        <v>15</v>
      </c>
      <c r="C2383" s="224" t="s">
        <v>86</v>
      </c>
      <c r="D2383" s="224" t="s">
        <v>9</v>
      </c>
      <c r="E2383" s="224" t="s">
        <v>256</v>
      </c>
      <c r="F2383" s="224" t="s">
        <v>111</v>
      </c>
      <c r="G2383" s="223" t="str">
        <f>VLOOKUP($B2383,'FRS geographical categories'!$A$2:$C$45,2,FALSE)</f>
        <v>Significantly Rural</v>
      </c>
      <c r="H2383" s="223" t="str">
        <f>VLOOKUP($B2383,'FRS geographical categories'!$A$2:$C$45,3,FALSE)</f>
        <v>Non-metropolitan</v>
      </c>
      <c r="I2383" s="224">
        <v>13681</v>
      </c>
    </row>
    <row r="2384" spans="1:9" ht="15.5" x14ac:dyDescent="0.35">
      <c r="A2384" s="224" t="s">
        <v>81</v>
      </c>
      <c r="B2384" s="224" t="s">
        <v>15</v>
      </c>
      <c r="C2384" s="224" t="s">
        <v>86</v>
      </c>
      <c r="D2384" s="224" t="s">
        <v>9</v>
      </c>
      <c r="E2384" s="224" t="s">
        <v>256</v>
      </c>
      <c r="F2384" s="224" t="s">
        <v>10</v>
      </c>
      <c r="G2384" s="223" t="str">
        <f>VLOOKUP($B2384,'FRS geographical categories'!$A$2:$C$45,2,FALSE)</f>
        <v>Significantly Rural</v>
      </c>
      <c r="H2384" s="223" t="str">
        <f>VLOOKUP($B2384,'FRS geographical categories'!$A$2:$C$45,3,FALSE)</f>
        <v>Non-metropolitan</v>
      </c>
      <c r="I2384" s="224">
        <v>21880</v>
      </c>
    </row>
    <row r="2385" spans="1:9" ht="15.5" x14ac:dyDescent="0.35">
      <c r="A2385" s="224" t="s">
        <v>81</v>
      </c>
      <c r="B2385" s="224" t="s">
        <v>15</v>
      </c>
      <c r="C2385" s="224" t="s">
        <v>86</v>
      </c>
      <c r="D2385" s="224" t="s">
        <v>55</v>
      </c>
      <c r="E2385" s="224" t="s">
        <v>256</v>
      </c>
      <c r="F2385" s="224" t="s">
        <v>248</v>
      </c>
      <c r="G2385" s="223" t="str">
        <f>VLOOKUP($B2385,'FRS geographical categories'!$A$2:$C$45,2,FALSE)</f>
        <v>Significantly Rural</v>
      </c>
      <c r="H2385" s="223" t="str">
        <f>VLOOKUP($B2385,'FRS geographical categories'!$A$2:$C$45,3,FALSE)</f>
        <v>Non-metropolitan</v>
      </c>
      <c r="I2385" s="224">
        <v>0</v>
      </c>
    </row>
    <row r="2386" spans="1:9" ht="15.5" x14ac:dyDescent="0.35">
      <c r="A2386" s="224" t="s">
        <v>81</v>
      </c>
      <c r="B2386" s="224" t="s">
        <v>15</v>
      </c>
      <c r="C2386" s="224" t="s">
        <v>86</v>
      </c>
      <c r="D2386" s="224" t="s">
        <v>55</v>
      </c>
      <c r="E2386" s="224" t="s">
        <v>256</v>
      </c>
      <c r="F2386" s="224" t="s">
        <v>249</v>
      </c>
      <c r="G2386" s="223" t="str">
        <f>VLOOKUP($B2386,'FRS geographical categories'!$A$2:$C$45,2,FALSE)</f>
        <v>Significantly Rural</v>
      </c>
      <c r="H2386" s="223" t="str">
        <f>VLOOKUP($B2386,'FRS geographical categories'!$A$2:$C$45,3,FALSE)</f>
        <v>Non-metropolitan</v>
      </c>
      <c r="I2386" s="224">
        <v>0</v>
      </c>
    </row>
    <row r="2387" spans="1:9" ht="15.5" x14ac:dyDescent="0.35">
      <c r="A2387" s="224" t="s">
        <v>81</v>
      </c>
      <c r="B2387" s="224" t="s">
        <v>15</v>
      </c>
      <c r="C2387" s="224" t="s">
        <v>86</v>
      </c>
      <c r="D2387" s="224" t="s">
        <v>55</v>
      </c>
      <c r="E2387" s="224" t="s">
        <v>256</v>
      </c>
      <c r="F2387" s="224" t="s">
        <v>250</v>
      </c>
      <c r="G2387" s="223" t="str">
        <f>VLOOKUP($B2387,'FRS geographical categories'!$A$2:$C$45,2,FALSE)</f>
        <v>Significantly Rural</v>
      </c>
      <c r="H2387" s="223" t="str">
        <f>VLOOKUP($B2387,'FRS geographical categories'!$A$2:$C$45,3,FALSE)</f>
        <v>Non-metropolitan</v>
      </c>
      <c r="I2387" s="224">
        <v>0</v>
      </c>
    </row>
    <row r="2388" spans="1:9" ht="15.5" x14ac:dyDescent="0.35">
      <c r="A2388" s="224" t="s">
        <v>81</v>
      </c>
      <c r="B2388" s="224" t="s">
        <v>15</v>
      </c>
      <c r="C2388" s="224" t="s">
        <v>86</v>
      </c>
      <c r="D2388" s="224" t="s">
        <v>55</v>
      </c>
      <c r="E2388" s="224" t="s">
        <v>256</v>
      </c>
      <c r="F2388" s="224" t="s">
        <v>111</v>
      </c>
      <c r="G2388" s="223" t="str">
        <f>VLOOKUP($B2388,'FRS geographical categories'!$A$2:$C$45,2,FALSE)</f>
        <v>Significantly Rural</v>
      </c>
      <c r="H2388" s="223" t="str">
        <f>VLOOKUP($B2388,'FRS geographical categories'!$A$2:$C$45,3,FALSE)</f>
        <v>Non-metropolitan</v>
      </c>
      <c r="I2388" s="224">
        <v>0</v>
      </c>
    </row>
    <row r="2389" spans="1:9" ht="15.5" x14ac:dyDescent="0.35">
      <c r="A2389" s="224" t="s">
        <v>81</v>
      </c>
      <c r="B2389" s="224" t="s">
        <v>15</v>
      </c>
      <c r="C2389" s="224" t="s">
        <v>86</v>
      </c>
      <c r="D2389" s="224" t="s">
        <v>55</v>
      </c>
      <c r="E2389" s="224" t="s">
        <v>256</v>
      </c>
      <c r="F2389" s="224" t="s">
        <v>10</v>
      </c>
      <c r="G2389" s="223" t="str">
        <f>VLOOKUP($B2389,'FRS geographical categories'!$A$2:$C$45,2,FALSE)</f>
        <v>Significantly Rural</v>
      </c>
      <c r="H2389" s="223" t="str">
        <f>VLOOKUP($B2389,'FRS geographical categories'!$A$2:$C$45,3,FALSE)</f>
        <v>Non-metropolitan</v>
      </c>
      <c r="I2389" s="224">
        <v>0</v>
      </c>
    </row>
    <row r="2390" spans="1:9" ht="15.5" x14ac:dyDescent="0.35">
      <c r="A2390" s="224" t="s">
        <v>81</v>
      </c>
      <c r="B2390" s="224" t="s">
        <v>15</v>
      </c>
      <c r="C2390" s="224" t="s">
        <v>89</v>
      </c>
      <c r="D2390" s="224" t="s">
        <v>9</v>
      </c>
      <c r="E2390" s="224" t="s">
        <v>256</v>
      </c>
      <c r="F2390" s="224" t="s">
        <v>248</v>
      </c>
      <c r="G2390" s="223" t="str">
        <f>VLOOKUP($B2390,'FRS geographical categories'!$A$2:$C$45,2,FALSE)</f>
        <v>Significantly Rural</v>
      </c>
      <c r="H2390" s="223" t="str">
        <f>VLOOKUP($B2390,'FRS geographical categories'!$A$2:$C$45,3,FALSE)</f>
        <v>Non-metropolitan</v>
      </c>
      <c r="I2390" s="224">
        <v>0</v>
      </c>
    </row>
    <row r="2391" spans="1:9" ht="15.5" x14ac:dyDescent="0.35">
      <c r="A2391" s="224" t="s">
        <v>81</v>
      </c>
      <c r="B2391" s="224" t="s">
        <v>15</v>
      </c>
      <c r="C2391" s="224" t="s">
        <v>89</v>
      </c>
      <c r="D2391" s="224" t="s">
        <v>9</v>
      </c>
      <c r="E2391" s="224" t="s">
        <v>256</v>
      </c>
      <c r="F2391" s="224" t="s">
        <v>249</v>
      </c>
      <c r="G2391" s="223" t="str">
        <f>VLOOKUP($B2391,'FRS geographical categories'!$A$2:$C$45,2,FALSE)</f>
        <v>Significantly Rural</v>
      </c>
      <c r="H2391" s="223" t="str">
        <f>VLOOKUP($B2391,'FRS geographical categories'!$A$2:$C$45,3,FALSE)</f>
        <v>Non-metropolitan</v>
      </c>
      <c r="I2391" s="224">
        <v>0</v>
      </c>
    </row>
    <row r="2392" spans="1:9" ht="15.5" x14ac:dyDescent="0.35">
      <c r="A2392" s="224" t="s">
        <v>81</v>
      </c>
      <c r="B2392" s="224" t="s">
        <v>15</v>
      </c>
      <c r="C2392" s="224" t="s">
        <v>89</v>
      </c>
      <c r="D2392" s="224" t="s">
        <v>9</v>
      </c>
      <c r="E2392" s="224" t="s">
        <v>256</v>
      </c>
      <c r="F2392" s="224" t="s">
        <v>250</v>
      </c>
      <c r="G2392" s="223" t="str">
        <f>VLOOKUP($B2392,'FRS geographical categories'!$A$2:$C$45,2,FALSE)</f>
        <v>Significantly Rural</v>
      </c>
      <c r="H2392" s="223" t="str">
        <f>VLOOKUP($B2392,'FRS geographical categories'!$A$2:$C$45,3,FALSE)</f>
        <v>Non-metropolitan</v>
      </c>
      <c r="I2392" s="224">
        <v>0</v>
      </c>
    </row>
    <row r="2393" spans="1:9" ht="15.5" x14ac:dyDescent="0.35">
      <c r="A2393" s="224" t="s">
        <v>81</v>
      </c>
      <c r="B2393" s="224" t="s">
        <v>15</v>
      </c>
      <c r="C2393" s="224" t="s">
        <v>89</v>
      </c>
      <c r="D2393" s="224" t="s">
        <v>9</v>
      </c>
      <c r="E2393" s="224" t="s">
        <v>256</v>
      </c>
      <c r="F2393" s="224" t="s">
        <v>10</v>
      </c>
      <c r="G2393" s="223" t="str">
        <f>VLOOKUP($B2393,'FRS geographical categories'!$A$2:$C$45,2,FALSE)</f>
        <v>Significantly Rural</v>
      </c>
      <c r="H2393" s="223" t="str">
        <f>VLOOKUP($B2393,'FRS geographical categories'!$A$2:$C$45,3,FALSE)</f>
        <v>Non-metropolitan</v>
      </c>
      <c r="I2393" s="224">
        <v>0</v>
      </c>
    </row>
    <row r="2394" spans="1:9" ht="15.5" x14ac:dyDescent="0.35">
      <c r="A2394" s="224" t="s">
        <v>81</v>
      </c>
      <c r="B2394" s="224" t="s">
        <v>15</v>
      </c>
      <c r="C2394" s="224" t="s">
        <v>89</v>
      </c>
      <c r="D2394" s="224" t="s">
        <v>55</v>
      </c>
      <c r="E2394" s="224" t="s">
        <v>256</v>
      </c>
      <c r="F2394" s="224" t="s">
        <v>248</v>
      </c>
      <c r="G2394" s="223" t="str">
        <f>VLOOKUP($B2394,'FRS geographical categories'!$A$2:$C$45,2,FALSE)</f>
        <v>Significantly Rural</v>
      </c>
      <c r="H2394" s="223" t="str">
        <f>VLOOKUP($B2394,'FRS geographical categories'!$A$2:$C$45,3,FALSE)</f>
        <v>Non-metropolitan</v>
      </c>
      <c r="I2394" s="224">
        <v>0</v>
      </c>
    </row>
    <row r="2395" spans="1:9" ht="15.5" x14ac:dyDescent="0.35">
      <c r="A2395" s="224" t="s">
        <v>81</v>
      </c>
      <c r="B2395" s="224" t="s">
        <v>15</v>
      </c>
      <c r="C2395" s="224" t="s">
        <v>89</v>
      </c>
      <c r="D2395" s="224" t="s">
        <v>55</v>
      </c>
      <c r="E2395" s="224" t="s">
        <v>256</v>
      </c>
      <c r="F2395" s="224" t="s">
        <v>249</v>
      </c>
      <c r="G2395" s="223" t="str">
        <f>VLOOKUP($B2395,'FRS geographical categories'!$A$2:$C$45,2,FALSE)</f>
        <v>Significantly Rural</v>
      </c>
      <c r="H2395" s="223" t="str">
        <f>VLOOKUP($B2395,'FRS geographical categories'!$A$2:$C$45,3,FALSE)</f>
        <v>Non-metropolitan</v>
      </c>
      <c r="I2395" s="224">
        <v>0</v>
      </c>
    </row>
    <row r="2396" spans="1:9" ht="15.5" x14ac:dyDescent="0.35">
      <c r="A2396" s="224" t="s">
        <v>81</v>
      </c>
      <c r="B2396" s="224" t="s">
        <v>15</v>
      </c>
      <c r="C2396" s="224" t="s">
        <v>89</v>
      </c>
      <c r="D2396" s="224" t="s">
        <v>55</v>
      </c>
      <c r="E2396" s="224" t="s">
        <v>256</v>
      </c>
      <c r="F2396" s="224" t="s">
        <v>250</v>
      </c>
      <c r="G2396" s="223" t="str">
        <f>VLOOKUP($B2396,'FRS geographical categories'!$A$2:$C$45,2,FALSE)</f>
        <v>Significantly Rural</v>
      </c>
      <c r="H2396" s="223" t="str">
        <f>VLOOKUP($B2396,'FRS geographical categories'!$A$2:$C$45,3,FALSE)</f>
        <v>Non-metropolitan</v>
      </c>
      <c r="I2396" s="224">
        <v>0</v>
      </c>
    </row>
    <row r="2397" spans="1:9" ht="15.5" x14ac:dyDescent="0.35">
      <c r="A2397" s="224" t="s">
        <v>81</v>
      </c>
      <c r="B2397" s="224" t="s">
        <v>15</v>
      </c>
      <c r="C2397" s="224" t="s">
        <v>89</v>
      </c>
      <c r="D2397" s="224" t="s">
        <v>55</v>
      </c>
      <c r="E2397" s="224" t="s">
        <v>256</v>
      </c>
      <c r="F2397" s="224" t="s">
        <v>10</v>
      </c>
      <c r="G2397" s="223" t="str">
        <f>VLOOKUP($B2397,'FRS geographical categories'!$A$2:$C$45,2,FALSE)</f>
        <v>Significantly Rural</v>
      </c>
      <c r="H2397" s="223" t="str">
        <f>VLOOKUP($B2397,'FRS geographical categories'!$A$2:$C$45,3,FALSE)</f>
        <v>Non-metropolitan</v>
      </c>
      <c r="I2397" s="224">
        <v>0</v>
      </c>
    </row>
    <row r="2398" spans="1:9" ht="15.5" x14ac:dyDescent="0.35">
      <c r="A2398" s="224" t="s">
        <v>81</v>
      </c>
      <c r="B2398" s="224" t="s">
        <v>16</v>
      </c>
      <c r="C2398" s="224" t="s">
        <v>86</v>
      </c>
      <c r="D2398" s="224" t="s">
        <v>9</v>
      </c>
      <c r="E2398" s="224" t="s">
        <v>256</v>
      </c>
      <c r="F2398" s="224" t="s">
        <v>248</v>
      </c>
      <c r="G2398" s="223" t="str">
        <f>VLOOKUP($B2398,'FRS geographical categories'!$A$2:$C$45,2,FALSE)</f>
        <v>Predominantly Urban</v>
      </c>
      <c r="H2398" s="223" t="str">
        <f>VLOOKUP($B2398,'FRS geographical categories'!$A$2:$C$45,3,FALSE)</f>
        <v>Non-metropolitan</v>
      </c>
      <c r="I2398" s="224">
        <v>906</v>
      </c>
    </row>
    <row r="2399" spans="1:9" ht="15.5" x14ac:dyDescent="0.35">
      <c r="A2399" s="224" t="s">
        <v>81</v>
      </c>
      <c r="B2399" s="224" t="s">
        <v>16</v>
      </c>
      <c r="C2399" s="224" t="s">
        <v>86</v>
      </c>
      <c r="D2399" s="224" t="s">
        <v>9</v>
      </c>
      <c r="E2399" s="224" t="s">
        <v>256</v>
      </c>
      <c r="F2399" s="224" t="s">
        <v>249</v>
      </c>
      <c r="G2399" s="223" t="str">
        <f>VLOOKUP($B2399,'FRS geographical categories'!$A$2:$C$45,2,FALSE)</f>
        <v>Predominantly Urban</v>
      </c>
      <c r="H2399" s="223" t="str">
        <f>VLOOKUP($B2399,'FRS geographical categories'!$A$2:$C$45,3,FALSE)</f>
        <v>Non-metropolitan</v>
      </c>
      <c r="I2399" s="224">
        <v>1869</v>
      </c>
    </row>
    <row r="2400" spans="1:9" ht="15.5" x14ac:dyDescent="0.35">
      <c r="A2400" s="224" t="s">
        <v>81</v>
      </c>
      <c r="B2400" s="224" t="s">
        <v>16</v>
      </c>
      <c r="C2400" s="224" t="s">
        <v>86</v>
      </c>
      <c r="D2400" s="224" t="s">
        <v>9</v>
      </c>
      <c r="E2400" s="224" t="s">
        <v>256</v>
      </c>
      <c r="F2400" s="224" t="s">
        <v>250</v>
      </c>
      <c r="G2400" s="223" t="str">
        <f>VLOOKUP($B2400,'FRS geographical categories'!$A$2:$C$45,2,FALSE)</f>
        <v>Predominantly Urban</v>
      </c>
      <c r="H2400" s="223" t="str">
        <f>VLOOKUP($B2400,'FRS geographical categories'!$A$2:$C$45,3,FALSE)</f>
        <v>Non-metropolitan</v>
      </c>
      <c r="I2400" s="224">
        <v>5167</v>
      </c>
    </row>
    <row r="2401" spans="1:9" ht="15.5" x14ac:dyDescent="0.35">
      <c r="A2401" s="224" t="s">
        <v>81</v>
      </c>
      <c r="B2401" s="224" t="s">
        <v>16</v>
      </c>
      <c r="C2401" s="224" t="s">
        <v>86</v>
      </c>
      <c r="D2401" s="224" t="s">
        <v>9</v>
      </c>
      <c r="E2401" s="224" t="s">
        <v>256</v>
      </c>
      <c r="F2401" s="224" t="s">
        <v>111</v>
      </c>
      <c r="G2401" s="223" t="str">
        <f>VLOOKUP($B2401,'FRS geographical categories'!$A$2:$C$45,2,FALSE)</f>
        <v>Predominantly Urban</v>
      </c>
      <c r="H2401" s="223" t="str">
        <f>VLOOKUP($B2401,'FRS geographical categories'!$A$2:$C$45,3,FALSE)</f>
        <v>Non-metropolitan</v>
      </c>
      <c r="I2401" s="224">
        <v>9917</v>
      </c>
    </row>
    <row r="2402" spans="1:9" ht="15.5" x14ac:dyDescent="0.35">
      <c r="A2402" s="224" t="s">
        <v>81</v>
      </c>
      <c r="B2402" s="224" t="s">
        <v>16</v>
      </c>
      <c r="C2402" s="224" t="s">
        <v>86</v>
      </c>
      <c r="D2402" s="224" t="s">
        <v>9</v>
      </c>
      <c r="E2402" s="224" t="s">
        <v>256</v>
      </c>
      <c r="F2402" s="224" t="s">
        <v>10</v>
      </c>
      <c r="G2402" s="223" t="str">
        <f>VLOOKUP($B2402,'FRS geographical categories'!$A$2:$C$45,2,FALSE)</f>
        <v>Predominantly Urban</v>
      </c>
      <c r="H2402" s="223" t="str">
        <f>VLOOKUP($B2402,'FRS geographical categories'!$A$2:$C$45,3,FALSE)</f>
        <v>Non-metropolitan</v>
      </c>
      <c r="I2402" s="224">
        <v>21014</v>
      </c>
    </row>
    <row r="2403" spans="1:9" ht="15.5" x14ac:dyDescent="0.35">
      <c r="A2403" s="224" t="s">
        <v>81</v>
      </c>
      <c r="B2403" s="224" t="s">
        <v>16</v>
      </c>
      <c r="C2403" s="224" t="s">
        <v>86</v>
      </c>
      <c r="D2403" s="224" t="s">
        <v>55</v>
      </c>
      <c r="E2403" s="224" t="s">
        <v>256</v>
      </c>
      <c r="F2403" s="224" t="s">
        <v>248</v>
      </c>
      <c r="G2403" s="223" t="str">
        <f>VLOOKUP($B2403,'FRS geographical categories'!$A$2:$C$45,2,FALSE)</f>
        <v>Predominantly Urban</v>
      </c>
      <c r="H2403" s="223" t="str">
        <f>VLOOKUP($B2403,'FRS geographical categories'!$A$2:$C$45,3,FALSE)</f>
        <v>Non-metropolitan</v>
      </c>
      <c r="I2403" s="224">
        <v>9</v>
      </c>
    </row>
    <row r="2404" spans="1:9" ht="15.5" x14ac:dyDescent="0.35">
      <c r="A2404" s="224" t="s">
        <v>81</v>
      </c>
      <c r="B2404" s="224" t="s">
        <v>16</v>
      </c>
      <c r="C2404" s="224" t="s">
        <v>86</v>
      </c>
      <c r="D2404" s="224" t="s">
        <v>55</v>
      </c>
      <c r="E2404" s="224" t="s">
        <v>256</v>
      </c>
      <c r="F2404" s="224" t="s">
        <v>249</v>
      </c>
      <c r="G2404" s="223" t="str">
        <f>VLOOKUP($B2404,'FRS geographical categories'!$A$2:$C$45,2,FALSE)</f>
        <v>Predominantly Urban</v>
      </c>
      <c r="H2404" s="223" t="str">
        <f>VLOOKUP($B2404,'FRS geographical categories'!$A$2:$C$45,3,FALSE)</f>
        <v>Non-metropolitan</v>
      </c>
      <c r="I2404" s="224">
        <v>12</v>
      </c>
    </row>
    <row r="2405" spans="1:9" ht="15.5" x14ac:dyDescent="0.35">
      <c r="A2405" s="224" t="s">
        <v>81</v>
      </c>
      <c r="B2405" s="224" t="s">
        <v>16</v>
      </c>
      <c r="C2405" s="224" t="s">
        <v>86</v>
      </c>
      <c r="D2405" s="224" t="s">
        <v>55</v>
      </c>
      <c r="E2405" s="224" t="s">
        <v>256</v>
      </c>
      <c r="F2405" s="224" t="s">
        <v>250</v>
      </c>
      <c r="G2405" s="223" t="str">
        <f>VLOOKUP($B2405,'FRS geographical categories'!$A$2:$C$45,2,FALSE)</f>
        <v>Predominantly Urban</v>
      </c>
      <c r="H2405" s="223" t="str">
        <f>VLOOKUP($B2405,'FRS geographical categories'!$A$2:$C$45,3,FALSE)</f>
        <v>Non-metropolitan</v>
      </c>
      <c r="I2405" s="224">
        <v>37</v>
      </c>
    </row>
    <row r="2406" spans="1:9" ht="15.5" x14ac:dyDescent="0.35">
      <c r="A2406" s="224" t="s">
        <v>81</v>
      </c>
      <c r="B2406" s="224" t="s">
        <v>16</v>
      </c>
      <c r="C2406" s="224" t="s">
        <v>86</v>
      </c>
      <c r="D2406" s="224" t="s">
        <v>55</v>
      </c>
      <c r="E2406" s="224" t="s">
        <v>256</v>
      </c>
      <c r="F2406" s="224" t="s">
        <v>111</v>
      </c>
      <c r="G2406" s="223" t="str">
        <f>VLOOKUP($B2406,'FRS geographical categories'!$A$2:$C$45,2,FALSE)</f>
        <v>Predominantly Urban</v>
      </c>
      <c r="H2406" s="223" t="str">
        <f>VLOOKUP($B2406,'FRS geographical categories'!$A$2:$C$45,3,FALSE)</f>
        <v>Non-metropolitan</v>
      </c>
      <c r="I2406" s="224">
        <v>54</v>
      </c>
    </row>
    <row r="2407" spans="1:9" ht="15.5" x14ac:dyDescent="0.35">
      <c r="A2407" s="224" t="s">
        <v>81</v>
      </c>
      <c r="B2407" s="224" t="s">
        <v>16</v>
      </c>
      <c r="C2407" s="224" t="s">
        <v>86</v>
      </c>
      <c r="D2407" s="224" t="s">
        <v>55</v>
      </c>
      <c r="E2407" s="224" t="s">
        <v>256</v>
      </c>
      <c r="F2407" s="224" t="s">
        <v>10</v>
      </c>
      <c r="G2407" s="223" t="str">
        <f>VLOOKUP($B2407,'FRS geographical categories'!$A$2:$C$45,2,FALSE)</f>
        <v>Predominantly Urban</v>
      </c>
      <c r="H2407" s="223" t="str">
        <f>VLOOKUP($B2407,'FRS geographical categories'!$A$2:$C$45,3,FALSE)</f>
        <v>Non-metropolitan</v>
      </c>
      <c r="I2407" s="224">
        <v>148</v>
      </c>
    </row>
    <row r="2408" spans="1:9" ht="15.5" x14ac:dyDescent="0.35">
      <c r="A2408" s="224" t="s">
        <v>81</v>
      </c>
      <c r="B2408" s="224" t="s">
        <v>16</v>
      </c>
      <c r="C2408" s="224" t="s">
        <v>89</v>
      </c>
      <c r="D2408" s="224" t="s">
        <v>9</v>
      </c>
      <c r="E2408" s="224" t="s">
        <v>256</v>
      </c>
      <c r="F2408" s="224" t="s">
        <v>248</v>
      </c>
      <c r="G2408" s="223" t="str">
        <f>VLOOKUP($B2408,'FRS geographical categories'!$A$2:$C$45,2,FALSE)</f>
        <v>Predominantly Urban</v>
      </c>
      <c r="H2408" s="223" t="str">
        <f>VLOOKUP($B2408,'FRS geographical categories'!$A$2:$C$45,3,FALSE)</f>
        <v>Non-metropolitan</v>
      </c>
      <c r="I2408" s="224">
        <v>0</v>
      </c>
    </row>
    <row r="2409" spans="1:9" ht="15.5" x14ac:dyDescent="0.35">
      <c r="A2409" s="224" t="s">
        <v>81</v>
      </c>
      <c r="B2409" s="224" t="s">
        <v>16</v>
      </c>
      <c r="C2409" s="224" t="s">
        <v>89</v>
      </c>
      <c r="D2409" s="224" t="s">
        <v>9</v>
      </c>
      <c r="E2409" s="224" t="s">
        <v>256</v>
      </c>
      <c r="F2409" s="224" t="s">
        <v>249</v>
      </c>
      <c r="G2409" s="223" t="str">
        <f>VLOOKUP($B2409,'FRS geographical categories'!$A$2:$C$45,2,FALSE)</f>
        <v>Predominantly Urban</v>
      </c>
      <c r="H2409" s="223" t="str">
        <f>VLOOKUP($B2409,'FRS geographical categories'!$A$2:$C$45,3,FALSE)</f>
        <v>Non-metropolitan</v>
      </c>
      <c r="I2409" s="224">
        <v>0</v>
      </c>
    </row>
    <row r="2410" spans="1:9" ht="15.5" x14ac:dyDescent="0.35">
      <c r="A2410" s="224" t="s">
        <v>81</v>
      </c>
      <c r="B2410" s="224" t="s">
        <v>16</v>
      </c>
      <c r="C2410" s="224" t="s">
        <v>89</v>
      </c>
      <c r="D2410" s="224" t="s">
        <v>9</v>
      </c>
      <c r="E2410" s="224" t="s">
        <v>256</v>
      </c>
      <c r="F2410" s="224" t="s">
        <v>250</v>
      </c>
      <c r="G2410" s="223" t="str">
        <f>VLOOKUP($B2410,'FRS geographical categories'!$A$2:$C$45,2,FALSE)</f>
        <v>Predominantly Urban</v>
      </c>
      <c r="H2410" s="223" t="str">
        <f>VLOOKUP($B2410,'FRS geographical categories'!$A$2:$C$45,3,FALSE)</f>
        <v>Non-metropolitan</v>
      </c>
      <c r="I2410" s="224">
        <v>0</v>
      </c>
    </row>
    <row r="2411" spans="1:9" ht="15.5" x14ac:dyDescent="0.35">
      <c r="A2411" s="224" t="s">
        <v>81</v>
      </c>
      <c r="B2411" s="224" t="s">
        <v>16</v>
      </c>
      <c r="C2411" s="224" t="s">
        <v>89</v>
      </c>
      <c r="D2411" s="224" t="s">
        <v>9</v>
      </c>
      <c r="E2411" s="224" t="s">
        <v>256</v>
      </c>
      <c r="F2411" s="224" t="s">
        <v>10</v>
      </c>
      <c r="G2411" s="223" t="str">
        <f>VLOOKUP($B2411,'FRS geographical categories'!$A$2:$C$45,2,FALSE)</f>
        <v>Predominantly Urban</v>
      </c>
      <c r="H2411" s="223" t="str">
        <f>VLOOKUP($B2411,'FRS geographical categories'!$A$2:$C$45,3,FALSE)</f>
        <v>Non-metropolitan</v>
      </c>
      <c r="I2411" s="224">
        <v>0</v>
      </c>
    </row>
    <row r="2412" spans="1:9" ht="15.5" x14ac:dyDescent="0.35">
      <c r="A2412" s="224" t="s">
        <v>81</v>
      </c>
      <c r="B2412" s="224" t="s">
        <v>16</v>
      </c>
      <c r="C2412" s="224" t="s">
        <v>89</v>
      </c>
      <c r="D2412" s="224" t="s">
        <v>55</v>
      </c>
      <c r="E2412" s="224" t="s">
        <v>256</v>
      </c>
      <c r="F2412" s="224" t="s">
        <v>248</v>
      </c>
      <c r="G2412" s="223" t="str">
        <f>VLOOKUP($B2412,'FRS geographical categories'!$A$2:$C$45,2,FALSE)</f>
        <v>Predominantly Urban</v>
      </c>
      <c r="H2412" s="223" t="str">
        <f>VLOOKUP($B2412,'FRS geographical categories'!$A$2:$C$45,3,FALSE)</f>
        <v>Non-metropolitan</v>
      </c>
      <c r="I2412" s="224">
        <v>0</v>
      </c>
    </row>
    <row r="2413" spans="1:9" ht="15.5" x14ac:dyDescent="0.35">
      <c r="A2413" s="224" t="s">
        <v>81</v>
      </c>
      <c r="B2413" s="224" t="s">
        <v>16</v>
      </c>
      <c r="C2413" s="224" t="s">
        <v>89</v>
      </c>
      <c r="D2413" s="224" t="s">
        <v>55</v>
      </c>
      <c r="E2413" s="224" t="s">
        <v>256</v>
      </c>
      <c r="F2413" s="224" t="s">
        <v>249</v>
      </c>
      <c r="G2413" s="223" t="str">
        <f>VLOOKUP($B2413,'FRS geographical categories'!$A$2:$C$45,2,FALSE)</f>
        <v>Predominantly Urban</v>
      </c>
      <c r="H2413" s="223" t="str">
        <f>VLOOKUP($B2413,'FRS geographical categories'!$A$2:$C$45,3,FALSE)</f>
        <v>Non-metropolitan</v>
      </c>
      <c r="I2413" s="224">
        <v>0</v>
      </c>
    </row>
    <row r="2414" spans="1:9" ht="15.5" x14ac:dyDescent="0.35">
      <c r="A2414" s="224" t="s">
        <v>81</v>
      </c>
      <c r="B2414" s="224" t="s">
        <v>16</v>
      </c>
      <c r="C2414" s="224" t="s">
        <v>89</v>
      </c>
      <c r="D2414" s="224" t="s">
        <v>55</v>
      </c>
      <c r="E2414" s="224" t="s">
        <v>256</v>
      </c>
      <c r="F2414" s="224" t="s">
        <v>250</v>
      </c>
      <c r="G2414" s="223" t="str">
        <f>VLOOKUP($B2414,'FRS geographical categories'!$A$2:$C$45,2,FALSE)</f>
        <v>Predominantly Urban</v>
      </c>
      <c r="H2414" s="223" t="str">
        <f>VLOOKUP($B2414,'FRS geographical categories'!$A$2:$C$45,3,FALSE)</f>
        <v>Non-metropolitan</v>
      </c>
      <c r="I2414" s="224">
        <v>0</v>
      </c>
    </row>
    <row r="2415" spans="1:9" ht="15.5" x14ac:dyDescent="0.35">
      <c r="A2415" s="224" t="s">
        <v>81</v>
      </c>
      <c r="B2415" s="224" t="s">
        <v>16</v>
      </c>
      <c r="C2415" s="224" t="s">
        <v>89</v>
      </c>
      <c r="D2415" s="224" t="s">
        <v>55</v>
      </c>
      <c r="E2415" s="224" t="s">
        <v>256</v>
      </c>
      <c r="F2415" s="224" t="s">
        <v>10</v>
      </c>
      <c r="G2415" s="223" t="str">
        <f>VLOOKUP($B2415,'FRS geographical categories'!$A$2:$C$45,2,FALSE)</f>
        <v>Predominantly Urban</v>
      </c>
      <c r="H2415" s="223" t="str">
        <f>VLOOKUP($B2415,'FRS geographical categories'!$A$2:$C$45,3,FALSE)</f>
        <v>Non-metropolitan</v>
      </c>
      <c r="I2415" s="224">
        <v>0</v>
      </c>
    </row>
    <row r="2416" spans="1:9" ht="15.5" x14ac:dyDescent="0.35">
      <c r="A2416" s="224" t="s">
        <v>81</v>
      </c>
      <c r="B2416" s="224" t="s">
        <v>17</v>
      </c>
      <c r="C2416" s="224" t="s">
        <v>86</v>
      </c>
      <c r="D2416" s="224" t="s">
        <v>9</v>
      </c>
      <c r="E2416" s="224" t="s">
        <v>256</v>
      </c>
      <c r="F2416" s="224" t="s">
        <v>248</v>
      </c>
      <c r="G2416" s="223" t="str">
        <f>VLOOKUP($B2416,'FRS geographical categories'!$A$2:$C$45,2,FALSE)</f>
        <v>Predominantly Rural</v>
      </c>
      <c r="H2416" s="223" t="str">
        <f>VLOOKUP($B2416,'FRS geographical categories'!$A$2:$C$45,3,FALSE)</f>
        <v>Non-metropolitan</v>
      </c>
      <c r="I2416" s="224">
        <v>474</v>
      </c>
    </row>
    <row r="2417" spans="1:9" ht="15.5" x14ac:dyDescent="0.35">
      <c r="A2417" s="224" t="s">
        <v>81</v>
      </c>
      <c r="B2417" s="224" t="s">
        <v>17</v>
      </c>
      <c r="C2417" s="224" t="s">
        <v>86</v>
      </c>
      <c r="D2417" s="224" t="s">
        <v>9</v>
      </c>
      <c r="E2417" s="224" t="s">
        <v>256</v>
      </c>
      <c r="F2417" s="224" t="s">
        <v>249</v>
      </c>
      <c r="G2417" s="223" t="str">
        <f>VLOOKUP($B2417,'FRS geographical categories'!$A$2:$C$45,2,FALSE)</f>
        <v>Predominantly Rural</v>
      </c>
      <c r="H2417" s="223" t="str">
        <f>VLOOKUP($B2417,'FRS geographical categories'!$A$2:$C$45,3,FALSE)</f>
        <v>Non-metropolitan</v>
      </c>
      <c r="I2417" s="224">
        <v>494</v>
      </c>
    </row>
    <row r="2418" spans="1:9" ht="15.5" x14ac:dyDescent="0.35">
      <c r="A2418" s="224" t="s">
        <v>81</v>
      </c>
      <c r="B2418" s="224" t="s">
        <v>17</v>
      </c>
      <c r="C2418" s="224" t="s">
        <v>86</v>
      </c>
      <c r="D2418" s="224" t="s">
        <v>9</v>
      </c>
      <c r="E2418" s="224" t="s">
        <v>256</v>
      </c>
      <c r="F2418" s="224" t="s">
        <v>250</v>
      </c>
      <c r="G2418" s="223" t="str">
        <f>VLOOKUP($B2418,'FRS geographical categories'!$A$2:$C$45,2,FALSE)</f>
        <v>Predominantly Rural</v>
      </c>
      <c r="H2418" s="223" t="str">
        <f>VLOOKUP($B2418,'FRS geographical categories'!$A$2:$C$45,3,FALSE)</f>
        <v>Non-metropolitan</v>
      </c>
      <c r="I2418" s="224">
        <v>467</v>
      </c>
    </row>
    <row r="2419" spans="1:9" ht="15.5" x14ac:dyDescent="0.35">
      <c r="A2419" s="224" t="s">
        <v>81</v>
      </c>
      <c r="B2419" s="224" t="s">
        <v>17</v>
      </c>
      <c r="C2419" s="224" t="s">
        <v>86</v>
      </c>
      <c r="D2419" s="224" t="s">
        <v>9</v>
      </c>
      <c r="E2419" s="224" t="s">
        <v>256</v>
      </c>
      <c r="F2419" s="224" t="s">
        <v>111</v>
      </c>
      <c r="G2419" s="223" t="str">
        <f>VLOOKUP($B2419,'FRS geographical categories'!$A$2:$C$45,2,FALSE)</f>
        <v>Predominantly Rural</v>
      </c>
      <c r="H2419" s="223" t="str">
        <f>VLOOKUP($B2419,'FRS geographical categories'!$A$2:$C$45,3,FALSE)</f>
        <v>Non-metropolitan</v>
      </c>
      <c r="I2419" s="224">
        <v>1998</v>
      </c>
    </row>
    <row r="2420" spans="1:9" ht="15.5" x14ac:dyDescent="0.35">
      <c r="A2420" s="224" t="s">
        <v>81</v>
      </c>
      <c r="B2420" s="224" t="s">
        <v>17</v>
      </c>
      <c r="C2420" s="224" t="s">
        <v>86</v>
      </c>
      <c r="D2420" s="224" t="s">
        <v>9</v>
      </c>
      <c r="E2420" s="224" t="s">
        <v>256</v>
      </c>
      <c r="F2420" s="224" t="s">
        <v>10</v>
      </c>
      <c r="G2420" s="223" t="str">
        <f>VLOOKUP($B2420,'FRS geographical categories'!$A$2:$C$45,2,FALSE)</f>
        <v>Predominantly Rural</v>
      </c>
      <c r="H2420" s="223" t="str">
        <f>VLOOKUP($B2420,'FRS geographical categories'!$A$2:$C$45,3,FALSE)</f>
        <v>Non-metropolitan</v>
      </c>
      <c r="I2420" s="224">
        <v>2465</v>
      </c>
    </row>
    <row r="2421" spans="1:9" ht="15.5" x14ac:dyDescent="0.35">
      <c r="A2421" s="224" t="s">
        <v>81</v>
      </c>
      <c r="B2421" s="224" t="s">
        <v>17</v>
      </c>
      <c r="C2421" s="224" t="s">
        <v>86</v>
      </c>
      <c r="D2421" s="224" t="s">
        <v>55</v>
      </c>
      <c r="E2421" s="224" t="s">
        <v>256</v>
      </c>
      <c r="F2421" s="224" t="s">
        <v>248</v>
      </c>
      <c r="G2421" s="223" t="str">
        <f>VLOOKUP($B2421,'FRS geographical categories'!$A$2:$C$45,2,FALSE)</f>
        <v>Predominantly Rural</v>
      </c>
      <c r="H2421" s="223" t="str">
        <f>VLOOKUP($B2421,'FRS geographical categories'!$A$2:$C$45,3,FALSE)</f>
        <v>Non-metropolitan</v>
      </c>
      <c r="I2421" s="224">
        <v>0</v>
      </c>
    </row>
    <row r="2422" spans="1:9" ht="15.5" x14ac:dyDescent="0.35">
      <c r="A2422" s="224" t="s">
        <v>81</v>
      </c>
      <c r="B2422" s="224" t="s">
        <v>17</v>
      </c>
      <c r="C2422" s="224" t="s">
        <v>86</v>
      </c>
      <c r="D2422" s="224" t="s">
        <v>55</v>
      </c>
      <c r="E2422" s="224" t="s">
        <v>256</v>
      </c>
      <c r="F2422" s="224" t="s">
        <v>249</v>
      </c>
      <c r="G2422" s="223" t="str">
        <f>VLOOKUP($B2422,'FRS geographical categories'!$A$2:$C$45,2,FALSE)</f>
        <v>Predominantly Rural</v>
      </c>
      <c r="H2422" s="223" t="str">
        <f>VLOOKUP($B2422,'FRS geographical categories'!$A$2:$C$45,3,FALSE)</f>
        <v>Non-metropolitan</v>
      </c>
      <c r="I2422" s="224">
        <v>0</v>
      </c>
    </row>
    <row r="2423" spans="1:9" ht="15.5" x14ac:dyDescent="0.35">
      <c r="A2423" s="224" t="s">
        <v>81</v>
      </c>
      <c r="B2423" s="224" t="s">
        <v>17</v>
      </c>
      <c r="C2423" s="224" t="s">
        <v>86</v>
      </c>
      <c r="D2423" s="224" t="s">
        <v>55</v>
      </c>
      <c r="E2423" s="224" t="s">
        <v>256</v>
      </c>
      <c r="F2423" s="224" t="s">
        <v>250</v>
      </c>
      <c r="G2423" s="223" t="str">
        <f>VLOOKUP($B2423,'FRS geographical categories'!$A$2:$C$45,2,FALSE)</f>
        <v>Predominantly Rural</v>
      </c>
      <c r="H2423" s="223" t="str">
        <f>VLOOKUP($B2423,'FRS geographical categories'!$A$2:$C$45,3,FALSE)</f>
        <v>Non-metropolitan</v>
      </c>
      <c r="I2423" s="224">
        <v>0</v>
      </c>
    </row>
    <row r="2424" spans="1:9" ht="15.5" x14ac:dyDescent="0.35">
      <c r="A2424" s="224" t="s">
        <v>81</v>
      </c>
      <c r="B2424" s="224" t="s">
        <v>17</v>
      </c>
      <c r="C2424" s="224" t="s">
        <v>86</v>
      </c>
      <c r="D2424" s="224" t="s">
        <v>55</v>
      </c>
      <c r="E2424" s="224" t="s">
        <v>256</v>
      </c>
      <c r="F2424" s="224" t="s">
        <v>111</v>
      </c>
      <c r="G2424" s="223" t="str">
        <f>VLOOKUP($B2424,'FRS geographical categories'!$A$2:$C$45,2,FALSE)</f>
        <v>Predominantly Rural</v>
      </c>
      <c r="H2424" s="223" t="str">
        <f>VLOOKUP($B2424,'FRS geographical categories'!$A$2:$C$45,3,FALSE)</f>
        <v>Non-metropolitan</v>
      </c>
      <c r="I2424" s="224">
        <v>0</v>
      </c>
    </row>
    <row r="2425" spans="1:9" ht="15.5" x14ac:dyDescent="0.35">
      <c r="A2425" s="224" t="s">
        <v>81</v>
      </c>
      <c r="B2425" s="224" t="s">
        <v>17</v>
      </c>
      <c r="C2425" s="224" t="s">
        <v>86</v>
      </c>
      <c r="D2425" s="224" t="s">
        <v>55</v>
      </c>
      <c r="E2425" s="224" t="s">
        <v>256</v>
      </c>
      <c r="F2425" s="224" t="s">
        <v>10</v>
      </c>
      <c r="G2425" s="223" t="str">
        <f>VLOOKUP($B2425,'FRS geographical categories'!$A$2:$C$45,2,FALSE)</f>
        <v>Predominantly Rural</v>
      </c>
      <c r="H2425" s="223" t="str">
        <f>VLOOKUP($B2425,'FRS geographical categories'!$A$2:$C$45,3,FALSE)</f>
        <v>Non-metropolitan</v>
      </c>
      <c r="I2425" s="224">
        <v>0</v>
      </c>
    </row>
    <row r="2426" spans="1:9" ht="15.5" x14ac:dyDescent="0.35">
      <c r="A2426" s="224" t="s">
        <v>81</v>
      </c>
      <c r="B2426" s="224" t="s">
        <v>17</v>
      </c>
      <c r="C2426" s="224" t="s">
        <v>89</v>
      </c>
      <c r="D2426" s="224" t="s">
        <v>9</v>
      </c>
      <c r="E2426" s="224" t="s">
        <v>256</v>
      </c>
      <c r="F2426" s="224" t="s">
        <v>248</v>
      </c>
      <c r="G2426" s="223" t="str">
        <f>VLOOKUP($B2426,'FRS geographical categories'!$A$2:$C$45,2,FALSE)</f>
        <v>Predominantly Rural</v>
      </c>
      <c r="H2426" s="223" t="str">
        <f>VLOOKUP($B2426,'FRS geographical categories'!$A$2:$C$45,3,FALSE)</f>
        <v>Non-metropolitan</v>
      </c>
      <c r="I2426" s="224">
        <v>487</v>
      </c>
    </row>
    <row r="2427" spans="1:9" ht="15.5" x14ac:dyDescent="0.35">
      <c r="A2427" s="224" t="s">
        <v>81</v>
      </c>
      <c r="B2427" s="224" t="s">
        <v>17</v>
      </c>
      <c r="C2427" s="224" t="s">
        <v>89</v>
      </c>
      <c r="D2427" s="224" t="s">
        <v>9</v>
      </c>
      <c r="E2427" s="224" t="s">
        <v>256</v>
      </c>
      <c r="F2427" s="224" t="s">
        <v>249</v>
      </c>
      <c r="G2427" s="223" t="str">
        <f>VLOOKUP($B2427,'FRS geographical categories'!$A$2:$C$45,2,FALSE)</f>
        <v>Predominantly Rural</v>
      </c>
      <c r="H2427" s="223" t="str">
        <f>VLOOKUP($B2427,'FRS geographical categories'!$A$2:$C$45,3,FALSE)</f>
        <v>Non-metropolitan</v>
      </c>
      <c r="I2427" s="224">
        <v>41</v>
      </c>
    </row>
    <row r="2428" spans="1:9" ht="15.5" x14ac:dyDescent="0.35">
      <c r="A2428" s="224" t="s">
        <v>81</v>
      </c>
      <c r="B2428" s="224" t="s">
        <v>17</v>
      </c>
      <c r="C2428" s="224" t="s">
        <v>89</v>
      </c>
      <c r="D2428" s="224" t="s">
        <v>9</v>
      </c>
      <c r="E2428" s="224" t="s">
        <v>256</v>
      </c>
      <c r="F2428" s="224" t="s">
        <v>250</v>
      </c>
      <c r="G2428" s="223" t="str">
        <f>VLOOKUP($B2428,'FRS geographical categories'!$A$2:$C$45,2,FALSE)</f>
        <v>Predominantly Rural</v>
      </c>
      <c r="H2428" s="223" t="str">
        <f>VLOOKUP($B2428,'FRS geographical categories'!$A$2:$C$45,3,FALSE)</f>
        <v>Non-metropolitan</v>
      </c>
      <c r="I2428" s="224">
        <v>5</v>
      </c>
    </row>
    <row r="2429" spans="1:9" ht="15.5" x14ac:dyDescent="0.35">
      <c r="A2429" s="224" t="s">
        <v>81</v>
      </c>
      <c r="B2429" s="224" t="s">
        <v>17</v>
      </c>
      <c r="C2429" s="224" t="s">
        <v>89</v>
      </c>
      <c r="D2429" s="224" t="s">
        <v>9</v>
      </c>
      <c r="E2429" s="224" t="s">
        <v>256</v>
      </c>
      <c r="F2429" s="224" t="s">
        <v>10</v>
      </c>
      <c r="G2429" s="223" t="str">
        <f>VLOOKUP($B2429,'FRS geographical categories'!$A$2:$C$45,2,FALSE)</f>
        <v>Predominantly Rural</v>
      </c>
      <c r="H2429" s="223" t="str">
        <f>VLOOKUP($B2429,'FRS geographical categories'!$A$2:$C$45,3,FALSE)</f>
        <v>Non-metropolitan</v>
      </c>
      <c r="I2429" s="224">
        <v>590</v>
      </c>
    </row>
    <row r="2430" spans="1:9" ht="15.5" x14ac:dyDescent="0.35">
      <c r="A2430" s="224" t="s">
        <v>81</v>
      </c>
      <c r="B2430" s="224" t="s">
        <v>17</v>
      </c>
      <c r="C2430" s="224" t="s">
        <v>89</v>
      </c>
      <c r="D2430" s="224" t="s">
        <v>55</v>
      </c>
      <c r="E2430" s="224" t="s">
        <v>256</v>
      </c>
      <c r="F2430" s="224" t="s">
        <v>248</v>
      </c>
      <c r="G2430" s="223" t="str">
        <f>VLOOKUP($B2430,'FRS geographical categories'!$A$2:$C$45,2,FALSE)</f>
        <v>Predominantly Rural</v>
      </c>
      <c r="H2430" s="223" t="str">
        <f>VLOOKUP($B2430,'FRS geographical categories'!$A$2:$C$45,3,FALSE)</f>
        <v>Non-metropolitan</v>
      </c>
      <c r="I2430" s="224">
        <v>0</v>
      </c>
    </row>
    <row r="2431" spans="1:9" ht="15.5" x14ac:dyDescent="0.35">
      <c r="A2431" s="224" t="s">
        <v>81</v>
      </c>
      <c r="B2431" s="224" t="s">
        <v>17</v>
      </c>
      <c r="C2431" s="224" t="s">
        <v>89</v>
      </c>
      <c r="D2431" s="224" t="s">
        <v>55</v>
      </c>
      <c r="E2431" s="224" t="s">
        <v>256</v>
      </c>
      <c r="F2431" s="224" t="s">
        <v>249</v>
      </c>
      <c r="G2431" s="223" t="str">
        <f>VLOOKUP($B2431,'FRS geographical categories'!$A$2:$C$45,2,FALSE)</f>
        <v>Predominantly Rural</v>
      </c>
      <c r="H2431" s="223" t="str">
        <f>VLOOKUP($B2431,'FRS geographical categories'!$A$2:$C$45,3,FALSE)</f>
        <v>Non-metropolitan</v>
      </c>
      <c r="I2431" s="224">
        <v>0</v>
      </c>
    </row>
    <row r="2432" spans="1:9" ht="15.5" x14ac:dyDescent="0.35">
      <c r="A2432" s="224" t="s">
        <v>81</v>
      </c>
      <c r="B2432" s="224" t="s">
        <v>17</v>
      </c>
      <c r="C2432" s="224" t="s">
        <v>89</v>
      </c>
      <c r="D2432" s="224" t="s">
        <v>55</v>
      </c>
      <c r="E2432" s="224" t="s">
        <v>256</v>
      </c>
      <c r="F2432" s="224" t="s">
        <v>250</v>
      </c>
      <c r="G2432" s="223" t="str">
        <f>VLOOKUP($B2432,'FRS geographical categories'!$A$2:$C$45,2,FALSE)</f>
        <v>Predominantly Rural</v>
      </c>
      <c r="H2432" s="223" t="str">
        <f>VLOOKUP($B2432,'FRS geographical categories'!$A$2:$C$45,3,FALSE)</f>
        <v>Non-metropolitan</v>
      </c>
      <c r="I2432" s="224">
        <v>0</v>
      </c>
    </row>
    <row r="2433" spans="1:9" ht="15.5" x14ac:dyDescent="0.35">
      <c r="A2433" s="224" t="s">
        <v>81</v>
      </c>
      <c r="B2433" s="224" t="s">
        <v>17</v>
      </c>
      <c r="C2433" s="224" t="s">
        <v>89</v>
      </c>
      <c r="D2433" s="224" t="s">
        <v>55</v>
      </c>
      <c r="E2433" s="224" t="s">
        <v>256</v>
      </c>
      <c r="F2433" s="224" t="s">
        <v>10</v>
      </c>
      <c r="G2433" s="223" t="str">
        <f>VLOOKUP($B2433,'FRS geographical categories'!$A$2:$C$45,2,FALSE)</f>
        <v>Predominantly Rural</v>
      </c>
      <c r="H2433" s="223" t="str">
        <f>VLOOKUP($B2433,'FRS geographical categories'!$A$2:$C$45,3,FALSE)</f>
        <v>Non-metropolitan</v>
      </c>
      <c r="I2433" s="224">
        <v>0</v>
      </c>
    </row>
    <row r="2434" spans="1:9" ht="15.5" x14ac:dyDescent="0.35">
      <c r="A2434" s="224" t="s">
        <v>81</v>
      </c>
      <c r="B2434" s="224" t="s">
        <v>18</v>
      </c>
      <c r="C2434" s="224" t="s">
        <v>86</v>
      </c>
      <c r="D2434" s="224" t="s">
        <v>9</v>
      </c>
      <c r="E2434" s="224" t="s">
        <v>256</v>
      </c>
      <c r="F2434" s="224" t="s">
        <v>248</v>
      </c>
      <c r="G2434" s="223" t="str">
        <f>VLOOKUP($B2434,'FRS geographical categories'!$A$2:$C$45,2,FALSE)</f>
        <v>Predominantly Rural</v>
      </c>
      <c r="H2434" s="223" t="str">
        <f>VLOOKUP($B2434,'FRS geographical categories'!$A$2:$C$45,3,FALSE)</f>
        <v>Non-metropolitan</v>
      </c>
      <c r="I2434" s="224">
        <v>1309</v>
      </c>
    </row>
    <row r="2435" spans="1:9" ht="15.5" x14ac:dyDescent="0.35">
      <c r="A2435" s="224" t="s">
        <v>81</v>
      </c>
      <c r="B2435" s="224" t="s">
        <v>18</v>
      </c>
      <c r="C2435" s="224" t="s">
        <v>86</v>
      </c>
      <c r="D2435" s="224" t="s">
        <v>9</v>
      </c>
      <c r="E2435" s="224" t="s">
        <v>256</v>
      </c>
      <c r="F2435" s="224" t="s">
        <v>249</v>
      </c>
      <c r="G2435" s="223" t="str">
        <f>VLOOKUP($B2435,'FRS geographical categories'!$A$2:$C$45,2,FALSE)</f>
        <v>Predominantly Rural</v>
      </c>
      <c r="H2435" s="223" t="str">
        <f>VLOOKUP($B2435,'FRS geographical categories'!$A$2:$C$45,3,FALSE)</f>
        <v>Non-metropolitan</v>
      </c>
      <c r="I2435" s="224">
        <v>3928</v>
      </c>
    </row>
    <row r="2436" spans="1:9" ht="15.5" x14ac:dyDescent="0.35">
      <c r="A2436" s="224" t="s">
        <v>81</v>
      </c>
      <c r="B2436" s="224" t="s">
        <v>18</v>
      </c>
      <c r="C2436" s="224" t="s">
        <v>86</v>
      </c>
      <c r="D2436" s="224" t="s">
        <v>9</v>
      </c>
      <c r="E2436" s="224" t="s">
        <v>256</v>
      </c>
      <c r="F2436" s="224" t="s">
        <v>250</v>
      </c>
      <c r="G2436" s="223" t="str">
        <f>VLOOKUP($B2436,'FRS geographical categories'!$A$2:$C$45,2,FALSE)</f>
        <v>Predominantly Rural</v>
      </c>
      <c r="H2436" s="223" t="str">
        <f>VLOOKUP($B2436,'FRS geographical categories'!$A$2:$C$45,3,FALSE)</f>
        <v>Non-metropolitan</v>
      </c>
      <c r="I2436" s="224">
        <v>2210</v>
      </c>
    </row>
    <row r="2437" spans="1:9" ht="15.5" x14ac:dyDescent="0.35">
      <c r="A2437" s="224" t="s">
        <v>81</v>
      </c>
      <c r="B2437" s="224" t="s">
        <v>18</v>
      </c>
      <c r="C2437" s="224" t="s">
        <v>86</v>
      </c>
      <c r="D2437" s="224" t="s">
        <v>9</v>
      </c>
      <c r="E2437" s="224" t="s">
        <v>256</v>
      </c>
      <c r="F2437" s="224" t="s">
        <v>111</v>
      </c>
      <c r="G2437" s="223" t="str">
        <f>VLOOKUP($B2437,'FRS geographical categories'!$A$2:$C$45,2,FALSE)</f>
        <v>Predominantly Rural</v>
      </c>
      <c r="H2437" s="223" t="str">
        <f>VLOOKUP($B2437,'FRS geographical categories'!$A$2:$C$45,3,FALSE)</f>
        <v>Non-metropolitan</v>
      </c>
      <c r="I2437" s="224">
        <v>8211</v>
      </c>
    </row>
    <row r="2438" spans="1:9" ht="15.5" x14ac:dyDescent="0.35">
      <c r="A2438" s="224" t="s">
        <v>81</v>
      </c>
      <c r="B2438" s="224" t="s">
        <v>18</v>
      </c>
      <c r="C2438" s="224" t="s">
        <v>86</v>
      </c>
      <c r="D2438" s="224" t="s">
        <v>9</v>
      </c>
      <c r="E2438" s="224" t="s">
        <v>256</v>
      </c>
      <c r="F2438" s="224" t="s">
        <v>10</v>
      </c>
      <c r="G2438" s="223" t="str">
        <f>VLOOKUP($B2438,'FRS geographical categories'!$A$2:$C$45,2,FALSE)</f>
        <v>Predominantly Rural</v>
      </c>
      <c r="H2438" s="223" t="str">
        <f>VLOOKUP($B2438,'FRS geographical categories'!$A$2:$C$45,3,FALSE)</f>
        <v>Non-metropolitan</v>
      </c>
      <c r="I2438" s="224">
        <v>9810</v>
      </c>
    </row>
    <row r="2439" spans="1:9" ht="15.5" x14ac:dyDescent="0.35">
      <c r="A2439" s="224" t="s">
        <v>81</v>
      </c>
      <c r="B2439" s="224" t="s">
        <v>18</v>
      </c>
      <c r="C2439" s="224" t="s">
        <v>86</v>
      </c>
      <c r="D2439" s="224" t="s">
        <v>55</v>
      </c>
      <c r="E2439" s="224" t="s">
        <v>256</v>
      </c>
      <c r="F2439" s="224" t="s">
        <v>248</v>
      </c>
      <c r="G2439" s="223" t="str">
        <f>VLOOKUP($B2439,'FRS geographical categories'!$A$2:$C$45,2,FALSE)</f>
        <v>Predominantly Rural</v>
      </c>
      <c r="H2439" s="223" t="str">
        <f>VLOOKUP($B2439,'FRS geographical categories'!$A$2:$C$45,3,FALSE)</f>
        <v>Non-metropolitan</v>
      </c>
      <c r="I2439" s="224">
        <v>0</v>
      </c>
    </row>
    <row r="2440" spans="1:9" ht="15.5" x14ac:dyDescent="0.35">
      <c r="A2440" s="224" t="s">
        <v>81</v>
      </c>
      <c r="B2440" s="224" t="s">
        <v>18</v>
      </c>
      <c r="C2440" s="224" t="s">
        <v>86</v>
      </c>
      <c r="D2440" s="224" t="s">
        <v>55</v>
      </c>
      <c r="E2440" s="224" t="s">
        <v>256</v>
      </c>
      <c r="F2440" s="224" t="s">
        <v>249</v>
      </c>
      <c r="G2440" s="223" t="str">
        <f>VLOOKUP($B2440,'FRS geographical categories'!$A$2:$C$45,2,FALSE)</f>
        <v>Predominantly Rural</v>
      </c>
      <c r="H2440" s="223" t="str">
        <f>VLOOKUP($B2440,'FRS geographical categories'!$A$2:$C$45,3,FALSE)</f>
        <v>Non-metropolitan</v>
      </c>
      <c r="I2440" s="224">
        <v>0</v>
      </c>
    </row>
    <row r="2441" spans="1:9" ht="15.5" x14ac:dyDescent="0.35">
      <c r="A2441" s="224" t="s">
        <v>81</v>
      </c>
      <c r="B2441" s="224" t="s">
        <v>18</v>
      </c>
      <c r="C2441" s="224" t="s">
        <v>86</v>
      </c>
      <c r="D2441" s="224" t="s">
        <v>55</v>
      </c>
      <c r="E2441" s="224" t="s">
        <v>256</v>
      </c>
      <c r="F2441" s="224" t="s">
        <v>250</v>
      </c>
      <c r="G2441" s="223" t="str">
        <f>VLOOKUP($B2441,'FRS geographical categories'!$A$2:$C$45,2,FALSE)</f>
        <v>Predominantly Rural</v>
      </c>
      <c r="H2441" s="223" t="str">
        <f>VLOOKUP($B2441,'FRS geographical categories'!$A$2:$C$45,3,FALSE)</f>
        <v>Non-metropolitan</v>
      </c>
      <c r="I2441" s="224">
        <v>0</v>
      </c>
    </row>
    <row r="2442" spans="1:9" ht="15.5" x14ac:dyDescent="0.35">
      <c r="A2442" s="224" t="s">
        <v>81</v>
      </c>
      <c r="B2442" s="224" t="s">
        <v>18</v>
      </c>
      <c r="C2442" s="224" t="s">
        <v>86</v>
      </c>
      <c r="D2442" s="224" t="s">
        <v>55</v>
      </c>
      <c r="E2442" s="224" t="s">
        <v>256</v>
      </c>
      <c r="F2442" s="224" t="s">
        <v>111</v>
      </c>
      <c r="G2442" s="223" t="str">
        <f>VLOOKUP($B2442,'FRS geographical categories'!$A$2:$C$45,2,FALSE)</f>
        <v>Predominantly Rural</v>
      </c>
      <c r="H2442" s="223" t="str">
        <f>VLOOKUP($B2442,'FRS geographical categories'!$A$2:$C$45,3,FALSE)</f>
        <v>Non-metropolitan</v>
      </c>
      <c r="I2442" s="224">
        <v>0</v>
      </c>
    </row>
    <row r="2443" spans="1:9" ht="15.5" x14ac:dyDescent="0.35">
      <c r="A2443" s="224" t="s">
        <v>81</v>
      </c>
      <c r="B2443" s="224" t="s">
        <v>18</v>
      </c>
      <c r="C2443" s="224" t="s">
        <v>86</v>
      </c>
      <c r="D2443" s="224" t="s">
        <v>55</v>
      </c>
      <c r="E2443" s="224" t="s">
        <v>256</v>
      </c>
      <c r="F2443" s="224" t="s">
        <v>10</v>
      </c>
      <c r="G2443" s="223" t="str">
        <f>VLOOKUP($B2443,'FRS geographical categories'!$A$2:$C$45,2,FALSE)</f>
        <v>Predominantly Rural</v>
      </c>
      <c r="H2443" s="223" t="str">
        <f>VLOOKUP($B2443,'FRS geographical categories'!$A$2:$C$45,3,FALSE)</f>
        <v>Non-metropolitan</v>
      </c>
      <c r="I2443" s="224">
        <v>0</v>
      </c>
    </row>
    <row r="2444" spans="1:9" ht="15.5" x14ac:dyDescent="0.35">
      <c r="A2444" s="224" t="s">
        <v>81</v>
      </c>
      <c r="B2444" s="224" t="s">
        <v>18</v>
      </c>
      <c r="C2444" s="224" t="s">
        <v>89</v>
      </c>
      <c r="D2444" s="224" t="s">
        <v>9</v>
      </c>
      <c r="E2444" s="224" t="s">
        <v>256</v>
      </c>
      <c r="F2444" s="224" t="s">
        <v>248</v>
      </c>
      <c r="G2444" s="223" t="str">
        <f>VLOOKUP($B2444,'FRS geographical categories'!$A$2:$C$45,2,FALSE)</f>
        <v>Predominantly Rural</v>
      </c>
      <c r="H2444" s="223" t="str">
        <f>VLOOKUP($B2444,'FRS geographical categories'!$A$2:$C$45,3,FALSE)</f>
        <v>Non-metropolitan</v>
      </c>
      <c r="I2444" s="224">
        <v>0</v>
      </c>
    </row>
    <row r="2445" spans="1:9" ht="15.5" x14ac:dyDescent="0.35">
      <c r="A2445" s="224" t="s">
        <v>81</v>
      </c>
      <c r="B2445" s="224" t="s">
        <v>18</v>
      </c>
      <c r="C2445" s="224" t="s">
        <v>89</v>
      </c>
      <c r="D2445" s="224" t="s">
        <v>9</v>
      </c>
      <c r="E2445" s="224" t="s">
        <v>256</v>
      </c>
      <c r="F2445" s="224" t="s">
        <v>249</v>
      </c>
      <c r="G2445" s="223" t="str">
        <f>VLOOKUP($B2445,'FRS geographical categories'!$A$2:$C$45,2,FALSE)</f>
        <v>Predominantly Rural</v>
      </c>
      <c r="H2445" s="223" t="str">
        <f>VLOOKUP($B2445,'FRS geographical categories'!$A$2:$C$45,3,FALSE)</f>
        <v>Non-metropolitan</v>
      </c>
      <c r="I2445" s="224">
        <v>0</v>
      </c>
    </row>
    <row r="2446" spans="1:9" ht="15.5" x14ac:dyDescent="0.35">
      <c r="A2446" s="224" t="s">
        <v>81</v>
      </c>
      <c r="B2446" s="224" t="s">
        <v>18</v>
      </c>
      <c r="C2446" s="224" t="s">
        <v>89</v>
      </c>
      <c r="D2446" s="224" t="s">
        <v>9</v>
      </c>
      <c r="E2446" s="224" t="s">
        <v>256</v>
      </c>
      <c r="F2446" s="224" t="s">
        <v>250</v>
      </c>
      <c r="G2446" s="223" t="str">
        <f>VLOOKUP($B2446,'FRS geographical categories'!$A$2:$C$45,2,FALSE)</f>
        <v>Predominantly Rural</v>
      </c>
      <c r="H2446" s="223" t="str">
        <f>VLOOKUP($B2446,'FRS geographical categories'!$A$2:$C$45,3,FALSE)</f>
        <v>Non-metropolitan</v>
      </c>
      <c r="I2446" s="224">
        <v>0</v>
      </c>
    </row>
    <row r="2447" spans="1:9" ht="15.5" x14ac:dyDescent="0.35">
      <c r="A2447" s="224" t="s">
        <v>81</v>
      </c>
      <c r="B2447" s="224" t="s">
        <v>18</v>
      </c>
      <c r="C2447" s="224" t="s">
        <v>89</v>
      </c>
      <c r="D2447" s="224" t="s">
        <v>9</v>
      </c>
      <c r="E2447" s="224" t="s">
        <v>256</v>
      </c>
      <c r="F2447" s="224" t="s">
        <v>10</v>
      </c>
      <c r="G2447" s="223" t="str">
        <f>VLOOKUP($B2447,'FRS geographical categories'!$A$2:$C$45,2,FALSE)</f>
        <v>Predominantly Rural</v>
      </c>
      <c r="H2447" s="223" t="str">
        <f>VLOOKUP($B2447,'FRS geographical categories'!$A$2:$C$45,3,FALSE)</f>
        <v>Non-metropolitan</v>
      </c>
      <c r="I2447" s="224">
        <v>0</v>
      </c>
    </row>
    <row r="2448" spans="1:9" ht="15.5" x14ac:dyDescent="0.35">
      <c r="A2448" s="224" t="s">
        <v>81</v>
      </c>
      <c r="B2448" s="224" t="s">
        <v>18</v>
      </c>
      <c r="C2448" s="224" t="s">
        <v>89</v>
      </c>
      <c r="D2448" s="224" t="s">
        <v>55</v>
      </c>
      <c r="E2448" s="224" t="s">
        <v>256</v>
      </c>
      <c r="F2448" s="224" t="s">
        <v>248</v>
      </c>
      <c r="G2448" s="223" t="str">
        <f>VLOOKUP($B2448,'FRS geographical categories'!$A$2:$C$45,2,FALSE)</f>
        <v>Predominantly Rural</v>
      </c>
      <c r="H2448" s="223" t="str">
        <f>VLOOKUP($B2448,'FRS geographical categories'!$A$2:$C$45,3,FALSE)</f>
        <v>Non-metropolitan</v>
      </c>
      <c r="I2448" s="224">
        <v>0</v>
      </c>
    </row>
    <row r="2449" spans="1:9" ht="15.5" x14ac:dyDescent="0.35">
      <c r="A2449" s="224" t="s">
        <v>81</v>
      </c>
      <c r="B2449" s="224" t="s">
        <v>18</v>
      </c>
      <c r="C2449" s="224" t="s">
        <v>89</v>
      </c>
      <c r="D2449" s="224" t="s">
        <v>55</v>
      </c>
      <c r="E2449" s="224" t="s">
        <v>256</v>
      </c>
      <c r="F2449" s="224" t="s">
        <v>249</v>
      </c>
      <c r="G2449" s="223" t="str">
        <f>VLOOKUP($B2449,'FRS geographical categories'!$A$2:$C$45,2,FALSE)</f>
        <v>Predominantly Rural</v>
      </c>
      <c r="H2449" s="223" t="str">
        <f>VLOOKUP($B2449,'FRS geographical categories'!$A$2:$C$45,3,FALSE)</f>
        <v>Non-metropolitan</v>
      </c>
      <c r="I2449" s="224">
        <v>0</v>
      </c>
    </row>
    <row r="2450" spans="1:9" ht="15.5" x14ac:dyDescent="0.35">
      <c r="A2450" s="224" t="s">
        <v>81</v>
      </c>
      <c r="B2450" s="224" t="s">
        <v>18</v>
      </c>
      <c r="C2450" s="224" t="s">
        <v>89</v>
      </c>
      <c r="D2450" s="224" t="s">
        <v>55</v>
      </c>
      <c r="E2450" s="224" t="s">
        <v>256</v>
      </c>
      <c r="F2450" s="224" t="s">
        <v>250</v>
      </c>
      <c r="G2450" s="223" t="str">
        <f>VLOOKUP($B2450,'FRS geographical categories'!$A$2:$C$45,2,FALSE)</f>
        <v>Predominantly Rural</v>
      </c>
      <c r="H2450" s="223" t="str">
        <f>VLOOKUP($B2450,'FRS geographical categories'!$A$2:$C$45,3,FALSE)</f>
        <v>Non-metropolitan</v>
      </c>
      <c r="I2450" s="224">
        <v>0</v>
      </c>
    </row>
    <row r="2451" spans="1:9" ht="15.5" x14ac:dyDescent="0.35">
      <c r="A2451" s="224" t="s">
        <v>81</v>
      </c>
      <c r="B2451" s="224" t="s">
        <v>18</v>
      </c>
      <c r="C2451" s="224" t="s">
        <v>89</v>
      </c>
      <c r="D2451" s="224" t="s">
        <v>55</v>
      </c>
      <c r="E2451" s="224" t="s">
        <v>256</v>
      </c>
      <c r="F2451" s="224" t="s">
        <v>10</v>
      </c>
      <c r="G2451" s="223" t="str">
        <f>VLOOKUP($B2451,'FRS geographical categories'!$A$2:$C$45,2,FALSE)</f>
        <v>Predominantly Rural</v>
      </c>
      <c r="H2451" s="223" t="str">
        <f>VLOOKUP($B2451,'FRS geographical categories'!$A$2:$C$45,3,FALSE)</f>
        <v>Non-metropolitan</v>
      </c>
      <c r="I2451" s="224">
        <v>0</v>
      </c>
    </row>
    <row r="2452" spans="1:9" ht="15.5" x14ac:dyDescent="0.35">
      <c r="A2452" s="224" t="s">
        <v>81</v>
      </c>
      <c r="B2452" s="224" t="s">
        <v>19</v>
      </c>
      <c r="C2452" s="224" t="s">
        <v>86</v>
      </c>
      <c r="D2452" s="224" t="s">
        <v>9</v>
      </c>
      <c r="E2452" s="224" t="s">
        <v>256</v>
      </c>
      <c r="F2452" s="224" t="s">
        <v>248</v>
      </c>
      <c r="G2452" s="223" t="str">
        <f>VLOOKUP($B2452,'FRS geographical categories'!$A$2:$C$45,2,FALSE)</f>
        <v>Significantly Rural</v>
      </c>
      <c r="H2452" s="223" t="str">
        <f>VLOOKUP($B2452,'FRS geographical categories'!$A$2:$C$45,3,FALSE)</f>
        <v>Non-metropolitan</v>
      </c>
      <c r="I2452" s="224">
        <v>1212</v>
      </c>
    </row>
    <row r="2453" spans="1:9" ht="15.5" x14ac:dyDescent="0.35">
      <c r="A2453" s="224" t="s">
        <v>81</v>
      </c>
      <c r="B2453" s="224" t="s">
        <v>19</v>
      </c>
      <c r="C2453" s="224" t="s">
        <v>86</v>
      </c>
      <c r="D2453" s="224" t="s">
        <v>9</v>
      </c>
      <c r="E2453" s="224" t="s">
        <v>256</v>
      </c>
      <c r="F2453" s="224" t="s">
        <v>249</v>
      </c>
      <c r="G2453" s="223" t="str">
        <f>VLOOKUP($B2453,'FRS geographical categories'!$A$2:$C$45,2,FALSE)</f>
        <v>Significantly Rural</v>
      </c>
      <c r="H2453" s="223" t="str">
        <f>VLOOKUP($B2453,'FRS geographical categories'!$A$2:$C$45,3,FALSE)</f>
        <v>Non-metropolitan</v>
      </c>
      <c r="I2453" s="224">
        <v>3340</v>
      </c>
    </row>
    <row r="2454" spans="1:9" ht="15.5" x14ac:dyDescent="0.35">
      <c r="A2454" s="224" t="s">
        <v>81</v>
      </c>
      <c r="B2454" s="224" t="s">
        <v>19</v>
      </c>
      <c r="C2454" s="224" t="s">
        <v>86</v>
      </c>
      <c r="D2454" s="224" t="s">
        <v>9</v>
      </c>
      <c r="E2454" s="224" t="s">
        <v>256</v>
      </c>
      <c r="F2454" s="224" t="s">
        <v>250</v>
      </c>
      <c r="G2454" s="223" t="str">
        <f>VLOOKUP($B2454,'FRS geographical categories'!$A$2:$C$45,2,FALSE)</f>
        <v>Significantly Rural</v>
      </c>
      <c r="H2454" s="223" t="str">
        <f>VLOOKUP($B2454,'FRS geographical categories'!$A$2:$C$45,3,FALSE)</f>
        <v>Non-metropolitan</v>
      </c>
      <c r="I2454" s="224">
        <v>5007</v>
      </c>
    </row>
    <row r="2455" spans="1:9" ht="15.5" x14ac:dyDescent="0.35">
      <c r="A2455" s="224" t="s">
        <v>81</v>
      </c>
      <c r="B2455" s="224" t="s">
        <v>19</v>
      </c>
      <c r="C2455" s="224" t="s">
        <v>86</v>
      </c>
      <c r="D2455" s="224" t="s">
        <v>9</v>
      </c>
      <c r="E2455" s="224" t="s">
        <v>256</v>
      </c>
      <c r="F2455" s="224" t="s">
        <v>111</v>
      </c>
      <c r="G2455" s="223" t="str">
        <f>VLOOKUP($B2455,'FRS geographical categories'!$A$2:$C$45,2,FALSE)</f>
        <v>Significantly Rural</v>
      </c>
      <c r="H2455" s="223" t="str">
        <f>VLOOKUP($B2455,'FRS geographical categories'!$A$2:$C$45,3,FALSE)</f>
        <v>Non-metropolitan</v>
      </c>
      <c r="I2455" s="224">
        <v>14905</v>
      </c>
    </row>
    <row r="2456" spans="1:9" ht="15.5" x14ac:dyDescent="0.35">
      <c r="A2456" s="224" t="s">
        <v>81</v>
      </c>
      <c r="B2456" s="224" t="s">
        <v>19</v>
      </c>
      <c r="C2456" s="224" t="s">
        <v>86</v>
      </c>
      <c r="D2456" s="224" t="s">
        <v>9</v>
      </c>
      <c r="E2456" s="224" t="s">
        <v>256</v>
      </c>
      <c r="F2456" s="224" t="s">
        <v>10</v>
      </c>
      <c r="G2456" s="223" t="str">
        <f>VLOOKUP($B2456,'FRS geographical categories'!$A$2:$C$45,2,FALSE)</f>
        <v>Significantly Rural</v>
      </c>
      <c r="H2456" s="223" t="str">
        <f>VLOOKUP($B2456,'FRS geographical categories'!$A$2:$C$45,3,FALSE)</f>
        <v>Non-metropolitan</v>
      </c>
      <c r="I2456" s="224">
        <v>15386</v>
      </c>
    </row>
    <row r="2457" spans="1:9" ht="15.5" x14ac:dyDescent="0.35">
      <c r="A2457" s="224" t="s">
        <v>81</v>
      </c>
      <c r="B2457" s="224" t="s">
        <v>19</v>
      </c>
      <c r="C2457" s="224" t="s">
        <v>86</v>
      </c>
      <c r="D2457" s="224" t="s">
        <v>55</v>
      </c>
      <c r="E2457" s="224" t="s">
        <v>256</v>
      </c>
      <c r="F2457" s="224" t="s">
        <v>248</v>
      </c>
      <c r="G2457" s="223" t="str">
        <f>VLOOKUP($B2457,'FRS geographical categories'!$A$2:$C$45,2,FALSE)</f>
        <v>Significantly Rural</v>
      </c>
      <c r="H2457" s="223" t="str">
        <f>VLOOKUP($B2457,'FRS geographical categories'!$A$2:$C$45,3,FALSE)</f>
        <v>Non-metropolitan</v>
      </c>
      <c r="I2457" s="224">
        <v>0</v>
      </c>
    </row>
    <row r="2458" spans="1:9" ht="15.5" x14ac:dyDescent="0.35">
      <c r="A2458" s="224" t="s">
        <v>81</v>
      </c>
      <c r="B2458" s="224" t="s">
        <v>19</v>
      </c>
      <c r="C2458" s="224" t="s">
        <v>86</v>
      </c>
      <c r="D2458" s="224" t="s">
        <v>55</v>
      </c>
      <c r="E2458" s="224" t="s">
        <v>256</v>
      </c>
      <c r="F2458" s="224" t="s">
        <v>249</v>
      </c>
      <c r="G2458" s="223" t="str">
        <f>VLOOKUP($B2458,'FRS geographical categories'!$A$2:$C$45,2,FALSE)</f>
        <v>Significantly Rural</v>
      </c>
      <c r="H2458" s="223" t="str">
        <f>VLOOKUP($B2458,'FRS geographical categories'!$A$2:$C$45,3,FALSE)</f>
        <v>Non-metropolitan</v>
      </c>
      <c r="I2458" s="224">
        <v>0</v>
      </c>
    </row>
    <row r="2459" spans="1:9" ht="15.5" x14ac:dyDescent="0.35">
      <c r="A2459" s="224" t="s">
        <v>81</v>
      </c>
      <c r="B2459" s="224" t="s">
        <v>19</v>
      </c>
      <c r="C2459" s="224" t="s">
        <v>86</v>
      </c>
      <c r="D2459" s="224" t="s">
        <v>55</v>
      </c>
      <c r="E2459" s="224" t="s">
        <v>256</v>
      </c>
      <c r="F2459" s="224" t="s">
        <v>250</v>
      </c>
      <c r="G2459" s="223" t="str">
        <f>VLOOKUP($B2459,'FRS geographical categories'!$A$2:$C$45,2,FALSE)</f>
        <v>Significantly Rural</v>
      </c>
      <c r="H2459" s="223" t="str">
        <f>VLOOKUP($B2459,'FRS geographical categories'!$A$2:$C$45,3,FALSE)</f>
        <v>Non-metropolitan</v>
      </c>
      <c r="I2459" s="224">
        <v>0</v>
      </c>
    </row>
    <row r="2460" spans="1:9" ht="15.5" x14ac:dyDescent="0.35">
      <c r="A2460" s="224" t="s">
        <v>81</v>
      </c>
      <c r="B2460" s="224" t="s">
        <v>19</v>
      </c>
      <c r="C2460" s="224" t="s">
        <v>86</v>
      </c>
      <c r="D2460" s="224" t="s">
        <v>55</v>
      </c>
      <c r="E2460" s="224" t="s">
        <v>256</v>
      </c>
      <c r="F2460" s="224" t="s">
        <v>111</v>
      </c>
      <c r="G2460" s="223" t="str">
        <f>VLOOKUP($B2460,'FRS geographical categories'!$A$2:$C$45,2,FALSE)</f>
        <v>Significantly Rural</v>
      </c>
      <c r="H2460" s="223" t="str">
        <f>VLOOKUP($B2460,'FRS geographical categories'!$A$2:$C$45,3,FALSE)</f>
        <v>Non-metropolitan</v>
      </c>
      <c r="I2460" s="224">
        <v>0</v>
      </c>
    </row>
    <row r="2461" spans="1:9" ht="15.5" x14ac:dyDescent="0.35">
      <c r="A2461" s="224" t="s">
        <v>81</v>
      </c>
      <c r="B2461" s="224" t="s">
        <v>19</v>
      </c>
      <c r="C2461" s="224" t="s">
        <v>86</v>
      </c>
      <c r="D2461" s="224" t="s">
        <v>55</v>
      </c>
      <c r="E2461" s="224" t="s">
        <v>256</v>
      </c>
      <c r="F2461" s="224" t="s">
        <v>10</v>
      </c>
      <c r="G2461" s="223" t="str">
        <f>VLOOKUP($B2461,'FRS geographical categories'!$A$2:$C$45,2,FALSE)</f>
        <v>Significantly Rural</v>
      </c>
      <c r="H2461" s="223" t="str">
        <f>VLOOKUP($B2461,'FRS geographical categories'!$A$2:$C$45,3,FALSE)</f>
        <v>Non-metropolitan</v>
      </c>
      <c r="I2461" s="224">
        <v>6</v>
      </c>
    </row>
    <row r="2462" spans="1:9" ht="15.5" x14ac:dyDescent="0.35">
      <c r="A2462" s="224" t="s">
        <v>81</v>
      </c>
      <c r="B2462" s="224" t="s">
        <v>19</v>
      </c>
      <c r="C2462" s="224" t="s">
        <v>89</v>
      </c>
      <c r="D2462" s="224" t="s">
        <v>9</v>
      </c>
      <c r="E2462" s="224" t="s">
        <v>256</v>
      </c>
      <c r="F2462" s="224" t="s">
        <v>248</v>
      </c>
      <c r="G2462" s="223" t="str">
        <f>VLOOKUP($B2462,'FRS geographical categories'!$A$2:$C$45,2,FALSE)</f>
        <v>Significantly Rural</v>
      </c>
      <c r="H2462" s="223" t="str">
        <f>VLOOKUP($B2462,'FRS geographical categories'!$A$2:$C$45,3,FALSE)</f>
        <v>Non-metropolitan</v>
      </c>
      <c r="I2462" s="224">
        <v>142</v>
      </c>
    </row>
    <row r="2463" spans="1:9" ht="15.5" x14ac:dyDescent="0.35">
      <c r="A2463" s="224" t="s">
        <v>81</v>
      </c>
      <c r="B2463" s="224" t="s">
        <v>19</v>
      </c>
      <c r="C2463" s="224" t="s">
        <v>89</v>
      </c>
      <c r="D2463" s="224" t="s">
        <v>9</v>
      </c>
      <c r="E2463" s="224" t="s">
        <v>256</v>
      </c>
      <c r="F2463" s="224" t="s">
        <v>249</v>
      </c>
      <c r="G2463" s="223" t="str">
        <f>VLOOKUP($B2463,'FRS geographical categories'!$A$2:$C$45,2,FALSE)</f>
        <v>Significantly Rural</v>
      </c>
      <c r="H2463" s="223" t="str">
        <f>VLOOKUP($B2463,'FRS geographical categories'!$A$2:$C$45,3,FALSE)</f>
        <v>Non-metropolitan</v>
      </c>
      <c r="I2463" s="224">
        <v>41</v>
      </c>
    </row>
    <row r="2464" spans="1:9" ht="15.5" x14ac:dyDescent="0.35">
      <c r="A2464" s="224" t="s">
        <v>81</v>
      </c>
      <c r="B2464" s="224" t="s">
        <v>19</v>
      </c>
      <c r="C2464" s="224" t="s">
        <v>89</v>
      </c>
      <c r="D2464" s="224" t="s">
        <v>9</v>
      </c>
      <c r="E2464" s="224" t="s">
        <v>256</v>
      </c>
      <c r="F2464" s="224" t="s">
        <v>250</v>
      </c>
      <c r="G2464" s="223" t="str">
        <f>VLOOKUP($B2464,'FRS geographical categories'!$A$2:$C$45,2,FALSE)</f>
        <v>Significantly Rural</v>
      </c>
      <c r="H2464" s="223" t="str">
        <f>VLOOKUP($B2464,'FRS geographical categories'!$A$2:$C$45,3,FALSE)</f>
        <v>Non-metropolitan</v>
      </c>
      <c r="I2464" s="224">
        <v>29</v>
      </c>
    </row>
    <row r="2465" spans="1:9" ht="15.5" x14ac:dyDescent="0.35">
      <c r="A2465" s="224" t="s">
        <v>81</v>
      </c>
      <c r="B2465" s="224" t="s">
        <v>19</v>
      </c>
      <c r="C2465" s="224" t="s">
        <v>89</v>
      </c>
      <c r="D2465" s="224" t="s">
        <v>9</v>
      </c>
      <c r="E2465" s="224" t="s">
        <v>256</v>
      </c>
      <c r="F2465" s="224" t="s">
        <v>10</v>
      </c>
      <c r="G2465" s="223" t="str">
        <f>VLOOKUP($B2465,'FRS geographical categories'!$A$2:$C$45,2,FALSE)</f>
        <v>Significantly Rural</v>
      </c>
      <c r="H2465" s="223" t="str">
        <f>VLOOKUP($B2465,'FRS geographical categories'!$A$2:$C$45,3,FALSE)</f>
        <v>Non-metropolitan</v>
      </c>
      <c r="I2465" s="224">
        <v>564</v>
      </c>
    </row>
    <row r="2466" spans="1:9" ht="15.5" x14ac:dyDescent="0.35">
      <c r="A2466" s="224" t="s">
        <v>81</v>
      </c>
      <c r="B2466" s="224" t="s">
        <v>19</v>
      </c>
      <c r="C2466" s="224" t="s">
        <v>89</v>
      </c>
      <c r="D2466" s="224" t="s">
        <v>55</v>
      </c>
      <c r="E2466" s="224" t="s">
        <v>256</v>
      </c>
      <c r="F2466" s="224" t="s">
        <v>248</v>
      </c>
      <c r="G2466" s="223" t="str">
        <f>VLOOKUP($B2466,'FRS geographical categories'!$A$2:$C$45,2,FALSE)</f>
        <v>Significantly Rural</v>
      </c>
      <c r="H2466" s="223" t="str">
        <f>VLOOKUP($B2466,'FRS geographical categories'!$A$2:$C$45,3,FALSE)</f>
        <v>Non-metropolitan</v>
      </c>
      <c r="I2466" s="224">
        <v>0</v>
      </c>
    </row>
    <row r="2467" spans="1:9" ht="15.5" x14ac:dyDescent="0.35">
      <c r="A2467" s="224" t="s">
        <v>81</v>
      </c>
      <c r="B2467" s="224" t="s">
        <v>19</v>
      </c>
      <c r="C2467" s="224" t="s">
        <v>89</v>
      </c>
      <c r="D2467" s="224" t="s">
        <v>55</v>
      </c>
      <c r="E2467" s="224" t="s">
        <v>256</v>
      </c>
      <c r="F2467" s="224" t="s">
        <v>249</v>
      </c>
      <c r="G2467" s="223" t="str">
        <f>VLOOKUP($B2467,'FRS geographical categories'!$A$2:$C$45,2,FALSE)</f>
        <v>Significantly Rural</v>
      </c>
      <c r="H2467" s="223" t="str">
        <f>VLOOKUP($B2467,'FRS geographical categories'!$A$2:$C$45,3,FALSE)</f>
        <v>Non-metropolitan</v>
      </c>
      <c r="I2467" s="224">
        <v>0</v>
      </c>
    </row>
    <row r="2468" spans="1:9" ht="15.5" x14ac:dyDescent="0.35">
      <c r="A2468" s="224" t="s">
        <v>81</v>
      </c>
      <c r="B2468" s="224" t="s">
        <v>19</v>
      </c>
      <c r="C2468" s="224" t="s">
        <v>89</v>
      </c>
      <c r="D2468" s="224" t="s">
        <v>55</v>
      </c>
      <c r="E2468" s="224" t="s">
        <v>256</v>
      </c>
      <c r="F2468" s="224" t="s">
        <v>250</v>
      </c>
      <c r="G2468" s="223" t="str">
        <f>VLOOKUP($B2468,'FRS geographical categories'!$A$2:$C$45,2,FALSE)</f>
        <v>Significantly Rural</v>
      </c>
      <c r="H2468" s="223" t="str">
        <f>VLOOKUP($B2468,'FRS geographical categories'!$A$2:$C$45,3,FALSE)</f>
        <v>Non-metropolitan</v>
      </c>
      <c r="I2468" s="224">
        <v>0</v>
      </c>
    </row>
    <row r="2469" spans="1:9" ht="15.5" x14ac:dyDescent="0.35">
      <c r="A2469" s="224" t="s">
        <v>81</v>
      </c>
      <c r="B2469" s="224" t="s">
        <v>19</v>
      </c>
      <c r="C2469" s="224" t="s">
        <v>89</v>
      </c>
      <c r="D2469" s="224" t="s">
        <v>55</v>
      </c>
      <c r="E2469" s="224" t="s">
        <v>256</v>
      </c>
      <c r="F2469" s="224" t="s">
        <v>10</v>
      </c>
      <c r="G2469" s="223" t="str">
        <f>VLOOKUP($B2469,'FRS geographical categories'!$A$2:$C$45,2,FALSE)</f>
        <v>Significantly Rural</v>
      </c>
      <c r="H2469" s="223" t="str">
        <f>VLOOKUP($B2469,'FRS geographical categories'!$A$2:$C$45,3,FALSE)</f>
        <v>Non-metropolitan</v>
      </c>
      <c r="I2469" s="224">
        <v>0</v>
      </c>
    </row>
    <row r="2470" spans="1:9" ht="15.5" x14ac:dyDescent="0.35">
      <c r="A2470" s="224" t="s">
        <v>81</v>
      </c>
      <c r="B2470" s="224" t="s">
        <v>20</v>
      </c>
      <c r="C2470" s="224" t="s">
        <v>86</v>
      </c>
      <c r="D2470" s="224" t="s">
        <v>9</v>
      </c>
      <c r="E2470" s="224" t="s">
        <v>256</v>
      </c>
      <c r="F2470" s="224" t="s">
        <v>248</v>
      </c>
      <c r="G2470" s="223" t="str">
        <f>VLOOKUP($B2470,'FRS geographical categories'!$A$2:$C$45,2,FALSE)</f>
        <v>Predominantly Rural</v>
      </c>
      <c r="H2470" s="223" t="str">
        <f>VLOOKUP($B2470,'FRS geographical categories'!$A$2:$C$45,3,FALSE)</f>
        <v>Non-metropolitan</v>
      </c>
      <c r="I2470" s="224">
        <v>1429</v>
      </c>
    </row>
    <row r="2471" spans="1:9" ht="15.5" x14ac:dyDescent="0.35">
      <c r="A2471" s="224" t="s">
        <v>81</v>
      </c>
      <c r="B2471" s="224" t="s">
        <v>20</v>
      </c>
      <c r="C2471" s="224" t="s">
        <v>86</v>
      </c>
      <c r="D2471" s="224" t="s">
        <v>9</v>
      </c>
      <c r="E2471" s="224" t="s">
        <v>256</v>
      </c>
      <c r="F2471" s="224" t="s">
        <v>249</v>
      </c>
      <c r="G2471" s="223" t="str">
        <f>VLOOKUP($B2471,'FRS geographical categories'!$A$2:$C$45,2,FALSE)</f>
        <v>Predominantly Rural</v>
      </c>
      <c r="H2471" s="223" t="str">
        <f>VLOOKUP($B2471,'FRS geographical categories'!$A$2:$C$45,3,FALSE)</f>
        <v>Non-metropolitan</v>
      </c>
      <c r="I2471" s="224">
        <v>7737</v>
      </c>
    </row>
    <row r="2472" spans="1:9" ht="15.5" x14ac:dyDescent="0.35">
      <c r="A2472" s="224" t="s">
        <v>81</v>
      </c>
      <c r="B2472" s="224" t="s">
        <v>20</v>
      </c>
      <c r="C2472" s="224" t="s">
        <v>86</v>
      </c>
      <c r="D2472" s="224" t="s">
        <v>9</v>
      </c>
      <c r="E2472" s="224" t="s">
        <v>256</v>
      </c>
      <c r="F2472" s="224" t="s">
        <v>250</v>
      </c>
      <c r="G2472" s="223" t="str">
        <f>VLOOKUP($B2472,'FRS geographical categories'!$A$2:$C$45,2,FALSE)</f>
        <v>Predominantly Rural</v>
      </c>
      <c r="H2472" s="223" t="str">
        <f>VLOOKUP($B2472,'FRS geographical categories'!$A$2:$C$45,3,FALSE)</f>
        <v>Non-metropolitan</v>
      </c>
      <c r="I2472" s="224">
        <v>4619</v>
      </c>
    </row>
    <row r="2473" spans="1:9" ht="15.5" x14ac:dyDescent="0.35">
      <c r="A2473" s="224" t="s">
        <v>81</v>
      </c>
      <c r="B2473" s="224" t="s">
        <v>20</v>
      </c>
      <c r="C2473" s="224" t="s">
        <v>86</v>
      </c>
      <c r="D2473" s="224" t="s">
        <v>9</v>
      </c>
      <c r="E2473" s="224" t="s">
        <v>256</v>
      </c>
      <c r="F2473" s="224" t="s">
        <v>111</v>
      </c>
      <c r="G2473" s="223" t="str">
        <f>VLOOKUP($B2473,'FRS geographical categories'!$A$2:$C$45,2,FALSE)</f>
        <v>Predominantly Rural</v>
      </c>
      <c r="H2473" s="223" t="str">
        <f>VLOOKUP($B2473,'FRS geographical categories'!$A$2:$C$45,3,FALSE)</f>
        <v>Non-metropolitan</v>
      </c>
      <c r="I2473" s="224">
        <v>16651</v>
      </c>
    </row>
    <row r="2474" spans="1:9" ht="15.5" x14ac:dyDescent="0.35">
      <c r="A2474" s="224" t="s">
        <v>81</v>
      </c>
      <c r="B2474" s="224" t="s">
        <v>20</v>
      </c>
      <c r="C2474" s="224" t="s">
        <v>86</v>
      </c>
      <c r="D2474" s="224" t="s">
        <v>9</v>
      </c>
      <c r="E2474" s="224" t="s">
        <v>256</v>
      </c>
      <c r="F2474" s="224" t="s">
        <v>10</v>
      </c>
      <c r="G2474" s="223" t="str">
        <f>VLOOKUP($B2474,'FRS geographical categories'!$A$2:$C$45,2,FALSE)</f>
        <v>Predominantly Rural</v>
      </c>
      <c r="H2474" s="223" t="str">
        <f>VLOOKUP($B2474,'FRS geographical categories'!$A$2:$C$45,3,FALSE)</f>
        <v>Non-metropolitan</v>
      </c>
      <c r="I2474" s="224">
        <v>20132</v>
      </c>
    </row>
    <row r="2475" spans="1:9" ht="15.5" x14ac:dyDescent="0.35">
      <c r="A2475" s="224" t="s">
        <v>81</v>
      </c>
      <c r="B2475" s="224" t="s">
        <v>20</v>
      </c>
      <c r="C2475" s="224" t="s">
        <v>86</v>
      </c>
      <c r="D2475" s="224" t="s">
        <v>55</v>
      </c>
      <c r="E2475" s="224" t="s">
        <v>256</v>
      </c>
      <c r="F2475" s="224" t="s">
        <v>248</v>
      </c>
      <c r="G2475" s="223" t="str">
        <f>VLOOKUP($B2475,'FRS geographical categories'!$A$2:$C$45,2,FALSE)</f>
        <v>Predominantly Rural</v>
      </c>
      <c r="H2475" s="223" t="str">
        <f>VLOOKUP($B2475,'FRS geographical categories'!$A$2:$C$45,3,FALSE)</f>
        <v>Non-metropolitan</v>
      </c>
      <c r="I2475" s="224">
        <v>7</v>
      </c>
    </row>
    <row r="2476" spans="1:9" ht="15.5" x14ac:dyDescent="0.35">
      <c r="A2476" s="224" t="s">
        <v>81</v>
      </c>
      <c r="B2476" s="224" t="s">
        <v>20</v>
      </c>
      <c r="C2476" s="224" t="s">
        <v>86</v>
      </c>
      <c r="D2476" s="224" t="s">
        <v>55</v>
      </c>
      <c r="E2476" s="224" t="s">
        <v>256</v>
      </c>
      <c r="F2476" s="224" t="s">
        <v>249</v>
      </c>
      <c r="G2476" s="223" t="str">
        <f>VLOOKUP($B2476,'FRS geographical categories'!$A$2:$C$45,2,FALSE)</f>
        <v>Predominantly Rural</v>
      </c>
      <c r="H2476" s="223" t="str">
        <f>VLOOKUP($B2476,'FRS geographical categories'!$A$2:$C$45,3,FALSE)</f>
        <v>Non-metropolitan</v>
      </c>
      <c r="I2476" s="224">
        <v>18</v>
      </c>
    </row>
    <row r="2477" spans="1:9" ht="15.5" x14ac:dyDescent="0.35">
      <c r="A2477" s="224" t="s">
        <v>81</v>
      </c>
      <c r="B2477" s="224" t="s">
        <v>20</v>
      </c>
      <c r="C2477" s="224" t="s">
        <v>86</v>
      </c>
      <c r="D2477" s="224" t="s">
        <v>55</v>
      </c>
      <c r="E2477" s="224" t="s">
        <v>256</v>
      </c>
      <c r="F2477" s="224" t="s">
        <v>250</v>
      </c>
      <c r="G2477" s="223" t="str">
        <f>VLOOKUP($B2477,'FRS geographical categories'!$A$2:$C$45,2,FALSE)</f>
        <v>Predominantly Rural</v>
      </c>
      <c r="H2477" s="223" t="str">
        <f>VLOOKUP($B2477,'FRS geographical categories'!$A$2:$C$45,3,FALSE)</f>
        <v>Non-metropolitan</v>
      </c>
      <c r="I2477" s="224">
        <v>12</v>
      </c>
    </row>
    <row r="2478" spans="1:9" ht="15.5" x14ac:dyDescent="0.35">
      <c r="A2478" s="224" t="s">
        <v>81</v>
      </c>
      <c r="B2478" s="224" t="s">
        <v>20</v>
      </c>
      <c r="C2478" s="224" t="s">
        <v>86</v>
      </c>
      <c r="D2478" s="224" t="s">
        <v>55</v>
      </c>
      <c r="E2478" s="224" t="s">
        <v>256</v>
      </c>
      <c r="F2478" s="224" t="s">
        <v>111</v>
      </c>
      <c r="G2478" s="223" t="str">
        <f>VLOOKUP($B2478,'FRS geographical categories'!$A$2:$C$45,2,FALSE)</f>
        <v>Predominantly Rural</v>
      </c>
      <c r="H2478" s="223" t="str">
        <f>VLOOKUP($B2478,'FRS geographical categories'!$A$2:$C$45,3,FALSE)</f>
        <v>Non-metropolitan</v>
      </c>
      <c r="I2478" s="224">
        <v>39</v>
      </c>
    </row>
    <row r="2479" spans="1:9" ht="15.5" x14ac:dyDescent="0.35">
      <c r="A2479" s="224" t="s">
        <v>81</v>
      </c>
      <c r="B2479" s="224" t="s">
        <v>20</v>
      </c>
      <c r="C2479" s="224" t="s">
        <v>86</v>
      </c>
      <c r="D2479" s="224" t="s">
        <v>55</v>
      </c>
      <c r="E2479" s="224" t="s">
        <v>256</v>
      </c>
      <c r="F2479" s="224" t="s">
        <v>10</v>
      </c>
      <c r="G2479" s="223" t="str">
        <f>VLOOKUP($B2479,'FRS geographical categories'!$A$2:$C$45,2,FALSE)</f>
        <v>Predominantly Rural</v>
      </c>
      <c r="H2479" s="223" t="str">
        <f>VLOOKUP($B2479,'FRS geographical categories'!$A$2:$C$45,3,FALSE)</f>
        <v>Non-metropolitan</v>
      </c>
      <c r="I2479" s="224">
        <v>50</v>
      </c>
    </row>
    <row r="2480" spans="1:9" ht="15.5" x14ac:dyDescent="0.35">
      <c r="A2480" s="224" t="s">
        <v>81</v>
      </c>
      <c r="B2480" s="224" t="s">
        <v>20</v>
      </c>
      <c r="C2480" s="224" t="s">
        <v>89</v>
      </c>
      <c r="D2480" s="224" t="s">
        <v>9</v>
      </c>
      <c r="E2480" s="224" t="s">
        <v>256</v>
      </c>
      <c r="F2480" s="224" t="s">
        <v>248</v>
      </c>
      <c r="G2480" s="223" t="str">
        <f>VLOOKUP($B2480,'FRS geographical categories'!$A$2:$C$45,2,FALSE)</f>
        <v>Predominantly Rural</v>
      </c>
      <c r="H2480" s="223" t="str">
        <f>VLOOKUP($B2480,'FRS geographical categories'!$A$2:$C$45,3,FALSE)</f>
        <v>Non-metropolitan</v>
      </c>
      <c r="I2480" s="224">
        <v>0</v>
      </c>
    </row>
    <row r="2481" spans="1:9" ht="15.5" x14ac:dyDescent="0.35">
      <c r="A2481" s="224" t="s">
        <v>81</v>
      </c>
      <c r="B2481" s="224" t="s">
        <v>20</v>
      </c>
      <c r="C2481" s="224" t="s">
        <v>89</v>
      </c>
      <c r="D2481" s="224" t="s">
        <v>9</v>
      </c>
      <c r="E2481" s="224" t="s">
        <v>256</v>
      </c>
      <c r="F2481" s="224" t="s">
        <v>249</v>
      </c>
      <c r="G2481" s="223" t="str">
        <f>VLOOKUP($B2481,'FRS geographical categories'!$A$2:$C$45,2,FALSE)</f>
        <v>Predominantly Rural</v>
      </c>
      <c r="H2481" s="223" t="str">
        <f>VLOOKUP($B2481,'FRS geographical categories'!$A$2:$C$45,3,FALSE)</f>
        <v>Non-metropolitan</v>
      </c>
      <c r="I2481" s="224">
        <v>0</v>
      </c>
    </row>
    <row r="2482" spans="1:9" ht="15.5" x14ac:dyDescent="0.35">
      <c r="A2482" s="224" t="s">
        <v>81</v>
      </c>
      <c r="B2482" s="224" t="s">
        <v>20</v>
      </c>
      <c r="C2482" s="224" t="s">
        <v>89</v>
      </c>
      <c r="D2482" s="224" t="s">
        <v>9</v>
      </c>
      <c r="E2482" s="224" t="s">
        <v>256</v>
      </c>
      <c r="F2482" s="224" t="s">
        <v>250</v>
      </c>
      <c r="G2482" s="223" t="str">
        <f>VLOOKUP($B2482,'FRS geographical categories'!$A$2:$C$45,2,FALSE)</f>
        <v>Predominantly Rural</v>
      </c>
      <c r="H2482" s="223" t="str">
        <f>VLOOKUP($B2482,'FRS geographical categories'!$A$2:$C$45,3,FALSE)</f>
        <v>Non-metropolitan</v>
      </c>
      <c r="I2482" s="224">
        <v>0</v>
      </c>
    </row>
    <row r="2483" spans="1:9" ht="15.5" x14ac:dyDescent="0.35">
      <c r="A2483" s="224" t="s">
        <v>81</v>
      </c>
      <c r="B2483" s="224" t="s">
        <v>20</v>
      </c>
      <c r="C2483" s="224" t="s">
        <v>89</v>
      </c>
      <c r="D2483" s="224" t="s">
        <v>9</v>
      </c>
      <c r="E2483" s="224" t="s">
        <v>256</v>
      </c>
      <c r="F2483" s="224" t="s">
        <v>10</v>
      </c>
      <c r="G2483" s="223" t="str">
        <f>VLOOKUP($B2483,'FRS geographical categories'!$A$2:$C$45,2,FALSE)</f>
        <v>Predominantly Rural</v>
      </c>
      <c r="H2483" s="223" t="str">
        <f>VLOOKUP($B2483,'FRS geographical categories'!$A$2:$C$45,3,FALSE)</f>
        <v>Non-metropolitan</v>
      </c>
      <c r="I2483" s="224">
        <v>0</v>
      </c>
    </row>
    <row r="2484" spans="1:9" ht="15.5" x14ac:dyDescent="0.35">
      <c r="A2484" s="224" t="s">
        <v>81</v>
      </c>
      <c r="B2484" s="224" t="s">
        <v>20</v>
      </c>
      <c r="C2484" s="224" t="s">
        <v>89</v>
      </c>
      <c r="D2484" s="224" t="s">
        <v>55</v>
      </c>
      <c r="E2484" s="224" t="s">
        <v>256</v>
      </c>
      <c r="F2484" s="224" t="s">
        <v>248</v>
      </c>
      <c r="G2484" s="223" t="str">
        <f>VLOOKUP($B2484,'FRS geographical categories'!$A$2:$C$45,2,FALSE)</f>
        <v>Predominantly Rural</v>
      </c>
      <c r="H2484" s="223" t="str">
        <f>VLOOKUP($B2484,'FRS geographical categories'!$A$2:$C$45,3,FALSE)</f>
        <v>Non-metropolitan</v>
      </c>
      <c r="I2484" s="224">
        <v>0</v>
      </c>
    </row>
    <row r="2485" spans="1:9" ht="15.5" x14ac:dyDescent="0.35">
      <c r="A2485" s="224" t="s">
        <v>81</v>
      </c>
      <c r="B2485" s="224" t="s">
        <v>20</v>
      </c>
      <c r="C2485" s="224" t="s">
        <v>89</v>
      </c>
      <c r="D2485" s="224" t="s">
        <v>55</v>
      </c>
      <c r="E2485" s="224" t="s">
        <v>256</v>
      </c>
      <c r="F2485" s="224" t="s">
        <v>249</v>
      </c>
      <c r="G2485" s="223" t="str">
        <f>VLOOKUP($B2485,'FRS geographical categories'!$A$2:$C$45,2,FALSE)</f>
        <v>Predominantly Rural</v>
      </c>
      <c r="H2485" s="223" t="str">
        <f>VLOOKUP($B2485,'FRS geographical categories'!$A$2:$C$45,3,FALSE)</f>
        <v>Non-metropolitan</v>
      </c>
      <c r="I2485" s="224">
        <v>0</v>
      </c>
    </row>
    <row r="2486" spans="1:9" ht="15.5" x14ac:dyDescent="0.35">
      <c r="A2486" s="224" t="s">
        <v>81</v>
      </c>
      <c r="B2486" s="224" t="s">
        <v>20</v>
      </c>
      <c r="C2486" s="224" t="s">
        <v>89</v>
      </c>
      <c r="D2486" s="224" t="s">
        <v>55</v>
      </c>
      <c r="E2486" s="224" t="s">
        <v>256</v>
      </c>
      <c r="F2486" s="224" t="s">
        <v>250</v>
      </c>
      <c r="G2486" s="223" t="str">
        <f>VLOOKUP($B2486,'FRS geographical categories'!$A$2:$C$45,2,FALSE)</f>
        <v>Predominantly Rural</v>
      </c>
      <c r="H2486" s="223" t="str">
        <f>VLOOKUP($B2486,'FRS geographical categories'!$A$2:$C$45,3,FALSE)</f>
        <v>Non-metropolitan</v>
      </c>
      <c r="I2486" s="224">
        <v>0</v>
      </c>
    </row>
    <row r="2487" spans="1:9" ht="15.5" x14ac:dyDescent="0.35">
      <c r="A2487" s="224" t="s">
        <v>81</v>
      </c>
      <c r="B2487" s="224" t="s">
        <v>20</v>
      </c>
      <c r="C2487" s="224" t="s">
        <v>89</v>
      </c>
      <c r="D2487" s="224" t="s">
        <v>55</v>
      </c>
      <c r="E2487" s="224" t="s">
        <v>256</v>
      </c>
      <c r="F2487" s="224" t="s">
        <v>10</v>
      </c>
      <c r="G2487" s="223" t="str">
        <f>VLOOKUP($B2487,'FRS geographical categories'!$A$2:$C$45,2,FALSE)</f>
        <v>Predominantly Rural</v>
      </c>
      <c r="H2487" s="223" t="str">
        <f>VLOOKUP($B2487,'FRS geographical categories'!$A$2:$C$45,3,FALSE)</f>
        <v>Non-metropolitan</v>
      </c>
      <c r="I2487" s="224">
        <v>0</v>
      </c>
    </row>
    <row r="2488" spans="1:9" ht="15.5" x14ac:dyDescent="0.35">
      <c r="A2488" s="224" t="s">
        <v>81</v>
      </c>
      <c r="B2488" s="224" t="s">
        <v>21</v>
      </c>
      <c r="C2488" s="224" t="s">
        <v>86</v>
      </c>
      <c r="D2488" s="224" t="s">
        <v>9</v>
      </c>
      <c r="E2488" s="224" t="s">
        <v>256</v>
      </c>
      <c r="F2488" s="224" t="s">
        <v>248</v>
      </c>
      <c r="G2488" s="223" t="str">
        <f>VLOOKUP($B2488,'FRS geographical categories'!$A$2:$C$45,2,FALSE)</f>
        <v>Significantly Rural</v>
      </c>
      <c r="H2488" s="223" t="str">
        <f>VLOOKUP($B2488,'FRS geographical categories'!$A$2:$C$45,3,FALSE)</f>
        <v>Non-metropolitan</v>
      </c>
      <c r="I2488" s="224">
        <v>820</v>
      </c>
    </row>
    <row r="2489" spans="1:9" ht="15.5" x14ac:dyDescent="0.35">
      <c r="A2489" s="224" t="s">
        <v>81</v>
      </c>
      <c r="B2489" s="224" t="s">
        <v>21</v>
      </c>
      <c r="C2489" s="224" t="s">
        <v>86</v>
      </c>
      <c r="D2489" s="224" t="s">
        <v>9</v>
      </c>
      <c r="E2489" s="224" t="s">
        <v>256</v>
      </c>
      <c r="F2489" s="224" t="s">
        <v>249</v>
      </c>
      <c r="G2489" s="223" t="str">
        <f>VLOOKUP($B2489,'FRS geographical categories'!$A$2:$C$45,2,FALSE)</f>
        <v>Significantly Rural</v>
      </c>
      <c r="H2489" s="223" t="str">
        <f>VLOOKUP($B2489,'FRS geographical categories'!$A$2:$C$45,3,FALSE)</f>
        <v>Non-metropolitan</v>
      </c>
      <c r="I2489" s="224">
        <v>3436</v>
      </c>
    </row>
    <row r="2490" spans="1:9" ht="15.5" x14ac:dyDescent="0.35">
      <c r="A2490" s="224" t="s">
        <v>81</v>
      </c>
      <c r="B2490" s="224" t="s">
        <v>21</v>
      </c>
      <c r="C2490" s="224" t="s">
        <v>86</v>
      </c>
      <c r="D2490" s="224" t="s">
        <v>9</v>
      </c>
      <c r="E2490" s="224" t="s">
        <v>256</v>
      </c>
      <c r="F2490" s="224" t="s">
        <v>250</v>
      </c>
      <c r="G2490" s="223" t="str">
        <f>VLOOKUP($B2490,'FRS geographical categories'!$A$2:$C$45,2,FALSE)</f>
        <v>Significantly Rural</v>
      </c>
      <c r="H2490" s="223" t="str">
        <f>VLOOKUP($B2490,'FRS geographical categories'!$A$2:$C$45,3,FALSE)</f>
        <v>Non-metropolitan</v>
      </c>
      <c r="I2490" s="224">
        <v>3077</v>
      </c>
    </row>
    <row r="2491" spans="1:9" ht="15.5" x14ac:dyDescent="0.35">
      <c r="A2491" s="224" t="s">
        <v>81</v>
      </c>
      <c r="B2491" s="224" t="s">
        <v>21</v>
      </c>
      <c r="C2491" s="224" t="s">
        <v>86</v>
      </c>
      <c r="D2491" s="224" t="s">
        <v>9</v>
      </c>
      <c r="E2491" s="224" t="s">
        <v>256</v>
      </c>
      <c r="F2491" s="224" t="s">
        <v>111</v>
      </c>
      <c r="G2491" s="223" t="str">
        <f>VLOOKUP($B2491,'FRS geographical categories'!$A$2:$C$45,2,FALSE)</f>
        <v>Significantly Rural</v>
      </c>
      <c r="H2491" s="223" t="str">
        <f>VLOOKUP($B2491,'FRS geographical categories'!$A$2:$C$45,3,FALSE)</f>
        <v>Non-metropolitan</v>
      </c>
      <c r="I2491" s="224">
        <v>9330</v>
      </c>
    </row>
    <row r="2492" spans="1:9" ht="15.5" x14ac:dyDescent="0.35">
      <c r="A2492" s="224" t="s">
        <v>81</v>
      </c>
      <c r="B2492" s="224" t="s">
        <v>21</v>
      </c>
      <c r="C2492" s="224" t="s">
        <v>86</v>
      </c>
      <c r="D2492" s="224" t="s">
        <v>9</v>
      </c>
      <c r="E2492" s="224" t="s">
        <v>256</v>
      </c>
      <c r="F2492" s="224" t="s">
        <v>10</v>
      </c>
      <c r="G2492" s="223" t="str">
        <f>VLOOKUP($B2492,'FRS geographical categories'!$A$2:$C$45,2,FALSE)</f>
        <v>Significantly Rural</v>
      </c>
      <c r="H2492" s="223" t="str">
        <f>VLOOKUP($B2492,'FRS geographical categories'!$A$2:$C$45,3,FALSE)</f>
        <v>Non-metropolitan</v>
      </c>
      <c r="I2492" s="224">
        <v>9622</v>
      </c>
    </row>
    <row r="2493" spans="1:9" ht="15.5" x14ac:dyDescent="0.35">
      <c r="A2493" s="224" t="s">
        <v>81</v>
      </c>
      <c r="B2493" s="224" t="s">
        <v>21</v>
      </c>
      <c r="C2493" s="224" t="s">
        <v>86</v>
      </c>
      <c r="D2493" s="224" t="s">
        <v>55</v>
      </c>
      <c r="E2493" s="224" t="s">
        <v>256</v>
      </c>
      <c r="F2493" s="224" t="s">
        <v>248</v>
      </c>
      <c r="G2493" s="223" t="str">
        <f>VLOOKUP($B2493,'FRS geographical categories'!$A$2:$C$45,2,FALSE)</f>
        <v>Significantly Rural</v>
      </c>
      <c r="H2493" s="223" t="str">
        <f>VLOOKUP($B2493,'FRS geographical categories'!$A$2:$C$45,3,FALSE)</f>
        <v>Non-metropolitan</v>
      </c>
      <c r="I2493" s="224">
        <v>0</v>
      </c>
    </row>
    <row r="2494" spans="1:9" ht="15.5" x14ac:dyDescent="0.35">
      <c r="A2494" s="224" t="s">
        <v>81</v>
      </c>
      <c r="B2494" s="224" t="s">
        <v>21</v>
      </c>
      <c r="C2494" s="224" t="s">
        <v>86</v>
      </c>
      <c r="D2494" s="224" t="s">
        <v>55</v>
      </c>
      <c r="E2494" s="224" t="s">
        <v>256</v>
      </c>
      <c r="F2494" s="224" t="s">
        <v>249</v>
      </c>
      <c r="G2494" s="223" t="str">
        <f>VLOOKUP($B2494,'FRS geographical categories'!$A$2:$C$45,2,FALSE)</f>
        <v>Significantly Rural</v>
      </c>
      <c r="H2494" s="223" t="str">
        <f>VLOOKUP($B2494,'FRS geographical categories'!$A$2:$C$45,3,FALSE)</f>
        <v>Non-metropolitan</v>
      </c>
      <c r="I2494" s="224">
        <v>0</v>
      </c>
    </row>
    <row r="2495" spans="1:9" ht="15.5" x14ac:dyDescent="0.35">
      <c r="A2495" s="224" t="s">
        <v>81</v>
      </c>
      <c r="B2495" s="224" t="s">
        <v>21</v>
      </c>
      <c r="C2495" s="224" t="s">
        <v>86</v>
      </c>
      <c r="D2495" s="224" t="s">
        <v>55</v>
      </c>
      <c r="E2495" s="224" t="s">
        <v>256</v>
      </c>
      <c r="F2495" s="224" t="s">
        <v>250</v>
      </c>
      <c r="G2495" s="223" t="str">
        <f>VLOOKUP($B2495,'FRS geographical categories'!$A$2:$C$45,2,FALSE)</f>
        <v>Significantly Rural</v>
      </c>
      <c r="H2495" s="223" t="str">
        <f>VLOOKUP($B2495,'FRS geographical categories'!$A$2:$C$45,3,FALSE)</f>
        <v>Non-metropolitan</v>
      </c>
      <c r="I2495" s="224">
        <v>0</v>
      </c>
    </row>
    <row r="2496" spans="1:9" ht="15.5" x14ac:dyDescent="0.35">
      <c r="A2496" s="224" t="s">
        <v>81</v>
      </c>
      <c r="B2496" s="224" t="s">
        <v>21</v>
      </c>
      <c r="C2496" s="224" t="s">
        <v>86</v>
      </c>
      <c r="D2496" s="224" t="s">
        <v>55</v>
      </c>
      <c r="E2496" s="224" t="s">
        <v>256</v>
      </c>
      <c r="F2496" s="224" t="s">
        <v>111</v>
      </c>
      <c r="G2496" s="223" t="str">
        <f>VLOOKUP($B2496,'FRS geographical categories'!$A$2:$C$45,2,FALSE)</f>
        <v>Significantly Rural</v>
      </c>
      <c r="H2496" s="223" t="str">
        <f>VLOOKUP($B2496,'FRS geographical categories'!$A$2:$C$45,3,FALSE)</f>
        <v>Non-metropolitan</v>
      </c>
      <c r="I2496" s="224">
        <v>0</v>
      </c>
    </row>
    <row r="2497" spans="1:9" ht="15.5" x14ac:dyDescent="0.35">
      <c r="A2497" s="224" t="s">
        <v>81</v>
      </c>
      <c r="B2497" s="224" t="s">
        <v>21</v>
      </c>
      <c r="C2497" s="224" t="s">
        <v>86</v>
      </c>
      <c r="D2497" s="224" t="s">
        <v>55</v>
      </c>
      <c r="E2497" s="224" t="s">
        <v>256</v>
      </c>
      <c r="F2497" s="224" t="s">
        <v>10</v>
      </c>
      <c r="G2497" s="223" t="str">
        <f>VLOOKUP($B2497,'FRS geographical categories'!$A$2:$C$45,2,FALSE)</f>
        <v>Significantly Rural</v>
      </c>
      <c r="H2497" s="223" t="str">
        <f>VLOOKUP($B2497,'FRS geographical categories'!$A$2:$C$45,3,FALSE)</f>
        <v>Non-metropolitan</v>
      </c>
      <c r="I2497" s="224">
        <v>0</v>
      </c>
    </row>
    <row r="2498" spans="1:9" ht="15.5" x14ac:dyDescent="0.35">
      <c r="A2498" s="224" t="s">
        <v>81</v>
      </c>
      <c r="B2498" s="224" t="s">
        <v>21</v>
      </c>
      <c r="C2498" s="224" t="s">
        <v>89</v>
      </c>
      <c r="D2498" s="224" t="s">
        <v>9</v>
      </c>
      <c r="E2498" s="224" t="s">
        <v>256</v>
      </c>
      <c r="F2498" s="224" t="s">
        <v>248</v>
      </c>
      <c r="G2498" s="223" t="str">
        <f>VLOOKUP($B2498,'FRS geographical categories'!$A$2:$C$45,2,FALSE)</f>
        <v>Significantly Rural</v>
      </c>
      <c r="H2498" s="223" t="str">
        <f>VLOOKUP($B2498,'FRS geographical categories'!$A$2:$C$45,3,FALSE)</f>
        <v>Non-metropolitan</v>
      </c>
      <c r="I2498" s="224">
        <v>2</v>
      </c>
    </row>
    <row r="2499" spans="1:9" ht="15.5" x14ac:dyDescent="0.35">
      <c r="A2499" s="224" t="s">
        <v>81</v>
      </c>
      <c r="B2499" s="224" t="s">
        <v>21</v>
      </c>
      <c r="C2499" s="224" t="s">
        <v>89</v>
      </c>
      <c r="D2499" s="224" t="s">
        <v>9</v>
      </c>
      <c r="E2499" s="224" t="s">
        <v>256</v>
      </c>
      <c r="F2499" s="224" t="s">
        <v>249</v>
      </c>
      <c r="G2499" s="223" t="str">
        <f>VLOOKUP($B2499,'FRS geographical categories'!$A$2:$C$45,2,FALSE)</f>
        <v>Significantly Rural</v>
      </c>
      <c r="H2499" s="223" t="str">
        <f>VLOOKUP($B2499,'FRS geographical categories'!$A$2:$C$45,3,FALSE)</f>
        <v>Non-metropolitan</v>
      </c>
      <c r="I2499" s="224">
        <v>7</v>
      </c>
    </row>
    <row r="2500" spans="1:9" ht="15.5" x14ac:dyDescent="0.35">
      <c r="A2500" s="224" t="s">
        <v>81</v>
      </c>
      <c r="B2500" s="224" t="s">
        <v>21</v>
      </c>
      <c r="C2500" s="224" t="s">
        <v>89</v>
      </c>
      <c r="D2500" s="224" t="s">
        <v>9</v>
      </c>
      <c r="E2500" s="224" t="s">
        <v>256</v>
      </c>
      <c r="F2500" s="224" t="s">
        <v>250</v>
      </c>
      <c r="G2500" s="223" t="str">
        <f>VLOOKUP($B2500,'FRS geographical categories'!$A$2:$C$45,2,FALSE)</f>
        <v>Significantly Rural</v>
      </c>
      <c r="H2500" s="223" t="str">
        <f>VLOOKUP($B2500,'FRS geographical categories'!$A$2:$C$45,3,FALSE)</f>
        <v>Non-metropolitan</v>
      </c>
      <c r="I2500" s="224">
        <v>73</v>
      </c>
    </row>
    <row r="2501" spans="1:9" ht="15.5" x14ac:dyDescent="0.35">
      <c r="A2501" s="224" t="s">
        <v>81</v>
      </c>
      <c r="B2501" s="224" t="s">
        <v>21</v>
      </c>
      <c r="C2501" s="224" t="s">
        <v>89</v>
      </c>
      <c r="D2501" s="224" t="s">
        <v>9</v>
      </c>
      <c r="E2501" s="224" t="s">
        <v>256</v>
      </c>
      <c r="F2501" s="224" t="s">
        <v>10</v>
      </c>
      <c r="G2501" s="223" t="str">
        <f>VLOOKUP($B2501,'FRS geographical categories'!$A$2:$C$45,2,FALSE)</f>
        <v>Significantly Rural</v>
      </c>
      <c r="H2501" s="223" t="str">
        <f>VLOOKUP($B2501,'FRS geographical categories'!$A$2:$C$45,3,FALSE)</f>
        <v>Non-metropolitan</v>
      </c>
      <c r="I2501" s="224">
        <v>90</v>
      </c>
    </row>
    <row r="2502" spans="1:9" ht="15.5" x14ac:dyDescent="0.35">
      <c r="A2502" s="224" t="s">
        <v>81</v>
      </c>
      <c r="B2502" s="224" t="s">
        <v>21</v>
      </c>
      <c r="C2502" s="224" t="s">
        <v>89</v>
      </c>
      <c r="D2502" s="224" t="s">
        <v>55</v>
      </c>
      <c r="E2502" s="224" t="s">
        <v>256</v>
      </c>
      <c r="F2502" s="224" t="s">
        <v>248</v>
      </c>
      <c r="G2502" s="223" t="str">
        <f>VLOOKUP($B2502,'FRS geographical categories'!$A$2:$C$45,2,FALSE)</f>
        <v>Significantly Rural</v>
      </c>
      <c r="H2502" s="223" t="str">
        <f>VLOOKUP($B2502,'FRS geographical categories'!$A$2:$C$45,3,FALSE)</f>
        <v>Non-metropolitan</v>
      </c>
      <c r="I2502" s="224">
        <v>0</v>
      </c>
    </row>
    <row r="2503" spans="1:9" ht="15.5" x14ac:dyDescent="0.35">
      <c r="A2503" s="224" t="s">
        <v>81</v>
      </c>
      <c r="B2503" s="224" t="s">
        <v>21</v>
      </c>
      <c r="C2503" s="224" t="s">
        <v>89</v>
      </c>
      <c r="D2503" s="224" t="s">
        <v>55</v>
      </c>
      <c r="E2503" s="224" t="s">
        <v>256</v>
      </c>
      <c r="F2503" s="224" t="s">
        <v>249</v>
      </c>
      <c r="G2503" s="223" t="str">
        <f>VLOOKUP($B2503,'FRS geographical categories'!$A$2:$C$45,2,FALSE)</f>
        <v>Significantly Rural</v>
      </c>
      <c r="H2503" s="223" t="str">
        <f>VLOOKUP($B2503,'FRS geographical categories'!$A$2:$C$45,3,FALSE)</f>
        <v>Non-metropolitan</v>
      </c>
      <c r="I2503" s="224">
        <v>0</v>
      </c>
    </row>
    <row r="2504" spans="1:9" ht="15.5" x14ac:dyDescent="0.35">
      <c r="A2504" s="224" t="s">
        <v>81</v>
      </c>
      <c r="B2504" s="224" t="s">
        <v>21</v>
      </c>
      <c r="C2504" s="224" t="s">
        <v>89</v>
      </c>
      <c r="D2504" s="224" t="s">
        <v>55</v>
      </c>
      <c r="E2504" s="224" t="s">
        <v>256</v>
      </c>
      <c r="F2504" s="224" t="s">
        <v>250</v>
      </c>
      <c r="G2504" s="223" t="str">
        <f>VLOOKUP($B2504,'FRS geographical categories'!$A$2:$C$45,2,FALSE)</f>
        <v>Significantly Rural</v>
      </c>
      <c r="H2504" s="223" t="str">
        <f>VLOOKUP($B2504,'FRS geographical categories'!$A$2:$C$45,3,FALSE)</f>
        <v>Non-metropolitan</v>
      </c>
      <c r="I2504" s="224">
        <v>0</v>
      </c>
    </row>
    <row r="2505" spans="1:9" ht="15.5" x14ac:dyDescent="0.35">
      <c r="A2505" s="224" t="s">
        <v>81</v>
      </c>
      <c r="B2505" s="224" t="s">
        <v>21</v>
      </c>
      <c r="C2505" s="224" t="s">
        <v>89</v>
      </c>
      <c r="D2505" s="224" t="s">
        <v>55</v>
      </c>
      <c r="E2505" s="224" t="s">
        <v>256</v>
      </c>
      <c r="F2505" s="224" t="s">
        <v>10</v>
      </c>
      <c r="G2505" s="223" t="str">
        <f>VLOOKUP($B2505,'FRS geographical categories'!$A$2:$C$45,2,FALSE)</f>
        <v>Significantly Rural</v>
      </c>
      <c r="H2505" s="223" t="str">
        <f>VLOOKUP($B2505,'FRS geographical categories'!$A$2:$C$45,3,FALSE)</f>
        <v>Non-metropolitan</v>
      </c>
      <c r="I2505" s="224">
        <v>0</v>
      </c>
    </row>
    <row r="2506" spans="1:9" ht="15.5" x14ac:dyDescent="0.35">
      <c r="A2506" s="224" t="s">
        <v>81</v>
      </c>
      <c r="B2506" s="224" t="s">
        <v>22</v>
      </c>
      <c r="C2506" s="224" t="s">
        <v>86</v>
      </c>
      <c r="D2506" s="224" t="s">
        <v>9</v>
      </c>
      <c r="E2506" s="224" t="s">
        <v>256</v>
      </c>
      <c r="F2506" s="224" t="s">
        <v>248</v>
      </c>
      <c r="G2506" s="223" t="str">
        <f>VLOOKUP($B2506,'FRS geographical categories'!$A$2:$C$45,2,FALSE)</f>
        <v>Predominantly Rural</v>
      </c>
      <c r="H2506" s="223" t="str">
        <f>VLOOKUP($B2506,'FRS geographical categories'!$A$2:$C$45,3,FALSE)</f>
        <v>Non-metropolitan</v>
      </c>
      <c r="I2506" s="224">
        <v>714</v>
      </c>
    </row>
    <row r="2507" spans="1:9" ht="15.5" x14ac:dyDescent="0.35">
      <c r="A2507" s="224" t="s">
        <v>81</v>
      </c>
      <c r="B2507" s="224" t="s">
        <v>22</v>
      </c>
      <c r="C2507" s="224" t="s">
        <v>86</v>
      </c>
      <c r="D2507" s="224" t="s">
        <v>9</v>
      </c>
      <c r="E2507" s="224" t="s">
        <v>256</v>
      </c>
      <c r="F2507" s="224" t="s">
        <v>249</v>
      </c>
      <c r="G2507" s="223" t="str">
        <f>VLOOKUP($B2507,'FRS geographical categories'!$A$2:$C$45,2,FALSE)</f>
        <v>Predominantly Rural</v>
      </c>
      <c r="H2507" s="223" t="str">
        <f>VLOOKUP($B2507,'FRS geographical categories'!$A$2:$C$45,3,FALSE)</f>
        <v>Non-metropolitan</v>
      </c>
      <c r="I2507" s="224">
        <v>858</v>
      </c>
    </row>
    <row r="2508" spans="1:9" ht="15.5" x14ac:dyDescent="0.35">
      <c r="A2508" s="224" t="s">
        <v>81</v>
      </c>
      <c r="B2508" s="224" t="s">
        <v>22</v>
      </c>
      <c r="C2508" s="224" t="s">
        <v>86</v>
      </c>
      <c r="D2508" s="224" t="s">
        <v>9</v>
      </c>
      <c r="E2508" s="224" t="s">
        <v>256</v>
      </c>
      <c r="F2508" s="224" t="s">
        <v>250</v>
      </c>
      <c r="G2508" s="223" t="str">
        <f>VLOOKUP($B2508,'FRS geographical categories'!$A$2:$C$45,2,FALSE)</f>
        <v>Predominantly Rural</v>
      </c>
      <c r="H2508" s="223" t="str">
        <f>VLOOKUP($B2508,'FRS geographical categories'!$A$2:$C$45,3,FALSE)</f>
        <v>Non-metropolitan</v>
      </c>
      <c r="I2508" s="224">
        <v>4993</v>
      </c>
    </row>
    <row r="2509" spans="1:9" ht="15.5" x14ac:dyDescent="0.35">
      <c r="A2509" s="224" t="s">
        <v>81</v>
      </c>
      <c r="B2509" s="224" t="s">
        <v>22</v>
      </c>
      <c r="C2509" s="224" t="s">
        <v>86</v>
      </c>
      <c r="D2509" s="224" t="s">
        <v>9</v>
      </c>
      <c r="E2509" s="224" t="s">
        <v>256</v>
      </c>
      <c r="F2509" s="224" t="s">
        <v>111</v>
      </c>
      <c r="G2509" s="223" t="str">
        <f>VLOOKUP($B2509,'FRS geographical categories'!$A$2:$C$45,2,FALSE)</f>
        <v>Predominantly Rural</v>
      </c>
      <c r="H2509" s="223" t="str">
        <f>VLOOKUP($B2509,'FRS geographical categories'!$A$2:$C$45,3,FALSE)</f>
        <v>Non-metropolitan</v>
      </c>
      <c r="I2509" s="224">
        <v>11425</v>
      </c>
    </row>
    <row r="2510" spans="1:9" ht="15.5" x14ac:dyDescent="0.35">
      <c r="A2510" s="224" t="s">
        <v>81</v>
      </c>
      <c r="B2510" s="224" t="s">
        <v>22</v>
      </c>
      <c r="C2510" s="224" t="s">
        <v>86</v>
      </c>
      <c r="D2510" s="224" t="s">
        <v>9</v>
      </c>
      <c r="E2510" s="224" t="s">
        <v>256</v>
      </c>
      <c r="F2510" s="224" t="s">
        <v>10</v>
      </c>
      <c r="G2510" s="223" t="str">
        <f>VLOOKUP($B2510,'FRS geographical categories'!$A$2:$C$45,2,FALSE)</f>
        <v>Predominantly Rural</v>
      </c>
      <c r="H2510" s="223" t="str">
        <f>VLOOKUP($B2510,'FRS geographical categories'!$A$2:$C$45,3,FALSE)</f>
        <v>Non-metropolitan</v>
      </c>
      <c r="I2510" s="224">
        <v>18353</v>
      </c>
    </row>
    <row r="2511" spans="1:9" ht="15.5" x14ac:dyDescent="0.35">
      <c r="A2511" s="224" t="s">
        <v>81</v>
      </c>
      <c r="B2511" s="224" t="s">
        <v>22</v>
      </c>
      <c r="C2511" s="224" t="s">
        <v>86</v>
      </c>
      <c r="D2511" s="224" t="s">
        <v>55</v>
      </c>
      <c r="E2511" s="224" t="s">
        <v>256</v>
      </c>
      <c r="F2511" s="224" t="s">
        <v>248</v>
      </c>
      <c r="G2511" s="223" t="str">
        <f>VLOOKUP($B2511,'FRS geographical categories'!$A$2:$C$45,2,FALSE)</f>
        <v>Predominantly Rural</v>
      </c>
      <c r="H2511" s="223" t="str">
        <f>VLOOKUP($B2511,'FRS geographical categories'!$A$2:$C$45,3,FALSE)</f>
        <v>Non-metropolitan</v>
      </c>
      <c r="I2511" s="224">
        <v>0</v>
      </c>
    </row>
    <row r="2512" spans="1:9" ht="15.5" x14ac:dyDescent="0.35">
      <c r="A2512" s="224" t="s">
        <v>81</v>
      </c>
      <c r="B2512" s="224" t="s">
        <v>22</v>
      </c>
      <c r="C2512" s="224" t="s">
        <v>86</v>
      </c>
      <c r="D2512" s="224" t="s">
        <v>55</v>
      </c>
      <c r="E2512" s="224" t="s">
        <v>256</v>
      </c>
      <c r="F2512" s="224" t="s">
        <v>249</v>
      </c>
      <c r="G2512" s="223" t="str">
        <f>VLOOKUP($B2512,'FRS geographical categories'!$A$2:$C$45,2,FALSE)</f>
        <v>Predominantly Rural</v>
      </c>
      <c r="H2512" s="223" t="str">
        <f>VLOOKUP($B2512,'FRS geographical categories'!$A$2:$C$45,3,FALSE)</f>
        <v>Non-metropolitan</v>
      </c>
      <c r="I2512" s="224">
        <v>0</v>
      </c>
    </row>
    <row r="2513" spans="1:9" ht="15.5" x14ac:dyDescent="0.35">
      <c r="A2513" s="224" t="s">
        <v>81</v>
      </c>
      <c r="B2513" s="224" t="s">
        <v>22</v>
      </c>
      <c r="C2513" s="224" t="s">
        <v>86</v>
      </c>
      <c r="D2513" s="224" t="s">
        <v>55</v>
      </c>
      <c r="E2513" s="224" t="s">
        <v>256</v>
      </c>
      <c r="F2513" s="224" t="s">
        <v>250</v>
      </c>
      <c r="G2513" s="223" t="str">
        <f>VLOOKUP($B2513,'FRS geographical categories'!$A$2:$C$45,2,FALSE)</f>
        <v>Predominantly Rural</v>
      </c>
      <c r="H2513" s="223" t="str">
        <f>VLOOKUP($B2513,'FRS geographical categories'!$A$2:$C$45,3,FALSE)</f>
        <v>Non-metropolitan</v>
      </c>
      <c r="I2513" s="224">
        <v>0</v>
      </c>
    </row>
    <row r="2514" spans="1:9" ht="15.5" x14ac:dyDescent="0.35">
      <c r="A2514" s="224" t="s">
        <v>81</v>
      </c>
      <c r="B2514" s="224" t="s">
        <v>22</v>
      </c>
      <c r="C2514" s="224" t="s">
        <v>86</v>
      </c>
      <c r="D2514" s="224" t="s">
        <v>55</v>
      </c>
      <c r="E2514" s="224" t="s">
        <v>256</v>
      </c>
      <c r="F2514" s="224" t="s">
        <v>111</v>
      </c>
      <c r="G2514" s="223" t="str">
        <f>VLOOKUP($B2514,'FRS geographical categories'!$A$2:$C$45,2,FALSE)</f>
        <v>Predominantly Rural</v>
      </c>
      <c r="H2514" s="223" t="str">
        <f>VLOOKUP($B2514,'FRS geographical categories'!$A$2:$C$45,3,FALSE)</f>
        <v>Non-metropolitan</v>
      </c>
      <c r="I2514" s="224">
        <v>0</v>
      </c>
    </row>
    <row r="2515" spans="1:9" ht="15.5" x14ac:dyDescent="0.35">
      <c r="A2515" s="224" t="s">
        <v>81</v>
      </c>
      <c r="B2515" s="224" t="s">
        <v>22</v>
      </c>
      <c r="C2515" s="224" t="s">
        <v>86</v>
      </c>
      <c r="D2515" s="224" t="s">
        <v>55</v>
      </c>
      <c r="E2515" s="224" t="s">
        <v>256</v>
      </c>
      <c r="F2515" s="224" t="s">
        <v>10</v>
      </c>
      <c r="G2515" s="223" t="str">
        <f>VLOOKUP($B2515,'FRS geographical categories'!$A$2:$C$45,2,FALSE)</f>
        <v>Predominantly Rural</v>
      </c>
      <c r="H2515" s="223" t="str">
        <f>VLOOKUP($B2515,'FRS geographical categories'!$A$2:$C$45,3,FALSE)</f>
        <v>Non-metropolitan</v>
      </c>
      <c r="I2515" s="224">
        <v>0</v>
      </c>
    </row>
    <row r="2516" spans="1:9" ht="15.5" x14ac:dyDescent="0.35">
      <c r="A2516" s="224" t="s">
        <v>81</v>
      </c>
      <c r="B2516" s="224" t="s">
        <v>22</v>
      </c>
      <c r="C2516" s="224" t="s">
        <v>89</v>
      </c>
      <c r="D2516" s="224" t="s">
        <v>9</v>
      </c>
      <c r="E2516" s="224" t="s">
        <v>256</v>
      </c>
      <c r="F2516" s="224" t="s">
        <v>248</v>
      </c>
      <c r="G2516" s="223" t="str">
        <f>VLOOKUP($B2516,'FRS geographical categories'!$A$2:$C$45,2,FALSE)</f>
        <v>Predominantly Rural</v>
      </c>
      <c r="H2516" s="223" t="str">
        <f>VLOOKUP($B2516,'FRS geographical categories'!$A$2:$C$45,3,FALSE)</f>
        <v>Non-metropolitan</v>
      </c>
      <c r="I2516" s="224">
        <v>0</v>
      </c>
    </row>
    <row r="2517" spans="1:9" ht="15.5" x14ac:dyDescent="0.35">
      <c r="A2517" s="224" t="s">
        <v>81</v>
      </c>
      <c r="B2517" s="224" t="s">
        <v>22</v>
      </c>
      <c r="C2517" s="224" t="s">
        <v>89</v>
      </c>
      <c r="D2517" s="224" t="s">
        <v>9</v>
      </c>
      <c r="E2517" s="224" t="s">
        <v>256</v>
      </c>
      <c r="F2517" s="224" t="s">
        <v>249</v>
      </c>
      <c r="G2517" s="223" t="str">
        <f>VLOOKUP($B2517,'FRS geographical categories'!$A$2:$C$45,2,FALSE)</f>
        <v>Predominantly Rural</v>
      </c>
      <c r="H2517" s="223" t="str">
        <f>VLOOKUP($B2517,'FRS geographical categories'!$A$2:$C$45,3,FALSE)</f>
        <v>Non-metropolitan</v>
      </c>
      <c r="I2517" s="224">
        <v>0</v>
      </c>
    </row>
    <row r="2518" spans="1:9" ht="15.5" x14ac:dyDescent="0.35">
      <c r="A2518" s="224" t="s">
        <v>81</v>
      </c>
      <c r="B2518" s="224" t="s">
        <v>22</v>
      </c>
      <c r="C2518" s="224" t="s">
        <v>89</v>
      </c>
      <c r="D2518" s="224" t="s">
        <v>9</v>
      </c>
      <c r="E2518" s="224" t="s">
        <v>256</v>
      </c>
      <c r="F2518" s="224" t="s">
        <v>250</v>
      </c>
      <c r="G2518" s="223" t="str">
        <f>VLOOKUP($B2518,'FRS geographical categories'!$A$2:$C$45,2,FALSE)</f>
        <v>Predominantly Rural</v>
      </c>
      <c r="H2518" s="223" t="str">
        <f>VLOOKUP($B2518,'FRS geographical categories'!$A$2:$C$45,3,FALSE)</f>
        <v>Non-metropolitan</v>
      </c>
      <c r="I2518" s="224">
        <v>0</v>
      </c>
    </row>
    <row r="2519" spans="1:9" ht="15.5" x14ac:dyDescent="0.35">
      <c r="A2519" s="224" t="s">
        <v>81</v>
      </c>
      <c r="B2519" s="224" t="s">
        <v>22</v>
      </c>
      <c r="C2519" s="224" t="s">
        <v>89</v>
      </c>
      <c r="D2519" s="224" t="s">
        <v>9</v>
      </c>
      <c r="E2519" s="224" t="s">
        <v>256</v>
      </c>
      <c r="F2519" s="224" t="s">
        <v>10</v>
      </c>
      <c r="G2519" s="223" t="str">
        <f>VLOOKUP($B2519,'FRS geographical categories'!$A$2:$C$45,2,FALSE)</f>
        <v>Predominantly Rural</v>
      </c>
      <c r="H2519" s="223" t="str">
        <f>VLOOKUP($B2519,'FRS geographical categories'!$A$2:$C$45,3,FALSE)</f>
        <v>Non-metropolitan</v>
      </c>
      <c r="I2519" s="224">
        <v>0</v>
      </c>
    </row>
    <row r="2520" spans="1:9" ht="15.5" x14ac:dyDescent="0.35">
      <c r="A2520" s="224" t="s">
        <v>81</v>
      </c>
      <c r="B2520" s="224" t="s">
        <v>22</v>
      </c>
      <c r="C2520" s="224" t="s">
        <v>89</v>
      </c>
      <c r="D2520" s="224" t="s">
        <v>55</v>
      </c>
      <c r="E2520" s="224" t="s">
        <v>256</v>
      </c>
      <c r="F2520" s="224" t="s">
        <v>248</v>
      </c>
      <c r="G2520" s="223" t="str">
        <f>VLOOKUP($B2520,'FRS geographical categories'!$A$2:$C$45,2,FALSE)</f>
        <v>Predominantly Rural</v>
      </c>
      <c r="H2520" s="223" t="str">
        <f>VLOOKUP($B2520,'FRS geographical categories'!$A$2:$C$45,3,FALSE)</f>
        <v>Non-metropolitan</v>
      </c>
      <c r="I2520" s="224">
        <v>0</v>
      </c>
    </row>
    <row r="2521" spans="1:9" ht="15.5" x14ac:dyDescent="0.35">
      <c r="A2521" s="224" t="s">
        <v>81</v>
      </c>
      <c r="B2521" s="224" t="s">
        <v>22</v>
      </c>
      <c r="C2521" s="224" t="s">
        <v>89</v>
      </c>
      <c r="D2521" s="224" t="s">
        <v>55</v>
      </c>
      <c r="E2521" s="224" t="s">
        <v>256</v>
      </c>
      <c r="F2521" s="224" t="s">
        <v>249</v>
      </c>
      <c r="G2521" s="223" t="str">
        <f>VLOOKUP($B2521,'FRS geographical categories'!$A$2:$C$45,2,FALSE)</f>
        <v>Predominantly Rural</v>
      </c>
      <c r="H2521" s="223" t="str">
        <f>VLOOKUP($B2521,'FRS geographical categories'!$A$2:$C$45,3,FALSE)</f>
        <v>Non-metropolitan</v>
      </c>
      <c r="I2521" s="224">
        <v>0</v>
      </c>
    </row>
    <row r="2522" spans="1:9" ht="15.5" x14ac:dyDescent="0.35">
      <c r="A2522" s="224" t="s">
        <v>81</v>
      </c>
      <c r="B2522" s="224" t="s">
        <v>22</v>
      </c>
      <c r="C2522" s="224" t="s">
        <v>89</v>
      </c>
      <c r="D2522" s="224" t="s">
        <v>55</v>
      </c>
      <c r="E2522" s="224" t="s">
        <v>256</v>
      </c>
      <c r="F2522" s="224" t="s">
        <v>250</v>
      </c>
      <c r="G2522" s="223" t="str">
        <f>VLOOKUP($B2522,'FRS geographical categories'!$A$2:$C$45,2,FALSE)</f>
        <v>Predominantly Rural</v>
      </c>
      <c r="H2522" s="223" t="str">
        <f>VLOOKUP($B2522,'FRS geographical categories'!$A$2:$C$45,3,FALSE)</f>
        <v>Non-metropolitan</v>
      </c>
      <c r="I2522" s="224">
        <v>0</v>
      </c>
    </row>
    <row r="2523" spans="1:9" ht="15.5" x14ac:dyDescent="0.35">
      <c r="A2523" s="224" t="s">
        <v>81</v>
      </c>
      <c r="B2523" s="224" t="s">
        <v>22</v>
      </c>
      <c r="C2523" s="224" t="s">
        <v>89</v>
      </c>
      <c r="D2523" s="224" t="s">
        <v>55</v>
      </c>
      <c r="E2523" s="224" t="s">
        <v>256</v>
      </c>
      <c r="F2523" s="224" t="s">
        <v>10</v>
      </c>
      <c r="G2523" s="223" t="str">
        <f>VLOOKUP($B2523,'FRS geographical categories'!$A$2:$C$45,2,FALSE)</f>
        <v>Predominantly Rural</v>
      </c>
      <c r="H2523" s="223" t="str">
        <f>VLOOKUP($B2523,'FRS geographical categories'!$A$2:$C$45,3,FALSE)</f>
        <v>Non-metropolitan</v>
      </c>
      <c r="I2523" s="224">
        <v>0</v>
      </c>
    </row>
    <row r="2524" spans="1:9" ht="15.5" x14ac:dyDescent="0.35">
      <c r="A2524" s="224" t="s">
        <v>81</v>
      </c>
      <c r="B2524" s="224" t="s">
        <v>23</v>
      </c>
      <c r="C2524" s="224" t="s">
        <v>86</v>
      </c>
      <c r="D2524" s="224" t="s">
        <v>9</v>
      </c>
      <c r="E2524" s="224" t="s">
        <v>256</v>
      </c>
      <c r="F2524" s="224" t="s">
        <v>248</v>
      </c>
      <c r="G2524" s="223" t="str">
        <f>VLOOKUP($B2524,'FRS geographical categories'!$A$2:$C$45,2,FALSE)</f>
        <v>Significantly Rural</v>
      </c>
      <c r="H2524" s="223" t="str">
        <f>VLOOKUP($B2524,'FRS geographical categories'!$A$2:$C$45,3,FALSE)</f>
        <v>Non-metropolitan</v>
      </c>
      <c r="I2524" s="224">
        <v>494</v>
      </c>
    </row>
    <row r="2525" spans="1:9" ht="15.5" x14ac:dyDescent="0.35">
      <c r="A2525" s="224" t="s">
        <v>81</v>
      </c>
      <c r="B2525" s="224" t="s">
        <v>23</v>
      </c>
      <c r="C2525" s="224" t="s">
        <v>86</v>
      </c>
      <c r="D2525" s="224" t="s">
        <v>9</v>
      </c>
      <c r="E2525" s="224" t="s">
        <v>256</v>
      </c>
      <c r="F2525" s="224" t="s">
        <v>249</v>
      </c>
      <c r="G2525" s="223" t="str">
        <f>VLOOKUP($B2525,'FRS geographical categories'!$A$2:$C$45,2,FALSE)</f>
        <v>Significantly Rural</v>
      </c>
      <c r="H2525" s="223" t="str">
        <f>VLOOKUP($B2525,'FRS geographical categories'!$A$2:$C$45,3,FALSE)</f>
        <v>Non-metropolitan</v>
      </c>
      <c r="I2525" s="224">
        <v>1820</v>
      </c>
    </row>
    <row r="2526" spans="1:9" ht="15.5" x14ac:dyDescent="0.35">
      <c r="A2526" s="224" t="s">
        <v>81</v>
      </c>
      <c r="B2526" s="224" t="s">
        <v>23</v>
      </c>
      <c r="C2526" s="224" t="s">
        <v>86</v>
      </c>
      <c r="D2526" s="224" t="s">
        <v>9</v>
      </c>
      <c r="E2526" s="224" t="s">
        <v>256</v>
      </c>
      <c r="F2526" s="224" t="s">
        <v>250</v>
      </c>
      <c r="G2526" s="223" t="str">
        <f>VLOOKUP($B2526,'FRS geographical categories'!$A$2:$C$45,2,FALSE)</f>
        <v>Significantly Rural</v>
      </c>
      <c r="H2526" s="223" t="str">
        <f>VLOOKUP($B2526,'FRS geographical categories'!$A$2:$C$45,3,FALSE)</f>
        <v>Non-metropolitan</v>
      </c>
      <c r="I2526" s="224">
        <v>2269</v>
      </c>
    </row>
    <row r="2527" spans="1:9" ht="15.5" x14ac:dyDescent="0.35">
      <c r="A2527" s="224" t="s">
        <v>81</v>
      </c>
      <c r="B2527" s="224" t="s">
        <v>23</v>
      </c>
      <c r="C2527" s="224" t="s">
        <v>86</v>
      </c>
      <c r="D2527" s="224" t="s">
        <v>9</v>
      </c>
      <c r="E2527" s="224" t="s">
        <v>256</v>
      </c>
      <c r="F2527" s="224" t="s">
        <v>111</v>
      </c>
      <c r="G2527" s="223" t="str">
        <f>VLOOKUP($B2527,'FRS geographical categories'!$A$2:$C$45,2,FALSE)</f>
        <v>Significantly Rural</v>
      </c>
      <c r="H2527" s="223" t="str">
        <f>VLOOKUP($B2527,'FRS geographical categories'!$A$2:$C$45,3,FALSE)</f>
        <v>Non-metropolitan</v>
      </c>
      <c r="I2527" s="224">
        <v>7090</v>
      </c>
    </row>
    <row r="2528" spans="1:9" ht="15.5" x14ac:dyDescent="0.35">
      <c r="A2528" s="224" t="s">
        <v>81</v>
      </c>
      <c r="B2528" s="224" t="s">
        <v>23</v>
      </c>
      <c r="C2528" s="224" t="s">
        <v>86</v>
      </c>
      <c r="D2528" s="224" t="s">
        <v>9</v>
      </c>
      <c r="E2528" s="224" t="s">
        <v>256</v>
      </c>
      <c r="F2528" s="224" t="s">
        <v>10</v>
      </c>
      <c r="G2528" s="223" t="str">
        <f>VLOOKUP($B2528,'FRS geographical categories'!$A$2:$C$45,2,FALSE)</f>
        <v>Significantly Rural</v>
      </c>
      <c r="H2528" s="223" t="str">
        <f>VLOOKUP($B2528,'FRS geographical categories'!$A$2:$C$45,3,FALSE)</f>
        <v>Non-metropolitan</v>
      </c>
      <c r="I2528" s="224">
        <v>7497</v>
      </c>
    </row>
    <row r="2529" spans="1:9" ht="15.5" x14ac:dyDescent="0.35">
      <c r="A2529" s="224" t="s">
        <v>81</v>
      </c>
      <c r="B2529" s="224" t="s">
        <v>23</v>
      </c>
      <c r="C2529" s="224" t="s">
        <v>86</v>
      </c>
      <c r="D2529" s="224" t="s">
        <v>55</v>
      </c>
      <c r="E2529" s="224" t="s">
        <v>256</v>
      </c>
      <c r="F2529" s="224" t="s">
        <v>248</v>
      </c>
      <c r="G2529" s="223" t="str">
        <f>VLOOKUP($B2529,'FRS geographical categories'!$A$2:$C$45,2,FALSE)</f>
        <v>Significantly Rural</v>
      </c>
      <c r="H2529" s="223" t="str">
        <f>VLOOKUP($B2529,'FRS geographical categories'!$A$2:$C$45,3,FALSE)</f>
        <v>Non-metropolitan</v>
      </c>
      <c r="I2529" s="224">
        <v>0</v>
      </c>
    </row>
    <row r="2530" spans="1:9" ht="15.5" x14ac:dyDescent="0.35">
      <c r="A2530" s="224" t="s">
        <v>81</v>
      </c>
      <c r="B2530" s="224" t="s">
        <v>23</v>
      </c>
      <c r="C2530" s="224" t="s">
        <v>86</v>
      </c>
      <c r="D2530" s="224" t="s">
        <v>55</v>
      </c>
      <c r="E2530" s="224" t="s">
        <v>256</v>
      </c>
      <c r="F2530" s="224" t="s">
        <v>249</v>
      </c>
      <c r="G2530" s="223" t="str">
        <f>VLOOKUP($B2530,'FRS geographical categories'!$A$2:$C$45,2,FALSE)</f>
        <v>Significantly Rural</v>
      </c>
      <c r="H2530" s="223" t="str">
        <f>VLOOKUP($B2530,'FRS geographical categories'!$A$2:$C$45,3,FALSE)</f>
        <v>Non-metropolitan</v>
      </c>
      <c r="I2530" s="224">
        <v>0</v>
      </c>
    </row>
    <row r="2531" spans="1:9" ht="15.5" x14ac:dyDescent="0.35">
      <c r="A2531" s="224" t="s">
        <v>81</v>
      </c>
      <c r="B2531" s="224" t="s">
        <v>23</v>
      </c>
      <c r="C2531" s="224" t="s">
        <v>86</v>
      </c>
      <c r="D2531" s="224" t="s">
        <v>55</v>
      </c>
      <c r="E2531" s="224" t="s">
        <v>256</v>
      </c>
      <c r="F2531" s="224" t="s">
        <v>250</v>
      </c>
      <c r="G2531" s="223" t="str">
        <f>VLOOKUP($B2531,'FRS geographical categories'!$A$2:$C$45,2,FALSE)</f>
        <v>Significantly Rural</v>
      </c>
      <c r="H2531" s="223" t="str">
        <f>VLOOKUP($B2531,'FRS geographical categories'!$A$2:$C$45,3,FALSE)</f>
        <v>Non-metropolitan</v>
      </c>
      <c r="I2531" s="224">
        <v>0</v>
      </c>
    </row>
    <row r="2532" spans="1:9" ht="15.5" x14ac:dyDescent="0.35">
      <c r="A2532" s="224" t="s">
        <v>81</v>
      </c>
      <c r="B2532" s="224" t="s">
        <v>23</v>
      </c>
      <c r="C2532" s="224" t="s">
        <v>86</v>
      </c>
      <c r="D2532" s="224" t="s">
        <v>55</v>
      </c>
      <c r="E2532" s="224" t="s">
        <v>256</v>
      </c>
      <c r="F2532" s="224" t="s">
        <v>111</v>
      </c>
      <c r="G2532" s="223" t="str">
        <f>VLOOKUP($B2532,'FRS geographical categories'!$A$2:$C$45,2,FALSE)</f>
        <v>Significantly Rural</v>
      </c>
      <c r="H2532" s="223" t="str">
        <f>VLOOKUP($B2532,'FRS geographical categories'!$A$2:$C$45,3,FALSE)</f>
        <v>Non-metropolitan</v>
      </c>
      <c r="I2532" s="224">
        <v>0</v>
      </c>
    </row>
    <row r="2533" spans="1:9" ht="15.5" x14ac:dyDescent="0.35">
      <c r="A2533" s="224" t="s">
        <v>81</v>
      </c>
      <c r="B2533" s="224" t="s">
        <v>23</v>
      </c>
      <c r="C2533" s="224" t="s">
        <v>86</v>
      </c>
      <c r="D2533" s="224" t="s">
        <v>55</v>
      </c>
      <c r="E2533" s="224" t="s">
        <v>256</v>
      </c>
      <c r="F2533" s="224" t="s">
        <v>10</v>
      </c>
      <c r="G2533" s="223" t="str">
        <f>VLOOKUP($B2533,'FRS geographical categories'!$A$2:$C$45,2,FALSE)</f>
        <v>Significantly Rural</v>
      </c>
      <c r="H2533" s="223" t="str">
        <f>VLOOKUP($B2533,'FRS geographical categories'!$A$2:$C$45,3,FALSE)</f>
        <v>Non-metropolitan</v>
      </c>
      <c r="I2533" s="224">
        <v>0</v>
      </c>
    </row>
    <row r="2534" spans="1:9" ht="15.5" x14ac:dyDescent="0.35">
      <c r="A2534" s="224" t="s">
        <v>81</v>
      </c>
      <c r="B2534" s="224" t="s">
        <v>23</v>
      </c>
      <c r="C2534" s="224" t="s">
        <v>89</v>
      </c>
      <c r="D2534" s="224" t="s">
        <v>9</v>
      </c>
      <c r="E2534" s="224" t="s">
        <v>256</v>
      </c>
      <c r="F2534" s="224" t="s">
        <v>248</v>
      </c>
      <c r="G2534" s="223" t="str">
        <f>VLOOKUP($B2534,'FRS geographical categories'!$A$2:$C$45,2,FALSE)</f>
        <v>Significantly Rural</v>
      </c>
      <c r="H2534" s="223" t="str">
        <f>VLOOKUP($B2534,'FRS geographical categories'!$A$2:$C$45,3,FALSE)</f>
        <v>Non-metropolitan</v>
      </c>
      <c r="I2534" s="224">
        <v>0</v>
      </c>
    </row>
    <row r="2535" spans="1:9" ht="15.5" x14ac:dyDescent="0.35">
      <c r="A2535" s="224" t="s">
        <v>81</v>
      </c>
      <c r="B2535" s="224" t="s">
        <v>23</v>
      </c>
      <c r="C2535" s="224" t="s">
        <v>89</v>
      </c>
      <c r="D2535" s="224" t="s">
        <v>9</v>
      </c>
      <c r="E2535" s="224" t="s">
        <v>256</v>
      </c>
      <c r="F2535" s="224" t="s">
        <v>249</v>
      </c>
      <c r="G2535" s="223" t="str">
        <f>VLOOKUP($B2535,'FRS geographical categories'!$A$2:$C$45,2,FALSE)</f>
        <v>Significantly Rural</v>
      </c>
      <c r="H2535" s="223" t="str">
        <f>VLOOKUP($B2535,'FRS geographical categories'!$A$2:$C$45,3,FALSE)</f>
        <v>Non-metropolitan</v>
      </c>
      <c r="I2535" s="224">
        <v>0</v>
      </c>
    </row>
    <row r="2536" spans="1:9" ht="15.5" x14ac:dyDescent="0.35">
      <c r="A2536" s="224" t="s">
        <v>81</v>
      </c>
      <c r="B2536" s="224" t="s">
        <v>23</v>
      </c>
      <c r="C2536" s="224" t="s">
        <v>89</v>
      </c>
      <c r="D2536" s="224" t="s">
        <v>9</v>
      </c>
      <c r="E2536" s="224" t="s">
        <v>256</v>
      </c>
      <c r="F2536" s="224" t="s">
        <v>250</v>
      </c>
      <c r="G2536" s="223" t="str">
        <f>VLOOKUP($B2536,'FRS geographical categories'!$A$2:$C$45,2,FALSE)</f>
        <v>Significantly Rural</v>
      </c>
      <c r="H2536" s="223" t="str">
        <f>VLOOKUP($B2536,'FRS geographical categories'!$A$2:$C$45,3,FALSE)</f>
        <v>Non-metropolitan</v>
      </c>
      <c r="I2536" s="224">
        <v>0</v>
      </c>
    </row>
    <row r="2537" spans="1:9" ht="15.5" x14ac:dyDescent="0.35">
      <c r="A2537" s="224" t="s">
        <v>81</v>
      </c>
      <c r="B2537" s="224" t="s">
        <v>23</v>
      </c>
      <c r="C2537" s="224" t="s">
        <v>89</v>
      </c>
      <c r="D2537" s="224" t="s">
        <v>9</v>
      </c>
      <c r="E2537" s="224" t="s">
        <v>256</v>
      </c>
      <c r="F2537" s="224" t="s">
        <v>10</v>
      </c>
      <c r="G2537" s="223" t="str">
        <f>VLOOKUP($B2537,'FRS geographical categories'!$A$2:$C$45,2,FALSE)</f>
        <v>Significantly Rural</v>
      </c>
      <c r="H2537" s="223" t="str">
        <f>VLOOKUP($B2537,'FRS geographical categories'!$A$2:$C$45,3,FALSE)</f>
        <v>Non-metropolitan</v>
      </c>
      <c r="I2537" s="224">
        <v>0</v>
      </c>
    </row>
    <row r="2538" spans="1:9" ht="15.5" x14ac:dyDescent="0.35">
      <c r="A2538" s="224" t="s">
        <v>81</v>
      </c>
      <c r="B2538" s="224" t="s">
        <v>23</v>
      </c>
      <c r="C2538" s="224" t="s">
        <v>89</v>
      </c>
      <c r="D2538" s="224" t="s">
        <v>55</v>
      </c>
      <c r="E2538" s="224" t="s">
        <v>256</v>
      </c>
      <c r="F2538" s="224" t="s">
        <v>248</v>
      </c>
      <c r="G2538" s="223" t="str">
        <f>VLOOKUP($B2538,'FRS geographical categories'!$A$2:$C$45,2,FALSE)</f>
        <v>Significantly Rural</v>
      </c>
      <c r="H2538" s="223" t="str">
        <f>VLOOKUP($B2538,'FRS geographical categories'!$A$2:$C$45,3,FALSE)</f>
        <v>Non-metropolitan</v>
      </c>
      <c r="I2538" s="224">
        <v>0</v>
      </c>
    </row>
    <row r="2539" spans="1:9" ht="15.5" x14ac:dyDescent="0.35">
      <c r="A2539" s="224" t="s">
        <v>81</v>
      </c>
      <c r="B2539" s="224" t="s">
        <v>23</v>
      </c>
      <c r="C2539" s="224" t="s">
        <v>89</v>
      </c>
      <c r="D2539" s="224" t="s">
        <v>55</v>
      </c>
      <c r="E2539" s="224" t="s">
        <v>256</v>
      </c>
      <c r="F2539" s="224" t="s">
        <v>249</v>
      </c>
      <c r="G2539" s="223" t="str">
        <f>VLOOKUP($B2539,'FRS geographical categories'!$A$2:$C$45,2,FALSE)</f>
        <v>Significantly Rural</v>
      </c>
      <c r="H2539" s="223" t="str">
        <f>VLOOKUP($B2539,'FRS geographical categories'!$A$2:$C$45,3,FALSE)</f>
        <v>Non-metropolitan</v>
      </c>
      <c r="I2539" s="224">
        <v>0</v>
      </c>
    </row>
    <row r="2540" spans="1:9" ht="15.5" x14ac:dyDescent="0.35">
      <c r="A2540" s="224" t="s">
        <v>81</v>
      </c>
      <c r="B2540" s="224" t="s">
        <v>23</v>
      </c>
      <c r="C2540" s="224" t="s">
        <v>89</v>
      </c>
      <c r="D2540" s="224" t="s">
        <v>55</v>
      </c>
      <c r="E2540" s="224" t="s">
        <v>256</v>
      </c>
      <c r="F2540" s="224" t="s">
        <v>250</v>
      </c>
      <c r="G2540" s="223" t="str">
        <f>VLOOKUP($B2540,'FRS geographical categories'!$A$2:$C$45,2,FALSE)</f>
        <v>Significantly Rural</v>
      </c>
      <c r="H2540" s="223" t="str">
        <f>VLOOKUP($B2540,'FRS geographical categories'!$A$2:$C$45,3,FALSE)</f>
        <v>Non-metropolitan</v>
      </c>
      <c r="I2540" s="224">
        <v>0</v>
      </c>
    </row>
    <row r="2541" spans="1:9" ht="15.5" x14ac:dyDescent="0.35">
      <c r="A2541" s="224" t="s">
        <v>81</v>
      </c>
      <c r="B2541" s="224" t="s">
        <v>23</v>
      </c>
      <c r="C2541" s="224" t="s">
        <v>89</v>
      </c>
      <c r="D2541" s="224" t="s">
        <v>55</v>
      </c>
      <c r="E2541" s="224" t="s">
        <v>256</v>
      </c>
      <c r="F2541" s="224" t="s">
        <v>10</v>
      </c>
      <c r="G2541" s="223" t="str">
        <f>VLOOKUP($B2541,'FRS geographical categories'!$A$2:$C$45,2,FALSE)</f>
        <v>Significantly Rural</v>
      </c>
      <c r="H2541" s="223" t="str">
        <f>VLOOKUP($B2541,'FRS geographical categories'!$A$2:$C$45,3,FALSE)</f>
        <v>Non-metropolitan</v>
      </c>
      <c r="I2541" s="224">
        <v>0</v>
      </c>
    </row>
    <row r="2542" spans="1:9" ht="15.5" x14ac:dyDescent="0.35">
      <c r="A2542" s="224" t="s">
        <v>81</v>
      </c>
      <c r="B2542" s="224" t="s">
        <v>24</v>
      </c>
      <c r="C2542" s="224" t="s">
        <v>86</v>
      </c>
      <c r="D2542" s="224" t="s">
        <v>9</v>
      </c>
      <c r="E2542" s="224" t="s">
        <v>256</v>
      </c>
      <c r="F2542" s="224" t="s">
        <v>248</v>
      </c>
      <c r="G2542" s="223" t="str">
        <f>VLOOKUP($B2542,'FRS geographical categories'!$A$2:$C$45,2,FALSE)</f>
        <v>Significantly Rural</v>
      </c>
      <c r="H2542" s="223" t="str">
        <f>VLOOKUP($B2542,'FRS geographical categories'!$A$2:$C$45,3,FALSE)</f>
        <v>Non-metropolitan</v>
      </c>
      <c r="I2542" s="224">
        <v>448</v>
      </c>
    </row>
    <row r="2543" spans="1:9" ht="15.5" x14ac:dyDescent="0.35">
      <c r="A2543" s="224" t="s">
        <v>81</v>
      </c>
      <c r="B2543" s="224" t="s">
        <v>24</v>
      </c>
      <c r="C2543" s="224" t="s">
        <v>86</v>
      </c>
      <c r="D2543" s="224" t="s">
        <v>9</v>
      </c>
      <c r="E2543" s="224" t="s">
        <v>256</v>
      </c>
      <c r="F2543" s="224" t="s">
        <v>249</v>
      </c>
      <c r="G2543" s="223" t="str">
        <f>VLOOKUP($B2543,'FRS geographical categories'!$A$2:$C$45,2,FALSE)</f>
        <v>Significantly Rural</v>
      </c>
      <c r="H2543" s="223" t="str">
        <f>VLOOKUP($B2543,'FRS geographical categories'!$A$2:$C$45,3,FALSE)</f>
        <v>Non-metropolitan</v>
      </c>
      <c r="I2543" s="224">
        <v>2533</v>
      </c>
    </row>
    <row r="2544" spans="1:9" ht="15.5" x14ac:dyDescent="0.35">
      <c r="A2544" s="224" t="s">
        <v>81</v>
      </c>
      <c r="B2544" s="224" t="s">
        <v>24</v>
      </c>
      <c r="C2544" s="224" t="s">
        <v>86</v>
      </c>
      <c r="D2544" s="224" t="s">
        <v>9</v>
      </c>
      <c r="E2544" s="224" t="s">
        <v>256</v>
      </c>
      <c r="F2544" s="224" t="s">
        <v>250</v>
      </c>
      <c r="G2544" s="223" t="str">
        <f>VLOOKUP($B2544,'FRS geographical categories'!$A$2:$C$45,2,FALSE)</f>
        <v>Significantly Rural</v>
      </c>
      <c r="H2544" s="223" t="str">
        <f>VLOOKUP($B2544,'FRS geographical categories'!$A$2:$C$45,3,FALSE)</f>
        <v>Non-metropolitan</v>
      </c>
      <c r="I2544" s="224">
        <v>2636</v>
      </c>
    </row>
    <row r="2545" spans="1:9" ht="15.5" x14ac:dyDescent="0.35">
      <c r="A2545" s="224" t="s">
        <v>81</v>
      </c>
      <c r="B2545" s="224" t="s">
        <v>24</v>
      </c>
      <c r="C2545" s="224" t="s">
        <v>86</v>
      </c>
      <c r="D2545" s="224" t="s">
        <v>9</v>
      </c>
      <c r="E2545" s="224" t="s">
        <v>256</v>
      </c>
      <c r="F2545" s="224" t="s">
        <v>111</v>
      </c>
      <c r="G2545" s="223" t="str">
        <f>VLOOKUP($B2545,'FRS geographical categories'!$A$2:$C$45,2,FALSE)</f>
        <v>Significantly Rural</v>
      </c>
      <c r="H2545" s="223" t="str">
        <f>VLOOKUP($B2545,'FRS geographical categories'!$A$2:$C$45,3,FALSE)</f>
        <v>Non-metropolitan</v>
      </c>
      <c r="I2545" s="224">
        <v>6516</v>
      </c>
    </row>
    <row r="2546" spans="1:9" ht="15.5" x14ac:dyDescent="0.35">
      <c r="A2546" s="224" t="s">
        <v>81</v>
      </c>
      <c r="B2546" s="224" t="s">
        <v>24</v>
      </c>
      <c r="C2546" s="224" t="s">
        <v>86</v>
      </c>
      <c r="D2546" s="224" t="s">
        <v>9</v>
      </c>
      <c r="E2546" s="224" t="s">
        <v>256</v>
      </c>
      <c r="F2546" s="224" t="s">
        <v>10</v>
      </c>
      <c r="G2546" s="223" t="str">
        <f>VLOOKUP($B2546,'FRS geographical categories'!$A$2:$C$45,2,FALSE)</f>
        <v>Significantly Rural</v>
      </c>
      <c r="H2546" s="223" t="str">
        <f>VLOOKUP($B2546,'FRS geographical categories'!$A$2:$C$45,3,FALSE)</f>
        <v>Non-metropolitan</v>
      </c>
      <c r="I2546" s="224">
        <v>8127</v>
      </c>
    </row>
    <row r="2547" spans="1:9" ht="15.5" x14ac:dyDescent="0.35">
      <c r="A2547" s="224" t="s">
        <v>81</v>
      </c>
      <c r="B2547" s="224" t="s">
        <v>24</v>
      </c>
      <c r="C2547" s="224" t="s">
        <v>86</v>
      </c>
      <c r="D2547" s="224" t="s">
        <v>55</v>
      </c>
      <c r="E2547" s="224" t="s">
        <v>256</v>
      </c>
      <c r="F2547" s="224" t="s">
        <v>248</v>
      </c>
      <c r="G2547" s="223" t="str">
        <f>VLOOKUP($B2547,'FRS geographical categories'!$A$2:$C$45,2,FALSE)</f>
        <v>Significantly Rural</v>
      </c>
      <c r="H2547" s="223" t="str">
        <f>VLOOKUP($B2547,'FRS geographical categories'!$A$2:$C$45,3,FALSE)</f>
        <v>Non-metropolitan</v>
      </c>
      <c r="I2547" s="224">
        <v>0</v>
      </c>
    </row>
    <row r="2548" spans="1:9" ht="15.5" x14ac:dyDescent="0.35">
      <c r="A2548" s="224" t="s">
        <v>81</v>
      </c>
      <c r="B2548" s="224" t="s">
        <v>24</v>
      </c>
      <c r="C2548" s="224" t="s">
        <v>86</v>
      </c>
      <c r="D2548" s="224" t="s">
        <v>55</v>
      </c>
      <c r="E2548" s="224" t="s">
        <v>256</v>
      </c>
      <c r="F2548" s="224" t="s">
        <v>249</v>
      </c>
      <c r="G2548" s="223" t="str">
        <f>VLOOKUP($B2548,'FRS geographical categories'!$A$2:$C$45,2,FALSE)</f>
        <v>Significantly Rural</v>
      </c>
      <c r="H2548" s="223" t="str">
        <f>VLOOKUP($B2548,'FRS geographical categories'!$A$2:$C$45,3,FALSE)</f>
        <v>Non-metropolitan</v>
      </c>
      <c r="I2548" s="224">
        <v>0</v>
      </c>
    </row>
    <row r="2549" spans="1:9" ht="15.5" x14ac:dyDescent="0.35">
      <c r="A2549" s="224" t="s">
        <v>81</v>
      </c>
      <c r="B2549" s="224" t="s">
        <v>24</v>
      </c>
      <c r="C2549" s="224" t="s">
        <v>86</v>
      </c>
      <c r="D2549" s="224" t="s">
        <v>55</v>
      </c>
      <c r="E2549" s="224" t="s">
        <v>256</v>
      </c>
      <c r="F2549" s="224" t="s">
        <v>250</v>
      </c>
      <c r="G2549" s="223" t="str">
        <f>VLOOKUP($B2549,'FRS geographical categories'!$A$2:$C$45,2,FALSE)</f>
        <v>Significantly Rural</v>
      </c>
      <c r="H2549" s="223" t="str">
        <f>VLOOKUP($B2549,'FRS geographical categories'!$A$2:$C$45,3,FALSE)</f>
        <v>Non-metropolitan</v>
      </c>
      <c r="I2549" s="224">
        <v>0</v>
      </c>
    </row>
    <row r="2550" spans="1:9" ht="15.5" x14ac:dyDescent="0.35">
      <c r="A2550" s="224" t="s">
        <v>81</v>
      </c>
      <c r="B2550" s="224" t="s">
        <v>24</v>
      </c>
      <c r="C2550" s="224" t="s">
        <v>86</v>
      </c>
      <c r="D2550" s="224" t="s">
        <v>55</v>
      </c>
      <c r="E2550" s="224" t="s">
        <v>256</v>
      </c>
      <c r="F2550" s="224" t="s">
        <v>111</v>
      </c>
      <c r="G2550" s="223" t="str">
        <f>VLOOKUP($B2550,'FRS geographical categories'!$A$2:$C$45,2,FALSE)</f>
        <v>Significantly Rural</v>
      </c>
      <c r="H2550" s="223" t="str">
        <f>VLOOKUP($B2550,'FRS geographical categories'!$A$2:$C$45,3,FALSE)</f>
        <v>Non-metropolitan</v>
      </c>
      <c r="I2550" s="224">
        <v>0</v>
      </c>
    </row>
    <row r="2551" spans="1:9" ht="15.5" x14ac:dyDescent="0.35">
      <c r="A2551" s="224" t="s">
        <v>81</v>
      </c>
      <c r="B2551" s="224" t="s">
        <v>24</v>
      </c>
      <c r="C2551" s="224" t="s">
        <v>86</v>
      </c>
      <c r="D2551" s="224" t="s">
        <v>55</v>
      </c>
      <c r="E2551" s="224" t="s">
        <v>256</v>
      </c>
      <c r="F2551" s="224" t="s">
        <v>10</v>
      </c>
      <c r="G2551" s="223" t="str">
        <f>VLOOKUP($B2551,'FRS geographical categories'!$A$2:$C$45,2,FALSE)</f>
        <v>Significantly Rural</v>
      </c>
      <c r="H2551" s="223" t="str">
        <f>VLOOKUP($B2551,'FRS geographical categories'!$A$2:$C$45,3,FALSE)</f>
        <v>Non-metropolitan</v>
      </c>
      <c r="I2551" s="224">
        <v>0</v>
      </c>
    </row>
    <row r="2552" spans="1:9" ht="15.5" x14ac:dyDescent="0.35">
      <c r="A2552" s="224" t="s">
        <v>81</v>
      </c>
      <c r="B2552" s="224" t="s">
        <v>24</v>
      </c>
      <c r="C2552" s="224" t="s">
        <v>89</v>
      </c>
      <c r="D2552" s="224" t="s">
        <v>9</v>
      </c>
      <c r="E2552" s="224" t="s">
        <v>256</v>
      </c>
      <c r="F2552" s="224" t="s">
        <v>248</v>
      </c>
      <c r="G2552" s="223" t="str">
        <f>VLOOKUP($B2552,'FRS geographical categories'!$A$2:$C$45,2,FALSE)</f>
        <v>Significantly Rural</v>
      </c>
      <c r="H2552" s="223" t="str">
        <f>VLOOKUP($B2552,'FRS geographical categories'!$A$2:$C$45,3,FALSE)</f>
        <v>Non-metropolitan</v>
      </c>
      <c r="I2552" s="224">
        <v>0</v>
      </c>
    </row>
    <row r="2553" spans="1:9" ht="15.5" x14ac:dyDescent="0.35">
      <c r="A2553" s="224" t="s">
        <v>81</v>
      </c>
      <c r="B2553" s="224" t="s">
        <v>24</v>
      </c>
      <c r="C2553" s="224" t="s">
        <v>89</v>
      </c>
      <c r="D2553" s="224" t="s">
        <v>9</v>
      </c>
      <c r="E2553" s="224" t="s">
        <v>256</v>
      </c>
      <c r="F2553" s="224" t="s">
        <v>249</v>
      </c>
      <c r="G2553" s="223" t="str">
        <f>VLOOKUP($B2553,'FRS geographical categories'!$A$2:$C$45,2,FALSE)</f>
        <v>Significantly Rural</v>
      </c>
      <c r="H2553" s="223" t="str">
        <f>VLOOKUP($B2553,'FRS geographical categories'!$A$2:$C$45,3,FALSE)</f>
        <v>Non-metropolitan</v>
      </c>
      <c r="I2553" s="224">
        <v>0</v>
      </c>
    </row>
    <row r="2554" spans="1:9" ht="15.5" x14ac:dyDescent="0.35">
      <c r="A2554" s="224" t="s">
        <v>81</v>
      </c>
      <c r="B2554" s="224" t="s">
        <v>24</v>
      </c>
      <c r="C2554" s="224" t="s">
        <v>89</v>
      </c>
      <c r="D2554" s="224" t="s">
        <v>9</v>
      </c>
      <c r="E2554" s="224" t="s">
        <v>256</v>
      </c>
      <c r="F2554" s="224" t="s">
        <v>250</v>
      </c>
      <c r="G2554" s="223" t="str">
        <f>VLOOKUP($B2554,'FRS geographical categories'!$A$2:$C$45,2,FALSE)</f>
        <v>Significantly Rural</v>
      </c>
      <c r="H2554" s="223" t="str">
        <f>VLOOKUP($B2554,'FRS geographical categories'!$A$2:$C$45,3,FALSE)</f>
        <v>Non-metropolitan</v>
      </c>
      <c r="I2554" s="224">
        <v>0</v>
      </c>
    </row>
    <row r="2555" spans="1:9" ht="15.5" x14ac:dyDescent="0.35">
      <c r="A2555" s="224" t="s">
        <v>81</v>
      </c>
      <c r="B2555" s="224" t="s">
        <v>24</v>
      </c>
      <c r="C2555" s="224" t="s">
        <v>89</v>
      </c>
      <c r="D2555" s="224" t="s">
        <v>9</v>
      </c>
      <c r="E2555" s="224" t="s">
        <v>256</v>
      </c>
      <c r="F2555" s="224" t="s">
        <v>10</v>
      </c>
      <c r="G2555" s="223" t="str">
        <f>VLOOKUP($B2555,'FRS geographical categories'!$A$2:$C$45,2,FALSE)</f>
        <v>Significantly Rural</v>
      </c>
      <c r="H2555" s="223" t="str">
        <f>VLOOKUP($B2555,'FRS geographical categories'!$A$2:$C$45,3,FALSE)</f>
        <v>Non-metropolitan</v>
      </c>
      <c r="I2555" s="224">
        <v>0</v>
      </c>
    </row>
    <row r="2556" spans="1:9" ht="15.5" x14ac:dyDescent="0.35">
      <c r="A2556" s="224" t="s">
        <v>81</v>
      </c>
      <c r="B2556" s="224" t="s">
        <v>24</v>
      </c>
      <c r="C2556" s="224" t="s">
        <v>89</v>
      </c>
      <c r="D2556" s="224" t="s">
        <v>55</v>
      </c>
      <c r="E2556" s="224" t="s">
        <v>256</v>
      </c>
      <c r="F2556" s="224" t="s">
        <v>248</v>
      </c>
      <c r="G2556" s="223" t="str">
        <f>VLOOKUP($B2556,'FRS geographical categories'!$A$2:$C$45,2,FALSE)</f>
        <v>Significantly Rural</v>
      </c>
      <c r="H2556" s="223" t="str">
        <f>VLOOKUP($B2556,'FRS geographical categories'!$A$2:$C$45,3,FALSE)</f>
        <v>Non-metropolitan</v>
      </c>
      <c r="I2556" s="224">
        <v>0</v>
      </c>
    </row>
    <row r="2557" spans="1:9" ht="15.5" x14ac:dyDescent="0.35">
      <c r="A2557" s="224" t="s">
        <v>81</v>
      </c>
      <c r="B2557" s="224" t="s">
        <v>24</v>
      </c>
      <c r="C2557" s="224" t="s">
        <v>89</v>
      </c>
      <c r="D2557" s="224" t="s">
        <v>55</v>
      </c>
      <c r="E2557" s="224" t="s">
        <v>256</v>
      </c>
      <c r="F2557" s="224" t="s">
        <v>249</v>
      </c>
      <c r="G2557" s="223" t="str">
        <f>VLOOKUP($B2557,'FRS geographical categories'!$A$2:$C$45,2,FALSE)</f>
        <v>Significantly Rural</v>
      </c>
      <c r="H2557" s="223" t="str">
        <f>VLOOKUP($B2557,'FRS geographical categories'!$A$2:$C$45,3,FALSE)</f>
        <v>Non-metropolitan</v>
      </c>
      <c r="I2557" s="224">
        <v>0</v>
      </c>
    </row>
    <row r="2558" spans="1:9" ht="15.5" x14ac:dyDescent="0.35">
      <c r="A2558" s="224" t="s">
        <v>81</v>
      </c>
      <c r="B2558" s="224" t="s">
        <v>24</v>
      </c>
      <c r="C2558" s="224" t="s">
        <v>89</v>
      </c>
      <c r="D2558" s="224" t="s">
        <v>55</v>
      </c>
      <c r="E2558" s="224" t="s">
        <v>256</v>
      </c>
      <c r="F2558" s="224" t="s">
        <v>250</v>
      </c>
      <c r="G2558" s="223" t="str">
        <f>VLOOKUP($B2558,'FRS geographical categories'!$A$2:$C$45,2,FALSE)</f>
        <v>Significantly Rural</v>
      </c>
      <c r="H2558" s="223" t="str">
        <f>VLOOKUP($B2558,'FRS geographical categories'!$A$2:$C$45,3,FALSE)</f>
        <v>Non-metropolitan</v>
      </c>
      <c r="I2558" s="224">
        <v>0</v>
      </c>
    </row>
    <row r="2559" spans="1:9" ht="15.5" x14ac:dyDescent="0.35">
      <c r="A2559" s="224" t="s">
        <v>81</v>
      </c>
      <c r="B2559" s="224" t="s">
        <v>24</v>
      </c>
      <c r="C2559" s="224" t="s">
        <v>89</v>
      </c>
      <c r="D2559" s="224" t="s">
        <v>55</v>
      </c>
      <c r="E2559" s="224" t="s">
        <v>256</v>
      </c>
      <c r="F2559" s="224" t="s">
        <v>10</v>
      </c>
      <c r="G2559" s="223" t="str">
        <f>VLOOKUP($B2559,'FRS geographical categories'!$A$2:$C$45,2,FALSE)</f>
        <v>Significantly Rural</v>
      </c>
      <c r="H2559" s="223" t="str">
        <f>VLOOKUP($B2559,'FRS geographical categories'!$A$2:$C$45,3,FALSE)</f>
        <v>Non-metropolitan</v>
      </c>
      <c r="I2559" s="224">
        <v>0</v>
      </c>
    </row>
    <row r="2560" spans="1:9" ht="15.5" x14ac:dyDescent="0.35">
      <c r="A2560" s="224" t="s">
        <v>81</v>
      </c>
      <c r="B2560" s="224" t="s">
        <v>25</v>
      </c>
      <c r="C2560" s="224" t="s">
        <v>86</v>
      </c>
      <c r="D2560" s="224" t="s">
        <v>9</v>
      </c>
      <c r="E2560" s="224" t="s">
        <v>256</v>
      </c>
      <c r="F2560" s="224" t="s">
        <v>248</v>
      </c>
      <c r="G2560" s="223" t="str">
        <f>VLOOKUP($B2560,'FRS geographical categories'!$A$2:$C$45,2,FALSE)</f>
        <v>Significantly Rural</v>
      </c>
      <c r="H2560" s="223" t="str">
        <f>VLOOKUP($B2560,'FRS geographical categories'!$A$2:$C$45,3,FALSE)</f>
        <v>Non-metropolitan</v>
      </c>
      <c r="I2560" s="224">
        <v>420</v>
      </c>
    </row>
    <row r="2561" spans="1:9" ht="15.5" x14ac:dyDescent="0.35">
      <c r="A2561" s="224" t="s">
        <v>81</v>
      </c>
      <c r="B2561" s="224" t="s">
        <v>25</v>
      </c>
      <c r="C2561" s="224" t="s">
        <v>86</v>
      </c>
      <c r="D2561" s="224" t="s">
        <v>9</v>
      </c>
      <c r="E2561" s="224" t="s">
        <v>256</v>
      </c>
      <c r="F2561" s="224" t="s">
        <v>249</v>
      </c>
      <c r="G2561" s="223" t="str">
        <f>VLOOKUP($B2561,'FRS geographical categories'!$A$2:$C$45,2,FALSE)</f>
        <v>Significantly Rural</v>
      </c>
      <c r="H2561" s="223" t="str">
        <f>VLOOKUP($B2561,'FRS geographical categories'!$A$2:$C$45,3,FALSE)</f>
        <v>Non-metropolitan</v>
      </c>
      <c r="I2561" s="224">
        <v>1785</v>
      </c>
    </row>
    <row r="2562" spans="1:9" ht="15.5" x14ac:dyDescent="0.35">
      <c r="A2562" s="224" t="s">
        <v>81</v>
      </c>
      <c r="B2562" s="224" t="s">
        <v>25</v>
      </c>
      <c r="C2562" s="224" t="s">
        <v>86</v>
      </c>
      <c r="D2562" s="224" t="s">
        <v>9</v>
      </c>
      <c r="E2562" s="224" t="s">
        <v>256</v>
      </c>
      <c r="F2562" s="224" t="s">
        <v>250</v>
      </c>
      <c r="G2562" s="223" t="str">
        <f>VLOOKUP($B2562,'FRS geographical categories'!$A$2:$C$45,2,FALSE)</f>
        <v>Significantly Rural</v>
      </c>
      <c r="H2562" s="223" t="str">
        <f>VLOOKUP($B2562,'FRS geographical categories'!$A$2:$C$45,3,FALSE)</f>
        <v>Non-metropolitan</v>
      </c>
      <c r="I2562" s="224">
        <v>510</v>
      </c>
    </row>
    <row r="2563" spans="1:9" ht="15.5" x14ac:dyDescent="0.35">
      <c r="A2563" s="224" t="s">
        <v>81</v>
      </c>
      <c r="B2563" s="224" t="s">
        <v>25</v>
      </c>
      <c r="C2563" s="224" t="s">
        <v>86</v>
      </c>
      <c r="D2563" s="224" t="s">
        <v>9</v>
      </c>
      <c r="E2563" s="224" t="s">
        <v>256</v>
      </c>
      <c r="F2563" s="224" t="s">
        <v>111</v>
      </c>
      <c r="G2563" s="223" t="str">
        <f>VLOOKUP($B2563,'FRS geographical categories'!$A$2:$C$45,2,FALSE)</f>
        <v>Significantly Rural</v>
      </c>
      <c r="H2563" s="223" t="str">
        <f>VLOOKUP($B2563,'FRS geographical categories'!$A$2:$C$45,3,FALSE)</f>
        <v>Non-metropolitan</v>
      </c>
      <c r="I2563" s="224">
        <v>2987</v>
      </c>
    </row>
    <row r="2564" spans="1:9" ht="15.5" x14ac:dyDescent="0.35">
      <c r="A2564" s="224" t="s">
        <v>81</v>
      </c>
      <c r="B2564" s="224" t="s">
        <v>25</v>
      </c>
      <c r="C2564" s="224" t="s">
        <v>86</v>
      </c>
      <c r="D2564" s="224" t="s">
        <v>9</v>
      </c>
      <c r="E2564" s="224" t="s">
        <v>256</v>
      </c>
      <c r="F2564" s="224" t="s">
        <v>10</v>
      </c>
      <c r="G2564" s="223" t="str">
        <f>VLOOKUP($B2564,'FRS geographical categories'!$A$2:$C$45,2,FALSE)</f>
        <v>Significantly Rural</v>
      </c>
      <c r="H2564" s="223" t="str">
        <f>VLOOKUP($B2564,'FRS geographical categories'!$A$2:$C$45,3,FALSE)</f>
        <v>Non-metropolitan</v>
      </c>
      <c r="I2564" s="224">
        <v>3265</v>
      </c>
    </row>
    <row r="2565" spans="1:9" ht="15.5" x14ac:dyDescent="0.35">
      <c r="A2565" s="224" t="s">
        <v>81</v>
      </c>
      <c r="B2565" s="224" t="s">
        <v>25</v>
      </c>
      <c r="C2565" s="224" t="s">
        <v>86</v>
      </c>
      <c r="D2565" s="224" t="s">
        <v>55</v>
      </c>
      <c r="E2565" s="224" t="s">
        <v>256</v>
      </c>
      <c r="F2565" s="224" t="s">
        <v>248</v>
      </c>
      <c r="G2565" s="223" t="str">
        <f>VLOOKUP($B2565,'FRS geographical categories'!$A$2:$C$45,2,FALSE)</f>
        <v>Significantly Rural</v>
      </c>
      <c r="H2565" s="223" t="str">
        <f>VLOOKUP($B2565,'FRS geographical categories'!$A$2:$C$45,3,FALSE)</f>
        <v>Non-metropolitan</v>
      </c>
      <c r="I2565" s="224">
        <v>4</v>
      </c>
    </row>
    <row r="2566" spans="1:9" ht="15.5" x14ac:dyDescent="0.35">
      <c r="A2566" s="224" t="s">
        <v>81</v>
      </c>
      <c r="B2566" s="224" t="s">
        <v>25</v>
      </c>
      <c r="C2566" s="224" t="s">
        <v>86</v>
      </c>
      <c r="D2566" s="224" t="s">
        <v>55</v>
      </c>
      <c r="E2566" s="224" t="s">
        <v>256</v>
      </c>
      <c r="F2566" s="224" t="s">
        <v>249</v>
      </c>
      <c r="G2566" s="223" t="str">
        <f>VLOOKUP($B2566,'FRS geographical categories'!$A$2:$C$45,2,FALSE)</f>
        <v>Significantly Rural</v>
      </c>
      <c r="H2566" s="223" t="str">
        <f>VLOOKUP($B2566,'FRS geographical categories'!$A$2:$C$45,3,FALSE)</f>
        <v>Non-metropolitan</v>
      </c>
      <c r="I2566" s="224">
        <v>2</v>
      </c>
    </row>
    <row r="2567" spans="1:9" ht="15.5" x14ac:dyDescent="0.35">
      <c r="A2567" s="224" t="s">
        <v>81</v>
      </c>
      <c r="B2567" s="224" t="s">
        <v>25</v>
      </c>
      <c r="C2567" s="224" t="s">
        <v>86</v>
      </c>
      <c r="D2567" s="224" t="s">
        <v>55</v>
      </c>
      <c r="E2567" s="224" t="s">
        <v>256</v>
      </c>
      <c r="F2567" s="224" t="s">
        <v>250</v>
      </c>
      <c r="G2567" s="223" t="str">
        <f>VLOOKUP($B2567,'FRS geographical categories'!$A$2:$C$45,2,FALSE)</f>
        <v>Significantly Rural</v>
      </c>
      <c r="H2567" s="223" t="str">
        <f>VLOOKUP($B2567,'FRS geographical categories'!$A$2:$C$45,3,FALSE)</f>
        <v>Non-metropolitan</v>
      </c>
      <c r="I2567" s="224">
        <v>0</v>
      </c>
    </row>
    <row r="2568" spans="1:9" ht="15.5" x14ac:dyDescent="0.35">
      <c r="A2568" s="224" t="s">
        <v>81</v>
      </c>
      <c r="B2568" s="224" t="s">
        <v>25</v>
      </c>
      <c r="C2568" s="224" t="s">
        <v>86</v>
      </c>
      <c r="D2568" s="224" t="s">
        <v>55</v>
      </c>
      <c r="E2568" s="224" t="s">
        <v>256</v>
      </c>
      <c r="F2568" s="224" t="s">
        <v>111</v>
      </c>
      <c r="G2568" s="223" t="str">
        <f>VLOOKUP($B2568,'FRS geographical categories'!$A$2:$C$45,2,FALSE)</f>
        <v>Significantly Rural</v>
      </c>
      <c r="H2568" s="223" t="str">
        <f>VLOOKUP($B2568,'FRS geographical categories'!$A$2:$C$45,3,FALSE)</f>
        <v>Non-metropolitan</v>
      </c>
      <c r="I2568" s="224">
        <v>26</v>
      </c>
    </row>
    <row r="2569" spans="1:9" ht="15.5" x14ac:dyDescent="0.35">
      <c r="A2569" s="224" t="s">
        <v>81</v>
      </c>
      <c r="B2569" s="224" t="s">
        <v>25</v>
      </c>
      <c r="C2569" s="224" t="s">
        <v>86</v>
      </c>
      <c r="D2569" s="224" t="s">
        <v>55</v>
      </c>
      <c r="E2569" s="224" t="s">
        <v>256</v>
      </c>
      <c r="F2569" s="224" t="s">
        <v>10</v>
      </c>
      <c r="G2569" s="223" t="str">
        <f>VLOOKUP($B2569,'FRS geographical categories'!$A$2:$C$45,2,FALSE)</f>
        <v>Significantly Rural</v>
      </c>
      <c r="H2569" s="223" t="str">
        <f>VLOOKUP($B2569,'FRS geographical categories'!$A$2:$C$45,3,FALSE)</f>
        <v>Non-metropolitan</v>
      </c>
      <c r="I2569" s="224">
        <v>81</v>
      </c>
    </row>
    <row r="2570" spans="1:9" ht="15.5" x14ac:dyDescent="0.35">
      <c r="A2570" s="224" t="s">
        <v>81</v>
      </c>
      <c r="B2570" s="224" t="s">
        <v>25</v>
      </c>
      <c r="C2570" s="224" t="s">
        <v>89</v>
      </c>
      <c r="D2570" s="224" t="s">
        <v>9</v>
      </c>
      <c r="E2570" s="224" t="s">
        <v>256</v>
      </c>
      <c r="F2570" s="224" t="s">
        <v>248</v>
      </c>
      <c r="G2570" s="223" t="str">
        <f>VLOOKUP($B2570,'FRS geographical categories'!$A$2:$C$45,2,FALSE)</f>
        <v>Significantly Rural</v>
      </c>
      <c r="H2570" s="223" t="str">
        <f>VLOOKUP($B2570,'FRS geographical categories'!$A$2:$C$45,3,FALSE)</f>
        <v>Non-metropolitan</v>
      </c>
      <c r="I2570" s="224">
        <v>0</v>
      </c>
    </row>
    <row r="2571" spans="1:9" ht="15.5" x14ac:dyDescent="0.35">
      <c r="A2571" s="224" t="s">
        <v>81</v>
      </c>
      <c r="B2571" s="224" t="s">
        <v>25</v>
      </c>
      <c r="C2571" s="224" t="s">
        <v>89</v>
      </c>
      <c r="D2571" s="224" t="s">
        <v>9</v>
      </c>
      <c r="E2571" s="224" t="s">
        <v>256</v>
      </c>
      <c r="F2571" s="224" t="s">
        <v>249</v>
      </c>
      <c r="G2571" s="223" t="str">
        <f>VLOOKUP($B2571,'FRS geographical categories'!$A$2:$C$45,2,FALSE)</f>
        <v>Significantly Rural</v>
      </c>
      <c r="H2571" s="223" t="str">
        <f>VLOOKUP($B2571,'FRS geographical categories'!$A$2:$C$45,3,FALSE)</f>
        <v>Non-metropolitan</v>
      </c>
      <c r="I2571" s="224">
        <v>0</v>
      </c>
    </row>
    <row r="2572" spans="1:9" ht="15.5" x14ac:dyDescent="0.35">
      <c r="A2572" s="224" t="s">
        <v>81</v>
      </c>
      <c r="B2572" s="224" t="s">
        <v>25</v>
      </c>
      <c r="C2572" s="224" t="s">
        <v>89</v>
      </c>
      <c r="D2572" s="224" t="s">
        <v>9</v>
      </c>
      <c r="E2572" s="224" t="s">
        <v>256</v>
      </c>
      <c r="F2572" s="224" t="s">
        <v>250</v>
      </c>
      <c r="G2572" s="223" t="str">
        <f>VLOOKUP($B2572,'FRS geographical categories'!$A$2:$C$45,2,FALSE)</f>
        <v>Significantly Rural</v>
      </c>
      <c r="H2572" s="223" t="str">
        <f>VLOOKUP($B2572,'FRS geographical categories'!$A$2:$C$45,3,FALSE)</f>
        <v>Non-metropolitan</v>
      </c>
      <c r="I2572" s="224">
        <v>0</v>
      </c>
    </row>
    <row r="2573" spans="1:9" ht="15.5" x14ac:dyDescent="0.35">
      <c r="A2573" s="224" t="s">
        <v>81</v>
      </c>
      <c r="B2573" s="224" t="s">
        <v>25</v>
      </c>
      <c r="C2573" s="224" t="s">
        <v>89</v>
      </c>
      <c r="D2573" s="224" t="s">
        <v>9</v>
      </c>
      <c r="E2573" s="224" t="s">
        <v>256</v>
      </c>
      <c r="F2573" s="224" t="s">
        <v>10</v>
      </c>
      <c r="G2573" s="223" t="str">
        <f>VLOOKUP($B2573,'FRS geographical categories'!$A$2:$C$45,2,FALSE)</f>
        <v>Significantly Rural</v>
      </c>
      <c r="H2573" s="223" t="str">
        <f>VLOOKUP($B2573,'FRS geographical categories'!$A$2:$C$45,3,FALSE)</f>
        <v>Non-metropolitan</v>
      </c>
      <c r="I2573" s="224">
        <v>0</v>
      </c>
    </row>
    <row r="2574" spans="1:9" ht="15.5" x14ac:dyDescent="0.35">
      <c r="A2574" s="224" t="s">
        <v>81</v>
      </c>
      <c r="B2574" s="224" t="s">
        <v>25</v>
      </c>
      <c r="C2574" s="224" t="s">
        <v>89</v>
      </c>
      <c r="D2574" s="224" t="s">
        <v>55</v>
      </c>
      <c r="E2574" s="224" t="s">
        <v>256</v>
      </c>
      <c r="F2574" s="224" t="s">
        <v>248</v>
      </c>
      <c r="G2574" s="223" t="str">
        <f>VLOOKUP($B2574,'FRS geographical categories'!$A$2:$C$45,2,FALSE)</f>
        <v>Significantly Rural</v>
      </c>
      <c r="H2574" s="223" t="str">
        <f>VLOOKUP($B2574,'FRS geographical categories'!$A$2:$C$45,3,FALSE)</f>
        <v>Non-metropolitan</v>
      </c>
      <c r="I2574" s="224">
        <v>0</v>
      </c>
    </row>
    <row r="2575" spans="1:9" ht="15.5" x14ac:dyDescent="0.35">
      <c r="A2575" s="224" t="s">
        <v>81</v>
      </c>
      <c r="B2575" s="224" t="s">
        <v>25</v>
      </c>
      <c r="C2575" s="224" t="s">
        <v>89</v>
      </c>
      <c r="D2575" s="224" t="s">
        <v>55</v>
      </c>
      <c r="E2575" s="224" t="s">
        <v>256</v>
      </c>
      <c r="F2575" s="224" t="s">
        <v>249</v>
      </c>
      <c r="G2575" s="223" t="str">
        <f>VLOOKUP($B2575,'FRS geographical categories'!$A$2:$C$45,2,FALSE)</f>
        <v>Significantly Rural</v>
      </c>
      <c r="H2575" s="223" t="str">
        <f>VLOOKUP($B2575,'FRS geographical categories'!$A$2:$C$45,3,FALSE)</f>
        <v>Non-metropolitan</v>
      </c>
      <c r="I2575" s="224">
        <v>0</v>
      </c>
    </row>
    <row r="2576" spans="1:9" ht="15.5" x14ac:dyDescent="0.35">
      <c r="A2576" s="224" t="s">
        <v>81</v>
      </c>
      <c r="B2576" s="224" t="s">
        <v>25</v>
      </c>
      <c r="C2576" s="224" t="s">
        <v>89</v>
      </c>
      <c r="D2576" s="224" t="s">
        <v>55</v>
      </c>
      <c r="E2576" s="224" t="s">
        <v>256</v>
      </c>
      <c r="F2576" s="224" t="s">
        <v>250</v>
      </c>
      <c r="G2576" s="223" t="str">
        <f>VLOOKUP($B2576,'FRS geographical categories'!$A$2:$C$45,2,FALSE)</f>
        <v>Significantly Rural</v>
      </c>
      <c r="H2576" s="223" t="str">
        <f>VLOOKUP($B2576,'FRS geographical categories'!$A$2:$C$45,3,FALSE)</f>
        <v>Non-metropolitan</v>
      </c>
      <c r="I2576" s="224">
        <v>0</v>
      </c>
    </row>
    <row r="2577" spans="1:9" ht="15.5" x14ac:dyDescent="0.35">
      <c r="A2577" s="224" t="s">
        <v>81</v>
      </c>
      <c r="B2577" s="224" t="s">
        <v>25</v>
      </c>
      <c r="C2577" s="224" t="s">
        <v>89</v>
      </c>
      <c r="D2577" s="224" t="s">
        <v>55</v>
      </c>
      <c r="E2577" s="224" t="s">
        <v>256</v>
      </c>
      <c r="F2577" s="224" t="s">
        <v>10</v>
      </c>
      <c r="G2577" s="223" t="str">
        <f>VLOOKUP($B2577,'FRS geographical categories'!$A$2:$C$45,2,FALSE)</f>
        <v>Significantly Rural</v>
      </c>
      <c r="H2577" s="223" t="str">
        <f>VLOOKUP($B2577,'FRS geographical categories'!$A$2:$C$45,3,FALSE)</f>
        <v>Non-metropolitan</v>
      </c>
      <c r="I2577" s="224">
        <v>0</v>
      </c>
    </row>
    <row r="2578" spans="1:9" ht="15.5" x14ac:dyDescent="0.35">
      <c r="A2578" s="224" t="s">
        <v>81</v>
      </c>
      <c r="B2578" s="224" t="s">
        <v>26</v>
      </c>
      <c r="C2578" s="224" t="s">
        <v>86</v>
      </c>
      <c r="D2578" s="224" t="s">
        <v>9</v>
      </c>
      <c r="E2578" s="224" t="s">
        <v>256</v>
      </c>
      <c r="F2578" s="224" t="s">
        <v>248</v>
      </c>
      <c r="G2578" s="223" t="str">
        <f>VLOOKUP($B2578,'FRS geographical categories'!$A$2:$C$45,2,FALSE)</f>
        <v>Predominantly Urban</v>
      </c>
      <c r="H2578" s="223" t="str">
        <f>VLOOKUP($B2578,'FRS geographical categories'!$A$2:$C$45,3,FALSE)</f>
        <v>Metropolitan</v>
      </c>
      <c r="I2578" s="224">
        <v>3984</v>
      </c>
    </row>
    <row r="2579" spans="1:9" ht="15.5" x14ac:dyDescent="0.35">
      <c r="A2579" s="224" t="s">
        <v>81</v>
      </c>
      <c r="B2579" s="224" t="s">
        <v>26</v>
      </c>
      <c r="C2579" s="224" t="s">
        <v>86</v>
      </c>
      <c r="D2579" s="224" t="s">
        <v>9</v>
      </c>
      <c r="E2579" s="224" t="s">
        <v>256</v>
      </c>
      <c r="F2579" s="224" t="s">
        <v>249</v>
      </c>
      <c r="G2579" s="223" t="str">
        <f>VLOOKUP($B2579,'FRS geographical categories'!$A$2:$C$45,2,FALSE)</f>
        <v>Predominantly Urban</v>
      </c>
      <c r="H2579" s="223" t="str">
        <f>VLOOKUP($B2579,'FRS geographical categories'!$A$2:$C$45,3,FALSE)</f>
        <v>Metropolitan</v>
      </c>
      <c r="I2579" s="224">
        <v>12984</v>
      </c>
    </row>
    <row r="2580" spans="1:9" ht="15.5" x14ac:dyDescent="0.35">
      <c r="A2580" s="224" t="s">
        <v>81</v>
      </c>
      <c r="B2580" s="224" t="s">
        <v>26</v>
      </c>
      <c r="C2580" s="224" t="s">
        <v>86</v>
      </c>
      <c r="D2580" s="224" t="s">
        <v>9</v>
      </c>
      <c r="E2580" s="224" t="s">
        <v>256</v>
      </c>
      <c r="F2580" s="224" t="s">
        <v>250</v>
      </c>
      <c r="G2580" s="223" t="str">
        <f>VLOOKUP($B2580,'FRS geographical categories'!$A$2:$C$45,2,FALSE)</f>
        <v>Predominantly Urban</v>
      </c>
      <c r="H2580" s="223" t="str">
        <f>VLOOKUP($B2580,'FRS geographical categories'!$A$2:$C$45,3,FALSE)</f>
        <v>Metropolitan</v>
      </c>
      <c r="I2580" s="224">
        <v>11092</v>
      </c>
    </row>
    <row r="2581" spans="1:9" ht="15.5" x14ac:dyDescent="0.35">
      <c r="A2581" s="224" t="s">
        <v>81</v>
      </c>
      <c r="B2581" s="224" t="s">
        <v>26</v>
      </c>
      <c r="C2581" s="224" t="s">
        <v>86</v>
      </c>
      <c r="D2581" s="224" t="s">
        <v>9</v>
      </c>
      <c r="E2581" s="224" t="s">
        <v>256</v>
      </c>
      <c r="F2581" s="224" t="s">
        <v>111</v>
      </c>
      <c r="G2581" s="223" t="str">
        <f>VLOOKUP($B2581,'FRS geographical categories'!$A$2:$C$45,2,FALSE)</f>
        <v>Predominantly Urban</v>
      </c>
      <c r="H2581" s="223" t="str">
        <f>VLOOKUP($B2581,'FRS geographical categories'!$A$2:$C$45,3,FALSE)</f>
        <v>Metropolitan</v>
      </c>
      <c r="I2581" s="224">
        <v>30678</v>
      </c>
    </row>
    <row r="2582" spans="1:9" ht="15.5" x14ac:dyDescent="0.35">
      <c r="A2582" s="224" t="s">
        <v>81</v>
      </c>
      <c r="B2582" s="224" t="s">
        <v>26</v>
      </c>
      <c r="C2582" s="224" t="s">
        <v>86</v>
      </c>
      <c r="D2582" s="224" t="s">
        <v>9</v>
      </c>
      <c r="E2582" s="224" t="s">
        <v>256</v>
      </c>
      <c r="F2582" s="224" t="s">
        <v>10</v>
      </c>
      <c r="G2582" s="223" t="str">
        <f>VLOOKUP($B2582,'FRS geographical categories'!$A$2:$C$45,2,FALSE)</f>
        <v>Predominantly Urban</v>
      </c>
      <c r="H2582" s="223" t="str">
        <f>VLOOKUP($B2582,'FRS geographical categories'!$A$2:$C$45,3,FALSE)</f>
        <v>Metropolitan</v>
      </c>
      <c r="I2582" s="224">
        <v>49674</v>
      </c>
    </row>
    <row r="2583" spans="1:9" ht="15.5" x14ac:dyDescent="0.35">
      <c r="A2583" s="224" t="s">
        <v>81</v>
      </c>
      <c r="B2583" s="224" t="s">
        <v>26</v>
      </c>
      <c r="C2583" s="224" t="s">
        <v>86</v>
      </c>
      <c r="D2583" s="224" t="s">
        <v>55</v>
      </c>
      <c r="E2583" s="224" t="s">
        <v>256</v>
      </c>
      <c r="F2583" s="224" t="s">
        <v>248</v>
      </c>
      <c r="G2583" s="223" t="str">
        <f>VLOOKUP($B2583,'FRS geographical categories'!$A$2:$C$45,2,FALSE)</f>
        <v>Predominantly Urban</v>
      </c>
      <c r="H2583" s="223" t="str">
        <f>VLOOKUP($B2583,'FRS geographical categories'!$A$2:$C$45,3,FALSE)</f>
        <v>Metropolitan</v>
      </c>
      <c r="I2583" s="224">
        <v>0</v>
      </c>
    </row>
    <row r="2584" spans="1:9" ht="15.5" x14ac:dyDescent="0.35">
      <c r="A2584" s="224" t="s">
        <v>81</v>
      </c>
      <c r="B2584" s="224" t="s">
        <v>26</v>
      </c>
      <c r="C2584" s="224" t="s">
        <v>86</v>
      </c>
      <c r="D2584" s="224" t="s">
        <v>55</v>
      </c>
      <c r="E2584" s="224" t="s">
        <v>256</v>
      </c>
      <c r="F2584" s="224" t="s">
        <v>249</v>
      </c>
      <c r="G2584" s="223" t="str">
        <f>VLOOKUP($B2584,'FRS geographical categories'!$A$2:$C$45,2,FALSE)</f>
        <v>Predominantly Urban</v>
      </c>
      <c r="H2584" s="223" t="str">
        <f>VLOOKUP($B2584,'FRS geographical categories'!$A$2:$C$45,3,FALSE)</f>
        <v>Metropolitan</v>
      </c>
      <c r="I2584" s="224">
        <v>0</v>
      </c>
    </row>
    <row r="2585" spans="1:9" ht="15.5" x14ac:dyDescent="0.35">
      <c r="A2585" s="224" t="s">
        <v>81</v>
      </c>
      <c r="B2585" s="224" t="s">
        <v>26</v>
      </c>
      <c r="C2585" s="224" t="s">
        <v>86</v>
      </c>
      <c r="D2585" s="224" t="s">
        <v>55</v>
      </c>
      <c r="E2585" s="224" t="s">
        <v>256</v>
      </c>
      <c r="F2585" s="224" t="s">
        <v>250</v>
      </c>
      <c r="G2585" s="223" t="str">
        <f>VLOOKUP($B2585,'FRS geographical categories'!$A$2:$C$45,2,FALSE)</f>
        <v>Predominantly Urban</v>
      </c>
      <c r="H2585" s="223" t="str">
        <f>VLOOKUP($B2585,'FRS geographical categories'!$A$2:$C$45,3,FALSE)</f>
        <v>Metropolitan</v>
      </c>
      <c r="I2585" s="224">
        <v>0</v>
      </c>
    </row>
    <row r="2586" spans="1:9" ht="15.5" x14ac:dyDescent="0.35">
      <c r="A2586" s="224" t="s">
        <v>81</v>
      </c>
      <c r="B2586" s="224" t="s">
        <v>26</v>
      </c>
      <c r="C2586" s="224" t="s">
        <v>86</v>
      </c>
      <c r="D2586" s="224" t="s">
        <v>55</v>
      </c>
      <c r="E2586" s="224" t="s">
        <v>256</v>
      </c>
      <c r="F2586" s="224" t="s">
        <v>111</v>
      </c>
      <c r="G2586" s="223" t="str">
        <f>VLOOKUP($B2586,'FRS geographical categories'!$A$2:$C$45,2,FALSE)</f>
        <v>Predominantly Urban</v>
      </c>
      <c r="H2586" s="223" t="str">
        <f>VLOOKUP($B2586,'FRS geographical categories'!$A$2:$C$45,3,FALSE)</f>
        <v>Metropolitan</v>
      </c>
      <c r="I2586" s="224">
        <v>0</v>
      </c>
    </row>
    <row r="2587" spans="1:9" ht="15.5" x14ac:dyDescent="0.35">
      <c r="A2587" s="224" t="s">
        <v>81</v>
      </c>
      <c r="B2587" s="224" t="s">
        <v>26</v>
      </c>
      <c r="C2587" s="224" t="s">
        <v>86</v>
      </c>
      <c r="D2587" s="224" t="s">
        <v>55</v>
      </c>
      <c r="E2587" s="224" t="s">
        <v>256</v>
      </c>
      <c r="F2587" s="224" t="s">
        <v>10</v>
      </c>
      <c r="G2587" s="223" t="str">
        <f>VLOOKUP($B2587,'FRS geographical categories'!$A$2:$C$45,2,FALSE)</f>
        <v>Predominantly Urban</v>
      </c>
      <c r="H2587" s="223" t="str">
        <f>VLOOKUP($B2587,'FRS geographical categories'!$A$2:$C$45,3,FALSE)</f>
        <v>Metropolitan</v>
      </c>
      <c r="I2587" s="224">
        <v>1390</v>
      </c>
    </row>
    <row r="2588" spans="1:9" ht="15.5" x14ac:dyDescent="0.35">
      <c r="A2588" s="224" t="s">
        <v>81</v>
      </c>
      <c r="B2588" s="224" t="s">
        <v>26</v>
      </c>
      <c r="C2588" s="224" t="s">
        <v>89</v>
      </c>
      <c r="D2588" s="224" t="s">
        <v>9</v>
      </c>
      <c r="E2588" s="224" t="s">
        <v>256</v>
      </c>
      <c r="F2588" s="224" t="s">
        <v>248</v>
      </c>
      <c r="G2588" s="223" t="str">
        <f>VLOOKUP($B2588,'FRS geographical categories'!$A$2:$C$45,2,FALSE)</f>
        <v>Predominantly Urban</v>
      </c>
      <c r="H2588" s="223" t="str">
        <f>VLOOKUP($B2588,'FRS geographical categories'!$A$2:$C$45,3,FALSE)</f>
        <v>Metropolitan</v>
      </c>
      <c r="I2588" s="224">
        <v>0</v>
      </c>
    </row>
    <row r="2589" spans="1:9" ht="15.5" x14ac:dyDescent="0.35">
      <c r="A2589" s="224" t="s">
        <v>81</v>
      </c>
      <c r="B2589" s="224" t="s">
        <v>26</v>
      </c>
      <c r="C2589" s="224" t="s">
        <v>89</v>
      </c>
      <c r="D2589" s="224" t="s">
        <v>9</v>
      </c>
      <c r="E2589" s="224" t="s">
        <v>256</v>
      </c>
      <c r="F2589" s="224" t="s">
        <v>249</v>
      </c>
      <c r="G2589" s="223" t="str">
        <f>VLOOKUP($B2589,'FRS geographical categories'!$A$2:$C$45,2,FALSE)</f>
        <v>Predominantly Urban</v>
      </c>
      <c r="H2589" s="223" t="str">
        <f>VLOOKUP($B2589,'FRS geographical categories'!$A$2:$C$45,3,FALSE)</f>
        <v>Metropolitan</v>
      </c>
      <c r="I2589" s="224">
        <v>0</v>
      </c>
    </row>
    <row r="2590" spans="1:9" ht="15.5" x14ac:dyDescent="0.35">
      <c r="A2590" s="224" t="s">
        <v>81</v>
      </c>
      <c r="B2590" s="224" t="s">
        <v>26</v>
      </c>
      <c r="C2590" s="224" t="s">
        <v>89</v>
      </c>
      <c r="D2590" s="224" t="s">
        <v>9</v>
      </c>
      <c r="E2590" s="224" t="s">
        <v>256</v>
      </c>
      <c r="F2590" s="224" t="s">
        <v>250</v>
      </c>
      <c r="G2590" s="223" t="str">
        <f>VLOOKUP($B2590,'FRS geographical categories'!$A$2:$C$45,2,FALSE)</f>
        <v>Predominantly Urban</v>
      </c>
      <c r="H2590" s="223" t="str">
        <f>VLOOKUP($B2590,'FRS geographical categories'!$A$2:$C$45,3,FALSE)</f>
        <v>Metropolitan</v>
      </c>
      <c r="I2590" s="224">
        <v>0</v>
      </c>
    </row>
    <row r="2591" spans="1:9" ht="15.5" x14ac:dyDescent="0.35">
      <c r="A2591" s="224" t="s">
        <v>81</v>
      </c>
      <c r="B2591" s="224" t="s">
        <v>26</v>
      </c>
      <c r="C2591" s="224" t="s">
        <v>89</v>
      </c>
      <c r="D2591" s="224" t="s">
        <v>9</v>
      </c>
      <c r="E2591" s="224" t="s">
        <v>256</v>
      </c>
      <c r="F2591" s="224" t="s">
        <v>10</v>
      </c>
      <c r="G2591" s="223" t="str">
        <f>VLOOKUP($B2591,'FRS geographical categories'!$A$2:$C$45,2,FALSE)</f>
        <v>Predominantly Urban</v>
      </c>
      <c r="H2591" s="223" t="str">
        <f>VLOOKUP($B2591,'FRS geographical categories'!$A$2:$C$45,3,FALSE)</f>
        <v>Metropolitan</v>
      </c>
      <c r="I2591" s="224">
        <v>0</v>
      </c>
    </row>
    <row r="2592" spans="1:9" ht="15.5" x14ac:dyDescent="0.35">
      <c r="A2592" s="224" t="s">
        <v>81</v>
      </c>
      <c r="B2592" s="224" t="s">
        <v>26</v>
      </c>
      <c r="C2592" s="224" t="s">
        <v>89</v>
      </c>
      <c r="D2592" s="224" t="s">
        <v>55</v>
      </c>
      <c r="E2592" s="224" t="s">
        <v>256</v>
      </c>
      <c r="F2592" s="224" t="s">
        <v>248</v>
      </c>
      <c r="G2592" s="223" t="str">
        <f>VLOOKUP($B2592,'FRS geographical categories'!$A$2:$C$45,2,FALSE)</f>
        <v>Predominantly Urban</v>
      </c>
      <c r="H2592" s="223" t="str">
        <f>VLOOKUP($B2592,'FRS geographical categories'!$A$2:$C$45,3,FALSE)</f>
        <v>Metropolitan</v>
      </c>
      <c r="I2592" s="224">
        <v>0</v>
      </c>
    </row>
    <row r="2593" spans="1:9" ht="15.5" x14ac:dyDescent="0.35">
      <c r="A2593" s="224" t="s">
        <v>81</v>
      </c>
      <c r="B2593" s="224" t="s">
        <v>26</v>
      </c>
      <c r="C2593" s="224" t="s">
        <v>89</v>
      </c>
      <c r="D2593" s="224" t="s">
        <v>55</v>
      </c>
      <c r="E2593" s="224" t="s">
        <v>256</v>
      </c>
      <c r="F2593" s="224" t="s">
        <v>249</v>
      </c>
      <c r="G2593" s="223" t="str">
        <f>VLOOKUP($B2593,'FRS geographical categories'!$A$2:$C$45,2,FALSE)</f>
        <v>Predominantly Urban</v>
      </c>
      <c r="H2593" s="223" t="str">
        <f>VLOOKUP($B2593,'FRS geographical categories'!$A$2:$C$45,3,FALSE)</f>
        <v>Metropolitan</v>
      </c>
      <c r="I2593" s="224">
        <v>0</v>
      </c>
    </row>
    <row r="2594" spans="1:9" ht="15.5" x14ac:dyDescent="0.35">
      <c r="A2594" s="224" t="s">
        <v>81</v>
      </c>
      <c r="B2594" s="224" t="s">
        <v>26</v>
      </c>
      <c r="C2594" s="224" t="s">
        <v>89</v>
      </c>
      <c r="D2594" s="224" t="s">
        <v>55</v>
      </c>
      <c r="E2594" s="224" t="s">
        <v>256</v>
      </c>
      <c r="F2594" s="224" t="s">
        <v>250</v>
      </c>
      <c r="G2594" s="223" t="str">
        <f>VLOOKUP($B2594,'FRS geographical categories'!$A$2:$C$45,2,FALSE)</f>
        <v>Predominantly Urban</v>
      </c>
      <c r="H2594" s="223" t="str">
        <f>VLOOKUP($B2594,'FRS geographical categories'!$A$2:$C$45,3,FALSE)</f>
        <v>Metropolitan</v>
      </c>
      <c r="I2594" s="224">
        <v>0</v>
      </c>
    </row>
    <row r="2595" spans="1:9" ht="15.5" x14ac:dyDescent="0.35">
      <c r="A2595" s="224" t="s">
        <v>81</v>
      </c>
      <c r="B2595" s="224" t="s">
        <v>26</v>
      </c>
      <c r="C2595" s="224" t="s">
        <v>89</v>
      </c>
      <c r="D2595" s="224" t="s">
        <v>55</v>
      </c>
      <c r="E2595" s="224" t="s">
        <v>256</v>
      </c>
      <c r="F2595" s="224" t="s">
        <v>10</v>
      </c>
      <c r="G2595" s="223" t="str">
        <f>VLOOKUP($B2595,'FRS geographical categories'!$A$2:$C$45,2,FALSE)</f>
        <v>Predominantly Urban</v>
      </c>
      <c r="H2595" s="223" t="str">
        <f>VLOOKUP($B2595,'FRS geographical categories'!$A$2:$C$45,3,FALSE)</f>
        <v>Metropolitan</v>
      </c>
      <c r="I2595" s="224">
        <v>0</v>
      </c>
    </row>
    <row r="2596" spans="1:9" ht="15.5" x14ac:dyDescent="0.35">
      <c r="A2596" s="224" t="s">
        <v>81</v>
      </c>
      <c r="B2596" s="224" t="s">
        <v>27</v>
      </c>
      <c r="C2596" s="224" t="s">
        <v>86</v>
      </c>
      <c r="D2596" s="224" t="s">
        <v>9</v>
      </c>
      <c r="E2596" s="224" t="s">
        <v>256</v>
      </c>
      <c r="F2596" s="224" t="s">
        <v>248</v>
      </c>
      <c r="G2596" s="223" t="str">
        <f>VLOOKUP($B2596,'FRS geographical categories'!$A$2:$C$45,2,FALSE)</f>
        <v>Predominantly Urban</v>
      </c>
      <c r="H2596" s="223" t="str">
        <f>VLOOKUP($B2596,'FRS geographical categories'!$A$2:$C$45,3,FALSE)</f>
        <v>Metropolitan</v>
      </c>
      <c r="I2596" s="224">
        <v>907</v>
      </c>
    </row>
    <row r="2597" spans="1:9" ht="15.5" x14ac:dyDescent="0.35">
      <c r="A2597" s="224" t="s">
        <v>81</v>
      </c>
      <c r="B2597" s="224" t="s">
        <v>27</v>
      </c>
      <c r="C2597" s="224" t="s">
        <v>86</v>
      </c>
      <c r="D2597" s="224" t="s">
        <v>9</v>
      </c>
      <c r="E2597" s="224" t="s">
        <v>256</v>
      </c>
      <c r="F2597" s="224" t="s">
        <v>249</v>
      </c>
      <c r="G2597" s="223" t="str">
        <f>VLOOKUP($B2597,'FRS geographical categories'!$A$2:$C$45,2,FALSE)</f>
        <v>Predominantly Urban</v>
      </c>
      <c r="H2597" s="223" t="str">
        <f>VLOOKUP($B2597,'FRS geographical categories'!$A$2:$C$45,3,FALSE)</f>
        <v>Metropolitan</v>
      </c>
      <c r="I2597" s="224">
        <v>2336</v>
      </c>
    </row>
    <row r="2598" spans="1:9" ht="15.5" x14ac:dyDescent="0.35">
      <c r="A2598" s="224" t="s">
        <v>81</v>
      </c>
      <c r="B2598" s="224" t="s">
        <v>27</v>
      </c>
      <c r="C2598" s="224" t="s">
        <v>86</v>
      </c>
      <c r="D2598" s="224" t="s">
        <v>9</v>
      </c>
      <c r="E2598" s="224" t="s">
        <v>256</v>
      </c>
      <c r="F2598" s="224" t="s">
        <v>250</v>
      </c>
      <c r="G2598" s="223" t="str">
        <f>VLOOKUP($B2598,'FRS geographical categories'!$A$2:$C$45,2,FALSE)</f>
        <v>Predominantly Urban</v>
      </c>
      <c r="H2598" s="223" t="str">
        <f>VLOOKUP($B2598,'FRS geographical categories'!$A$2:$C$45,3,FALSE)</f>
        <v>Metropolitan</v>
      </c>
      <c r="I2598" s="224">
        <v>8459</v>
      </c>
    </row>
    <row r="2599" spans="1:9" ht="15.5" x14ac:dyDescent="0.35">
      <c r="A2599" s="224" t="s">
        <v>81</v>
      </c>
      <c r="B2599" s="224" t="s">
        <v>27</v>
      </c>
      <c r="C2599" s="224" t="s">
        <v>86</v>
      </c>
      <c r="D2599" s="224" t="s">
        <v>9</v>
      </c>
      <c r="E2599" s="224" t="s">
        <v>256</v>
      </c>
      <c r="F2599" s="224" t="s">
        <v>111</v>
      </c>
      <c r="G2599" s="223" t="str">
        <f>VLOOKUP($B2599,'FRS geographical categories'!$A$2:$C$45,2,FALSE)</f>
        <v>Predominantly Urban</v>
      </c>
      <c r="H2599" s="223" t="str">
        <f>VLOOKUP($B2599,'FRS geographical categories'!$A$2:$C$45,3,FALSE)</f>
        <v>Metropolitan</v>
      </c>
      <c r="I2599" s="224">
        <v>23557</v>
      </c>
    </row>
    <row r="2600" spans="1:9" ht="15.5" x14ac:dyDescent="0.35">
      <c r="A2600" s="224" t="s">
        <v>81</v>
      </c>
      <c r="B2600" s="224" t="s">
        <v>27</v>
      </c>
      <c r="C2600" s="224" t="s">
        <v>86</v>
      </c>
      <c r="D2600" s="224" t="s">
        <v>9</v>
      </c>
      <c r="E2600" s="224" t="s">
        <v>256</v>
      </c>
      <c r="F2600" s="224" t="s">
        <v>10</v>
      </c>
      <c r="G2600" s="223" t="str">
        <f>VLOOKUP($B2600,'FRS geographical categories'!$A$2:$C$45,2,FALSE)</f>
        <v>Predominantly Urban</v>
      </c>
      <c r="H2600" s="223" t="str">
        <f>VLOOKUP($B2600,'FRS geographical categories'!$A$2:$C$45,3,FALSE)</f>
        <v>Metropolitan</v>
      </c>
      <c r="I2600" s="224">
        <v>23889</v>
      </c>
    </row>
    <row r="2601" spans="1:9" ht="15.5" x14ac:dyDescent="0.35">
      <c r="A2601" s="224" t="s">
        <v>81</v>
      </c>
      <c r="B2601" s="224" t="s">
        <v>27</v>
      </c>
      <c r="C2601" s="224" t="s">
        <v>86</v>
      </c>
      <c r="D2601" s="224" t="s">
        <v>55</v>
      </c>
      <c r="E2601" s="224" t="s">
        <v>256</v>
      </c>
      <c r="F2601" s="224" t="s">
        <v>248</v>
      </c>
      <c r="G2601" s="223" t="str">
        <f>VLOOKUP($B2601,'FRS geographical categories'!$A$2:$C$45,2,FALSE)</f>
        <v>Predominantly Urban</v>
      </c>
      <c r="H2601" s="223" t="str">
        <f>VLOOKUP($B2601,'FRS geographical categories'!$A$2:$C$45,3,FALSE)</f>
        <v>Metropolitan</v>
      </c>
      <c r="I2601" s="224">
        <v>0</v>
      </c>
    </row>
    <row r="2602" spans="1:9" ht="15.5" x14ac:dyDescent="0.35">
      <c r="A2602" s="224" t="s">
        <v>81</v>
      </c>
      <c r="B2602" s="224" t="s">
        <v>27</v>
      </c>
      <c r="C2602" s="224" t="s">
        <v>86</v>
      </c>
      <c r="D2602" s="224" t="s">
        <v>55</v>
      </c>
      <c r="E2602" s="224" t="s">
        <v>256</v>
      </c>
      <c r="F2602" s="224" t="s">
        <v>249</v>
      </c>
      <c r="G2602" s="223" t="str">
        <f>VLOOKUP($B2602,'FRS geographical categories'!$A$2:$C$45,2,FALSE)</f>
        <v>Predominantly Urban</v>
      </c>
      <c r="H2602" s="223" t="str">
        <f>VLOOKUP($B2602,'FRS geographical categories'!$A$2:$C$45,3,FALSE)</f>
        <v>Metropolitan</v>
      </c>
      <c r="I2602" s="224">
        <v>0</v>
      </c>
    </row>
    <row r="2603" spans="1:9" ht="15.5" x14ac:dyDescent="0.35">
      <c r="A2603" s="224" t="s">
        <v>81</v>
      </c>
      <c r="B2603" s="224" t="s">
        <v>27</v>
      </c>
      <c r="C2603" s="224" t="s">
        <v>86</v>
      </c>
      <c r="D2603" s="224" t="s">
        <v>55</v>
      </c>
      <c r="E2603" s="224" t="s">
        <v>256</v>
      </c>
      <c r="F2603" s="224" t="s">
        <v>250</v>
      </c>
      <c r="G2603" s="223" t="str">
        <f>VLOOKUP($B2603,'FRS geographical categories'!$A$2:$C$45,2,FALSE)</f>
        <v>Predominantly Urban</v>
      </c>
      <c r="H2603" s="223" t="str">
        <f>VLOOKUP($B2603,'FRS geographical categories'!$A$2:$C$45,3,FALSE)</f>
        <v>Metropolitan</v>
      </c>
      <c r="I2603" s="224">
        <v>0</v>
      </c>
    </row>
    <row r="2604" spans="1:9" ht="15.5" x14ac:dyDescent="0.35">
      <c r="A2604" s="224" t="s">
        <v>81</v>
      </c>
      <c r="B2604" s="224" t="s">
        <v>27</v>
      </c>
      <c r="C2604" s="224" t="s">
        <v>86</v>
      </c>
      <c r="D2604" s="224" t="s">
        <v>55</v>
      </c>
      <c r="E2604" s="224" t="s">
        <v>256</v>
      </c>
      <c r="F2604" s="224" t="s">
        <v>111</v>
      </c>
      <c r="G2604" s="223" t="str">
        <f>VLOOKUP($B2604,'FRS geographical categories'!$A$2:$C$45,2,FALSE)</f>
        <v>Predominantly Urban</v>
      </c>
      <c r="H2604" s="223" t="str">
        <f>VLOOKUP($B2604,'FRS geographical categories'!$A$2:$C$45,3,FALSE)</f>
        <v>Metropolitan</v>
      </c>
      <c r="I2604" s="224">
        <v>0</v>
      </c>
    </row>
    <row r="2605" spans="1:9" ht="15.5" x14ac:dyDescent="0.35">
      <c r="A2605" s="224" t="s">
        <v>81</v>
      </c>
      <c r="B2605" s="224" t="s">
        <v>27</v>
      </c>
      <c r="C2605" s="224" t="s">
        <v>86</v>
      </c>
      <c r="D2605" s="224" t="s">
        <v>55</v>
      </c>
      <c r="E2605" s="224" t="s">
        <v>256</v>
      </c>
      <c r="F2605" s="224" t="s">
        <v>10</v>
      </c>
      <c r="G2605" s="223" t="str">
        <f>VLOOKUP($B2605,'FRS geographical categories'!$A$2:$C$45,2,FALSE)</f>
        <v>Predominantly Urban</v>
      </c>
      <c r="H2605" s="223" t="str">
        <f>VLOOKUP($B2605,'FRS geographical categories'!$A$2:$C$45,3,FALSE)</f>
        <v>Metropolitan</v>
      </c>
      <c r="I2605" s="224">
        <v>0</v>
      </c>
    </row>
    <row r="2606" spans="1:9" ht="15.5" x14ac:dyDescent="0.35">
      <c r="A2606" s="224" t="s">
        <v>81</v>
      </c>
      <c r="B2606" s="224" t="s">
        <v>27</v>
      </c>
      <c r="C2606" s="224" t="s">
        <v>89</v>
      </c>
      <c r="D2606" s="224" t="s">
        <v>9</v>
      </c>
      <c r="E2606" s="224" t="s">
        <v>256</v>
      </c>
      <c r="F2606" s="224" t="s">
        <v>248</v>
      </c>
      <c r="G2606" s="223" t="str">
        <f>VLOOKUP($B2606,'FRS geographical categories'!$A$2:$C$45,2,FALSE)</f>
        <v>Predominantly Urban</v>
      </c>
      <c r="H2606" s="223" t="str">
        <f>VLOOKUP($B2606,'FRS geographical categories'!$A$2:$C$45,3,FALSE)</f>
        <v>Metropolitan</v>
      </c>
      <c r="I2606" s="224">
        <v>0</v>
      </c>
    </row>
    <row r="2607" spans="1:9" ht="15.5" x14ac:dyDescent="0.35">
      <c r="A2607" s="224" t="s">
        <v>81</v>
      </c>
      <c r="B2607" s="224" t="s">
        <v>27</v>
      </c>
      <c r="C2607" s="224" t="s">
        <v>89</v>
      </c>
      <c r="D2607" s="224" t="s">
        <v>9</v>
      </c>
      <c r="E2607" s="224" t="s">
        <v>256</v>
      </c>
      <c r="F2607" s="224" t="s">
        <v>249</v>
      </c>
      <c r="G2607" s="223" t="str">
        <f>VLOOKUP($B2607,'FRS geographical categories'!$A$2:$C$45,2,FALSE)</f>
        <v>Predominantly Urban</v>
      </c>
      <c r="H2607" s="223" t="str">
        <f>VLOOKUP($B2607,'FRS geographical categories'!$A$2:$C$45,3,FALSE)</f>
        <v>Metropolitan</v>
      </c>
      <c r="I2607" s="224">
        <v>0</v>
      </c>
    </row>
    <row r="2608" spans="1:9" ht="15.5" x14ac:dyDescent="0.35">
      <c r="A2608" s="224" t="s">
        <v>81</v>
      </c>
      <c r="B2608" s="224" t="s">
        <v>27</v>
      </c>
      <c r="C2608" s="224" t="s">
        <v>89</v>
      </c>
      <c r="D2608" s="224" t="s">
        <v>9</v>
      </c>
      <c r="E2608" s="224" t="s">
        <v>256</v>
      </c>
      <c r="F2608" s="224" t="s">
        <v>250</v>
      </c>
      <c r="G2608" s="223" t="str">
        <f>VLOOKUP($B2608,'FRS geographical categories'!$A$2:$C$45,2,FALSE)</f>
        <v>Predominantly Urban</v>
      </c>
      <c r="H2608" s="223" t="str">
        <f>VLOOKUP($B2608,'FRS geographical categories'!$A$2:$C$45,3,FALSE)</f>
        <v>Metropolitan</v>
      </c>
      <c r="I2608" s="224">
        <v>0</v>
      </c>
    </row>
    <row r="2609" spans="1:9" ht="15.5" x14ac:dyDescent="0.35">
      <c r="A2609" s="224" t="s">
        <v>81</v>
      </c>
      <c r="B2609" s="224" t="s">
        <v>27</v>
      </c>
      <c r="C2609" s="224" t="s">
        <v>89</v>
      </c>
      <c r="D2609" s="224" t="s">
        <v>9</v>
      </c>
      <c r="E2609" s="224" t="s">
        <v>256</v>
      </c>
      <c r="F2609" s="224" t="s">
        <v>10</v>
      </c>
      <c r="G2609" s="223" t="str">
        <f>VLOOKUP($B2609,'FRS geographical categories'!$A$2:$C$45,2,FALSE)</f>
        <v>Predominantly Urban</v>
      </c>
      <c r="H2609" s="223" t="str">
        <f>VLOOKUP($B2609,'FRS geographical categories'!$A$2:$C$45,3,FALSE)</f>
        <v>Metropolitan</v>
      </c>
      <c r="I2609" s="224">
        <v>0</v>
      </c>
    </row>
    <row r="2610" spans="1:9" ht="15.5" x14ac:dyDescent="0.35">
      <c r="A2610" s="224" t="s">
        <v>81</v>
      </c>
      <c r="B2610" s="224" t="s">
        <v>27</v>
      </c>
      <c r="C2610" s="224" t="s">
        <v>89</v>
      </c>
      <c r="D2610" s="224" t="s">
        <v>55</v>
      </c>
      <c r="E2610" s="224" t="s">
        <v>256</v>
      </c>
      <c r="F2610" s="224" t="s">
        <v>248</v>
      </c>
      <c r="G2610" s="223" t="str">
        <f>VLOOKUP($B2610,'FRS geographical categories'!$A$2:$C$45,2,FALSE)</f>
        <v>Predominantly Urban</v>
      </c>
      <c r="H2610" s="223" t="str">
        <f>VLOOKUP($B2610,'FRS geographical categories'!$A$2:$C$45,3,FALSE)</f>
        <v>Metropolitan</v>
      </c>
      <c r="I2610" s="224">
        <v>0</v>
      </c>
    </row>
    <row r="2611" spans="1:9" ht="15.5" x14ac:dyDescent="0.35">
      <c r="A2611" s="224" t="s">
        <v>81</v>
      </c>
      <c r="B2611" s="224" t="s">
        <v>27</v>
      </c>
      <c r="C2611" s="224" t="s">
        <v>89</v>
      </c>
      <c r="D2611" s="224" t="s">
        <v>55</v>
      </c>
      <c r="E2611" s="224" t="s">
        <v>256</v>
      </c>
      <c r="F2611" s="224" t="s">
        <v>249</v>
      </c>
      <c r="G2611" s="223" t="str">
        <f>VLOOKUP($B2611,'FRS geographical categories'!$A$2:$C$45,2,FALSE)</f>
        <v>Predominantly Urban</v>
      </c>
      <c r="H2611" s="223" t="str">
        <f>VLOOKUP($B2611,'FRS geographical categories'!$A$2:$C$45,3,FALSE)</f>
        <v>Metropolitan</v>
      </c>
      <c r="I2611" s="224">
        <v>0</v>
      </c>
    </row>
    <row r="2612" spans="1:9" ht="15.5" x14ac:dyDescent="0.35">
      <c r="A2612" s="224" t="s">
        <v>81</v>
      </c>
      <c r="B2612" s="224" t="s">
        <v>27</v>
      </c>
      <c r="C2612" s="224" t="s">
        <v>89</v>
      </c>
      <c r="D2612" s="224" t="s">
        <v>55</v>
      </c>
      <c r="E2612" s="224" t="s">
        <v>256</v>
      </c>
      <c r="F2612" s="224" t="s">
        <v>250</v>
      </c>
      <c r="G2612" s="223" t="str">
        <f>VLOOKUP($B2612,'FRS geographical categories'!$A$2:$C$45,2,FALSE)</f>
        <v>Predominantly Urban</v>
      </c>
      <c r="H2612" s="223" t="str">
        <f>VLOOKUP($B2612,'FRS geographical categories'!$A$2:$C$45,3,FALSE)</f>
        <v>Metropolitan</v>
      </c>
      <c r="I2612" s="224">
        <v>0</v>
      </c>
    </row>
    <row r="2613" spans="1:9" ht="15.5" x14ac:dyDescent="0.35">
      <c r="A2613" s="224" t="s">
        <v>81</v>
      </c>
      <c r="B2613" s="224" t="s">
        <v>27</v>
      </c>
      <c r="C2613" s="224" t="s">
        <v>89</v>
      </c>
      <c r="D2613" s="224" t="s">
        <v>55</v>
      </c>
      <c r="E2613" s="224" t="s">
        <v>256</v>
      </c>
      <c r="F2613" s="224" t="s">
        <v>10</v>
      </c>
      <c r="G2613" s="223" t="str">
        <f>VLOOKUP($B2613,'FRS geographical categories'!$A$2:$C$45,2,FALSE)</f>
        <v>Predominantly Urban</v>
      </c>
      <c r="H2613" s="223" t="str">
        <f>VLOOKUP($B2613,'FRS geographical categories'!$A$2:$C$45,3,FALSE)</f>
        <v>Metropolitan</v>
      </c>
      <c r="I2613" s="224">
        <v>0</v>
      </c>
    </row>
    <row r="2614" spans="1:9" ht="15.5" x14ac:dyDescent="0.35">
      <c r="A2614" s="224" t="s">
        <v>81</v>
      </c>
      <c r="B2614" s="224" t="s">
        <v>93</v>
      </c>
      <c r="C2614" s="224" t="s">
        <v>86</v>
      </c>
      <c r="D2614" s="224" t="s">
        <v>9</v>
      </c>
      <c r="E2614" s="224" t="s">
        <v>256</v>
      </c>
      <c r="F2614" s="224" t="s">
        <v>248</v>
      </c>
      <c r="G2614" s="223" t="str">
        <f>VLOOKUP($B2614,'FRS geographical categories'!$A$2:$C$45,2,FALSE)</f>
        <v>Significantly Rural</v>
      </c>
      <c r="H2614" s="223" t="str">
        <f>VLOOKUP($B2614,'FRS geographical categories'!$A$2:$C$45,3,FALSE)</f>
        <v>Non-metropolitan</v>
      </c>
      <c r="I2614" s="224">
        <v>1094</v>
      </c>
    </row>
    <row r="2615" spans="1:9" ht="15.5" x14ac:dyDescent="0.35">
      <c r="A2615" s="224" t="s">
        <v>81</v>
      </c>
      <c r="B2615" s="224" t="s">
        <v>93</v>
      </c>
      <c r="C2615" s="224" t="s">
        <v>86</v>
      </c>
      <c r="D2615" s="224" t="s">
        <v>9</v>
      </c>
      <c r="E2615" s="224" t="s">
        <v>256</v>
      </c>
      <c r="F2615" s="224" t="s">
        <v>249</v>
      </c>
      <c r="G2615" s="223" t="str">
        <f>VLOOKUP($B2615,'FRS geographical categories'!$A$2:$C$45,2,FALSE)</f>
        <v>Significantly Rural</v>
      </c>
      <c r="H2615" s="223" t="str">
        <f>VLOOKUP($B2615,'FRS geographical categories'!$A$2:$C$45,3,FALSE)</f>
        <v>Non-metropolitan</v>
      </c>
      <c r="I2615" s="224">
        <v>4981</v>
      </c>
    </row>
    <row r="2616" spans="1:9" ht="15.5" x14ac:dyDescent="0.35">
      <c r="A2616" s="224" t="s">
        <v>81</v>
      </c>
      <c r="B2616" s="224" t="s">
        <v>93</v>
      </c>
      <c r="C2616" s="224" t="s">
        <v>86</v>
      </c>
      <c r="D2616" s="224" t="s">
        <v>9</v>
      </c>
      <c r="E2616" s="224" t="s">
        <v>256</v>
      </c>
      <c r="F2616" s="224" t="s">
        <v>250</v>
      </c>
      <c r="G2616" s="223" t="str">
        <f>VLOOKUP($B2616,'FRS geographical categories'!$A$2:$C$45,2,FALSE)</f>
        <v>Significantly Rural</v>
      </c>
      <c r="H2616" s="223" t="str">
        <f>VLOOKUP($B2616,'FRS geographical categories'!$A$2:$C$45,3,FALSE)</f>
        <v>Non-metropolitan</v>
      </c>
      <c r="I2616" s="224">
        <v>3076</v>
      </c>
    </row>
    <row r="2617" spans="1:9" ht="15.5" x14ac:dyDescent="0.35">
      <c r="A2617" s="224" t="s">
        <v>81</v>
      </c>
      <c r="B2617" s="224" t="s">
        <v>93</v>
      </c>
      <c r="C2617" s="224" t="s">
        <v>86</v>
      </c>
      <c r="D2617" s="224" t="s">
        <v>9</v>
      </c>
      <c r="E2617" s="224" t="s">
        <v>256</v>
      </c>
      <c r="F2617" s="224" t="s">
        <v>111</v>
      </c>
      <c r="G2617" s="223" t="str">
        <f>VLOOKUP($B2617,'FRS geographical categories'!$A$2:$C$45,2,FALSE)</f>
        <v>Significantly Rural</v>
      </c>
      <c r="H2617" s="223" t="str">
        <f>VLOOKUP($B2617,'FRS geographical categories'!$A$2:$C$45,3,FALSE)</f>
        <v>Non-metropolitan</v>
      </c>
      <c r="I2617" s="224">
        <v>9174</v>
      </c>
    </row>
    <row r="2618" spans="1:9" ht="15.5" x14ac:dyDescent="0.35">
      <c r="A2618" s="224" t="s">
        <v>81</v>
      </c>
      <c r="B2618" s="224" t="s">
        <v>93</v>
      </c>
      <c r="C2618" s="224" t="s">
        <v>86</v>
      </c>
      <c r="D2618" s="224" t="s">
        <v>9</v>
      </c>
      <c r="E2618" s="224" t="s">
        <v>256</v>
      </c>
      <c r="F2618" s="224" t="s">
        <v>10</v>
      </c>
      <c r="G2618" s="223" t="str">
        <f>VLOOKUP($B2618,'FRS geographical categories'!$A$2:$C$45,2,FALSE)</f>
        <v>Significantly Rural</v>
      </c>
      <c r="H2618" s="223" t="str">
        <f>VLOOKUP($B2618,'FRS geographical categories'!$A$2:$C$45,3,FALSE)</f>
        <v>Non-metropolitan</v>
      </c>
      <c r="I2618" s="224">
        <v>11911</v>
      </c>
    </row>
    <row r="2619" spans="1:9" ht="15.5" x14ac:dyDescent="0.35">
      <c r="A2619" s="224" t="s">
        <v>81</v>
      </c>
      <c r="B2619" s="224" t="s">
        <v>93</v>
      </c>
      <c r="C2619" s="224" t="s">
        <v>86</v>
      </c>
      <c r="D2619" s="224" t="s">
        <v>55</v>
      </c>
      <c r="E2619" s="224" t="s">
        <v>256</v>
      </c>
      <c r="F2619" s="224" t="s">
        <v>248</v>
      </c>
      <c r="G2619" s="223" t="str">
        <f>VLOOKUP($B2619,'FRS geographical categories'!$A$2:$C$45,2,FALSE)</f>
        <v>Significantly Rural</v>
      </c>
      <c r="H2619" s="223" t="str">
        <f>VLOOKUP($B2619,'FRS geographical categories'!$A$2:$C$45,3,FALSE)</f>
        <v>Non-metropolitan</v>
      </c>
      <c r="I2619" s="224">
        <v>2</v>
      </c>
    </row>
    <row r="2620" spans="1:9" ht="15.5" x14ac:dyDescent="0.35">
      <c r="A2620" s="224" t="s">
        <v>81</v>
      </c>
      <c r="B2620" s="224" t="s">
        <v>93</v>
      </c>
      <c r="C2620" s="224" t="s">
        <v>86</v>
      </c>
      <c r="D2620" s="224" t="s">
        <v>55</v>
      </c>
      <c r="E2620" s="224" t="s">
        <v>256</v>
      </c>
      <c r="F2620" s="224" t="s">
        <v>249</v>
      </c>
      <c r="G2620" s="223" t="str">
        <f>VLOOKUP($B2620,'FRS geographical categories'!$A$2:$C$45,2,FALSE)</f>
        <v>Significantly Rural</v>
      </c>
      <c r="H2620" s="223" t="str">
        <f>VLOOKUP($B2620,'FRS geographical categories'!$A$2:$C$45,3,FALSE)</f>
        <v>Non-metropolitan</v>
      </c>
      <c r="I2620" s="224">
        <v>2</v>
      </c>
    </row>
    <row r="2621" spans="1:9" ht="15.5" x14ac:dyDescent="0.35">
      <c r="A2621" s="224" t="s">
        <v>81</v>
      </c>
      <c r="B2621" s="224" t="s">
        <v>93</v>
      </c>
      <c r="C2621" s="224" t="s">
        <v>86</v>
      </c>
      <c r="D2621" s="224" t="s">
        <v>55</v>
      </c>
      <c r="E2621" s="224" t="s">
        <v>256</v>
      </c>
      <c r="F2621" s="224" t="s">
        <v>250</v>
      </c>
      <c r="G2621" s="223" t="str">
        <f>VLOOKUP($B2621,'FRS geographical categories'!$A$2:$C$45,2,FALSE)</f>
        <v>Significantly Rural</v>
      </c>
      <c r="H2621" s="223" t="str">
        <f>VLOOKUP($B2621,'FRS geographical categories'!$A$2:$C$45,3,FALSE)</f>
        <v>Non-metropolitan</v>
      </c>
      <c r="I2621" s="224">
        <v>2</v>
      </c>
    </row>
    <row r="2622" spans="1:9" ht="15.5" x14ac:dyDescent="0.35">
      <c r="A2622" s="224" t="s">
        <v>81</v>
      </c>
      <c r="B2622" s="224" t="s">
        <v>93</v>
      </c>
      <c r="C2622" s="224" t="s">
        <v>86</v>
      </c>
      <c r="D2622" s="224" t="s">
        <v>55</v>
      </c>
      <c r="E2622" s="224" t="s">
        <v>256</v>
      </c>
      <c r="F2622" s="224" t="s">
        <v>111</v>
      </c>
      <c r="G2622" s="223" t="str">
        <f>VLOOKUP($B2622,'FRS geographical categories'!$A$2:$C$45,2,FALSE)</f>
        <v>Significantly Rural</v>
      </c>
      <c r="H2622" s="223" t="str">
        <f>VLOOKUP($B2622,'FRS geographical categories'!$A$2:$C$45,3,FALSE)</f>
        <v>Non-metropolitan</v>
      </c>
      <c r="I2622" s="224">
        <v>6</v>
      </c>
    </row>
    <row r="2623" spans="1:9" ht="15.5" x14ac:dyDescent="0.35">
      <c r="A2623" s="224" t="s">
        <v>81</v>
      </c>
      <c r="B2623" s="224" t="s">
        <v>93</v>
      </c>
      <c r="C2623" s="224" t="s">
        <v>86</v>
      </c>
      <c r="D2623" s="224" t="s">
        <v>55</v>
      </c>
      <c r="E2623" s="224" t="s">
        <v>256</v>
      </c>
      <c r="F2623" s="224" t="s">
        <v>10</v>
      </c>
      <c r="G2623" s="223" t="str">
        <f>VLOOKUP($B2623,'FRS geographical categories'!$A$2:$C$45,2,FALSE)</f>
        <v>Significantly Rural</v>
      </c>
      <c r="H2623" s="223" t="str">
        <f>VLOOKUP($B2623,'FRS geographical categories'!$A$2:$C$45,3,FALSE)</f>
        <v>Non-metropolitan</v>
      </c>
      <c r="I2623" s="224">
        <v>11</v>
      </c>
    </row>
    <row r="2624" spans="1:9" ht="15.5" x14ac:dyDescent="0.35">
      <c r="A2624" s="224" t="s">
        <v>81</v>
      </c>
      <c r="B2624" s="224" t="s">
        <v>93</v>
      </c>
      <c r="C2624" s="224" t="s">
        <v>89</v>
      </c>
      <c r="D2624" s="224" t="s">
        <v>9</v>
      </c>
      <c r="E2624" s="224" t="s">
        <v>256</v>
      </c>
      <c r="F2624" s="224" t="s">
        <v>248</v>
      </c>
      <c r="G2624" s="223" t="str">
        <f>VLOOKUP($B2624,'FRS geographical categories'!$A$2:$C$45,2,FALSE)</f>
        <v>Significantly Rural</v>
      </c>
      <c r="H2624" s="223" t="str">
        <f>VLOOKUP($B2624,'FRS geographical categories'!$A$2:$C$45,3,FALSE)</f>
        <v>Non-metropolitan</v>
      </c>
      <c r="I2624" s="224">
        <v>0</v>
      </c>
    </row>
    <row r="2625" spans="1:9" ht="15.5" x14ac:dyDescent="0.35">
      <c r="A2625" s="224" t="s">
        <v>81</v>
      </c>
      <c r="B2625" s="224" t="s">
        <v>93</v>
      </c>
      <c r="C2625" s="224" t="s">
        <v>89</v>
      </c>
      <c r="D2625" s="224" t="s">
        <v>9</v>
      </c>
      <c r="E2625" s="224" t="s">
        <v>256</v>
      </c>
      <c r="F2625" s="224" t="s">
        <v>249</v>
      </c>
      <c r="G2625" s="223" t="str">
        <f>VLOOKUP($B2625,'FRS geographical categories'!$A$2:$C$45,2,FALSE)</f>
        <v>Significantly Rural</v>
      </c>
      <c r="H2625" s="223" t="str">
        <f>VLOOKUP($B2625,'FRS geographical categories'!$A$2:$C$45,3,FALSE)</f>
        <v>Non-metropolitan</v>
      </c>
      <c r="I2625" s="224">
        <v>0</v>
      </c>
    </row>
    <row r="2626" spans="1:9" ht="15.5" x14ac:dyDescent="0.35">
      <c r="A2626" s="224" t="s">
        <v>81</v>
      </c>
      <c r="B2626" s="224" t="s">
        <v>93</v>
      </c>
      <c r="C2626" s="224" t="s">
        <v>89</v>
      </c>
      <c r="D2626" s="224" t="s">
        <v>9</v>
      </c>
      <c r="E2626" s="224" t="s">
        <v>256</v>
      </c>
      <c r="F2626" s="224" t="s">
        <v>250</v>
      </c>
      <c r="G2626" s="223" t="str">
        <f>VLOOKUP($B2626,'FRS geographical categories'!$A$2:$C$45,2,FALSE)</f>
        <v>Significantly Rural</v>
      </c>
      <c r="H2626" s="223" t="str">
        <f>VLOOKUP($B2626,'FRS geographical categories'!$A$2:$C$45,3,FALSE)</f>
        <v>Non-metropolitan</v>
      </c>
      <c r="I2626" s="224">
        <v>0</v>
      </c>
    </row>
    <row r="2627" spans="1:9" ht="15.5" x14ac:dyDescent="0.35">
      <c r="A2627" s="224" t="s">
        <v>81</v>
      </c>
      <c r="B2627" s="224" t="s">
        <v>93</v>
      </c>
      <c r="C2627" s="224" t="s">
        <v>89</v>
      </c>
      <c r="D2627" s="224" t="s">
        <v>9</v>
      </c>
      <c r="E2627" s="224" t="s">
        <v>256</v>
      </c>
      <c r="F2627" s="224" t="s">
        <v>10</v>
      </c>
      <c r="G2627" s="223" t="str">
        <f>VLOOKUP($B2627,'FRS geographical categories'!$A$2:$C$45,2,FALSE)</f>
        <v>Significantly Rural</v>
      </c>
      <c r="H2627" s="223" t="str">
        <f>VLOOKUP($B2627,'FRS geographical categories'!$A$2:$C$45,3,FALSE)</f>
        <v>Non-metropolitan</v>
      </c>
      <c r="I2627" s="224">
        <v>0</v>
      </c>
    </row>
    <row r="2628" spans="1:9" ht="15.5" x14ac:dyDescent="0.35">
      <c r="A2628" s="224" t="s">
        <v>81</v>
      </c>
      <c r="B2628" s="224" t="s">
        <v>93</v>
      </c>
      <c r="C2628" s="224" t="s">
        <v>89</v>
      </c>
      <c r="D2628" s="224" t="s">
        <v>55</v>
      </c>
      <c r="E2628" s="224" t="s">
        <v>256</v>
      </c>
      <c r="F2628" s="224" t="s">
        <v>248</v>
      </c>
      <c r="G2628" s="223" t="str">
        <f>VLOOKUP($B2628,'FRS geographical categories'!$A$2:$C$45,2,FALSE)</f>
        <v>Significantly Rural</v>
      </c>
      <c r="H2628" s="223" t="str">
        <f>VLOOKUP($B2628,'FRS geographical categories'!$A$2:$C$45,3,FALSE)</f>
        <v>Non-metropolitan</v>
      </c>
      <c r="I2628" s="224">
        <v>0</v>
      </c>
    </row>
    <row r="2629" spans="1:9" ht="15.5" x14ac:dyDescent="0.35">
      <c r="A2629" s="224" t="s">
        <v>81</v>
      </c>
      <c r="B2629" s="224" t="s">
        <v>93</v>
      </c>
      <c r="C2629" s="224" t="s">
        <v>89</v>
      </c>
      <c r="D2629" s="224" t="s">
        <v>55</v>
      </c>
      <c r="E2629" s="224" t="s">
        <v>256</v>
      </c>
      <c r="F2629" s="224" t="s">
        <v>249</v>
      </c>
      <c r="G2629" s="223" t="str">
        <f>VLOOKUP($B2629,'FRS geographical categories'!$A$2:$C$45,2,FALSE)</f>
        <v>Significantly Rural</v>
      </c>
      <c r="H2629" s="223" t="str">
        <f>VLOOKUP($B2629,'FRS geographical categories'!$A$2:$C$45,3,FALSE)</f>
        <v>Non-metropolitan</v>
      </c>
      <c r="I2629" s="224">
        <v>0</v>
      </c>
    </row>
    <row r="2630" spans="1:9" ht="15.5" x14ac:dyDescent="0.35">
      <c r="A2630" s="224" t="s">
        <v>81</v>
      </c>
      <c r="B2630" s="224" t="s">
        <v>93</v>
      </c>
      <c r="C2630" s="224" t="s">
        <v>89</v>
      </c>
      <c r="D2630" s="224" t="s">
        <v>55</v>
      </c>
      <c r="E2630" s="224" t="s">
        <v>256</v>
      </c>
      <c r="F2630" s="224" t="s">
        <v>250</v>
      </c>
      <c r="G2630" s="223" t="str">
        <f>VLOOKUP($B2630,'FRS geographical categories'!$A$2:$C$45,2,FALSE)</f>
        <v>Significantly Rural</v>
      </c>
      <c r="H2630" s="223" t="str">
        <f>VLOOKUP($B2630,'FRS geographical categories'!$A$2:$C$45,3,FALSE)</f>
        <v>Non-metropolitan</v>
      </c>
      <c r="I2630" s="224">
        <v>0</v>
      </c>
    </row>
    <row r="2631" spans="1:9" ht="15.5" x14ac:dyDescent="0.35">
      <c r="A2631" s="224" t="s">
        <v>81</v>
      </c>
      <c r="B2631" s="224" t="s">
        <v>93</v>
      </c>
      <c r="C2631" s="224" t="s">
        <v>89</v>
      </c>
      <c r="D2631" s="224" t="s">
        <v>55</v>
      </c>
      <c r="E2631" s="224" t="s">
        <v>256</v>
      </c>
      <c r="F2631" s="224" t="s">
        <v>10</v>
      </c>
      <c r="G2631" s="223" t="str">
        <f>VLOOKUP($B2631,'FRS geographical categories'!$A$2:$C$45,2,FALSE)</f>
        <v>Significantly Rural</v>
      </c>
      <c r="H2631" s="223" t="str">
        <f>VLOOKUP($B2631,'FRS geographical categories'!$A$2:$C$45,3,FALSE)</f>
        <v>Non-metropolitan</v>
      </c>
      <c r="I2631" s="224">
        <v>0</v>
      </c>
    </row>
    <row r="2632" spans="1:9" ht="15.5" x14ac:dyDescent="0.35">
      <c r="A2632" s="224" t="s">
        <v>81</v>
      </c>
      <c r="B2632" s="224" t="s">
        <v>28</v>
      </c>
      <c r="C2632" s="224" t="s">
        <v>86</v>
      </c>
      <c r="D2632" s="224" t="s">
        <v>9</v>
      </c>
      <c r="E2632" s="224" t="s">
        <v>256</v>
      </c>
      <c r="F2632" s="224" t="s">
        <v>248</v>
      </c>
      <c r="G2632" s="223" t="str">
        <f>VLOOKUP($B2632,'FRS geographical categories'!$A$2:$C$45,2,FALSE)</f>
        <v>Significantly Rural</v>
      </c>
      <c r="H2632" s="223" t="str">
        <f>VLOOKUP($B2632,'FRS geographical categories'!$A$2:$C$45,3,FALSE)</f>
        <v>Non-metropolitan</v>
      </c>
      <c r="I2632" s="224">
        <v>568</v>
      </c>
    </row>
    <row r="2633" spans="1:9" ht="15.5" x14ac:dyDescent="0.35">
      <c r="A2633" s="224" t="s">
        <v>81</v>
      </c>
      <c r="B2633" s="224" t="s">
        <v>28</v>
      </c>
      <c r="C2633" s="224" t="s">
        <v>86</v>
      </c>
      <c r="D2633" s="224" t="s">
        <v>9</v>
      </c>
      <c r="E2633" s="224" t="s">
        <v>256</v>
      </c>
      <c r="F2633" s="224" t="s">
        <v>249</v>
      </c>
      <c r="G2633" s="223" t="str">
        <f>VLOOKUP($B2633,'FRS geographical categories'!$A$2:$C$45,2,FALSE)</f>
        <v>Significantly Rural</v>
      </c>
      <c r="H2633" s="223" t="str">
        <f>VLOOKUP($B2633,'FRS geographical categories'!$A$2:$C$45,3,FALSE)</f>
        <v>Non-metropolitan</v>
      </c>
      <c r="I2633" s="224">
        <v>2231</v>
      </c>
    </row>
    <row r="2634" spans="1:9" ht="15.5" x14ac:dyDescent="0.35">
      <c r="A2634" s="224" t="s">
        <v>81</v>
      </c>
      <c r="B2634" s="224" t="s">
        <v>28</v>
      </c>
      <c r="C2634" s="224" t="s">
        <v>86</v>
      </c>
      <c r="D2634" s="224" t="s">
        <v>9</v>
      </c>
      <c r="E2634" s="224" t="s">
        <v>256</v>
      </c>
      <c r="F2634" s="224" t="s">
        <v>250</v>
      </c>
      <c r="G2634" s="223" t="str">
        <f>VLOOKUP($B2634,'FRS geographical categories'!$A$2:$C$45,2,FALSE)</f>
        <v>Significantly Rural</v>
      </c>
      <c r="H2634" s="223" t="str">
        <f>VLOOKUP($B2634,'FRS geographical categories'!$A$2:$C$45,3,FALSE)</f>
        <v>Non-metropolitan</v>
      </c>
      <c r="I2634" s="224">
        <v>1760</v>
      </c>
    </row>
    <row r="2635" spans="1:9" ht="15.5" x14ac:dyDescent="0.35">
      <c r="A2635" s="224" t="s">
        <v>81</v>
      </c>
      <c r="B2635" s="224" t="s">
        <v>28</v>
      </c>
      <c r="C2635" s="224" t="s">
        <v>86</v>
      </c>
      <c r="D2635" s="224" t="s">
        <v>9</v>
      </c>
      <c r="E2635" s="224" t="s">
        <v>256</v>
      </c>
      <c r="F2635" s="224" t="s">
        <v>111</v>
      </c>
      <c r="G2635" s="223" t="str">
        <f>VLOOKUP($B2635,'FRS geographical categories'!$A$2:$C$45,2,FALSE)</f>
        <v>Significantly Rural</v>
      </c>
      <c r="H2635" s="223" t="str">
        <f>VLOOKUP($B2635,'FRS geographical categories'!$A$2:$C$45,3,FALSE)</f>
        <v>Non-metropolitan</v>
      </c>
      <c r="I2635" s="224">
        <v>5700</v>
      </c>
    </row>
    <row r="2636" spans="1:9" ht="15.5" x14ac:dyDescent="0.35">
      <c r="A2636" s="224" t="s">
        <v>81</v>
      </c>
      <c r="B2636" s="224" t="s">
        <v>28</v>
      </c>
      <c r="C2636" s="224" t="s">
        <v>86</v>
      </c>
      <c r="D2636" s="224" t="s">
        <v>9</v>
      </c>
      <c r="E2636" s="224" t="s">
        <v>256</v>
      </c>
      <c r="F2636" s="224" t="s">
        <v>10</v>
      </c>
      <c r="G2636" s="223" t="str">
        <f>VLOOKUP($B2636,'FRS geographical categories'!$A$2:$C$45,2,FALSE)</f>
        <v>Significantly Rural</v>
      </c>
      <c r="H2636" s="223" t="str">
        <f>VLOOKUP($B2636,'FRS geographical categories'!$A$2:$C$45,3,FALSE)</f>
        <v>Non-metropolitan</v>
      </c>
      <c r="I2636" s="224">
        <v>6233</v>
      </c>
    </row>
    <row r="2637" spans="1:9" ht="15.5" x14ac:dyDescent="0.35">
      <c r="A2637" s="224" t="s">
        <v>81</v>
      </c>
      <c r="B2637" s="224" t="s">
        <v>28</v>
      </c>
      <c r="C2637" s="224" t="s">
        <v>86</v>
      </c>
      <c r="D2637" s="224" t="s">
        <v>55</v>
      </c>
      <c r="E2637" s="224" t="s">
        <v>256</v>
      </c>
      <c r="F2637" s="224" t="s">
        <v>248</v>
      </c>
      <c r="G2637" s="223" t="str">
        <f>VLOOKUP($B2637,'FRS geographical categories'!$A$2:$C$45,2,FALSE)</f>
        <v>Significantly Rural</v>
      </c>
      <c r="H2637" s="223" t="str">
        <f>VLOOKUP($B2637,'FRS geographical categories'!$A$2:$C$45,3,FALSE)</f>
        <v>Non-metropolitan</v>
      </c>
      <c r="I2637" s="224">
        <v>10</v>
      </c>
    </row>
    <row r="2638" spans="1:9" ht="15.5" x14ac:dyDescent="0.35">
      <c r="A2638" s="224" t="s">
        <v>81</v>
      </c>
      <c r="B2638" s="224" t="s">
        <v>28</v>
      </c>
      <c r="C2638" s="224" t="s">
        <v>86</v>
      </c>
      <c r="D2638" s="224" t="s">
        <v>55</v>
      </c>
      <c r="E2638" s="224" t="s">
        <v>256</v>
      </c>
      <c r="F2638" s="224" t="s">
        <v>249</v>
      </c>
      <c r="G2638" s="223" t="str">
        <f>VLOOKUP($B2638,'FRS geographical categories'!$A$2:$C$45,2,FALSE)</f>
        <v>Significantly Rural</v>
      </c>
      <c r="H2638" s="223" t="str">
        <f>VLOOKUP($B2638,'FRS geographical categories'!$A$2:$C$45,3,FALSE)</f>
        <v>Non-metropolitan</v>
      </c>
      <c r="I2638" s="224">
        <v>32</v>
      </c>
    </row>
    <row r="2639" spans="1:9" ht="15.5" x14ac:dyDescent="0.35">
      <c r="A2639" s="224" t="s">
        <v>81</v>
      </c>
      <c r="B2639" s="224" t="s">
        <v>28</v>
      </c>
      <c r="C2639" s="224" t="s">
        <v>86</v>
      </c>
      <c r="D2639" s="224" t="s">
        <v>55</v>
      </c>
      <c r="E2639" s="224" t="s">
        <v>256</v>
      </c>
      <c r="F2639" s="224" t="s">
        <v>250</v>
      </c>
      <c r="G2639" s="223" t="str">
        <f>VLOOKUP($B2639,'FRS geographical categories'!$A$2:$C$45,2,FALSE)</f>
        <v>Significantly Rural</v>
      </c>
      <c r="H2639" s="223" t="str">
        <f>VLOOKUP($B2639,'FRS geographical categories'!$A$2:$C$45,3,FALSE)</f>
        <v>Non-metropolitan</v>
      </c>
      <c r="I2639" s="224">
        <v>105</v>
      </c>
    </row>
    <row r="2640" spans="1:9" ht="15.5" x14ac:dyDescent="0.35">
      <c r="A2640" s="224" t="s">
        <v>81</v>
      </c>
      <c r="B2640" s="224" t="s">
        <v>28</v>
      </c>
      <c r="C2640" s="224" t="s">
        <v>86</v>
      </c>
      <c r="D2640" s="224" t="s">
        <v>55</v>
      </c>
      <c r="E2640" s="224" t="s">
        <v>256</v>
      </c>
      <c r="F2640" s="224" t="s">
        <v>111</v>
      </c>
      <c r="G2640" s="223" t="str">
        <f>VLOOKUP($B2640,'FRS geographical categories'!$A$2:$C$45,2,FALSE)</f>
        <v>Significantly Rural</v>
      </c>
      <c r="H2640" s="223" t="str">
        <f>VLOOKUP($B2640,'FRS geographical categories'!$A$2:$C$45,3,FALSE)</f>
        <v>Non-metropolitan</v>
      </c>
      <c r="I2640" s="224">
        <v>221</v>
      </c>
    </row>
    <row r="2641" spans="1:9" ht="15.5" x14ac:dyDescent="0.35">
      <c r="A2641" s="224" t="s">
        <v>81</v>
      </c>
      <c r="B2641" s="224" t="s">
        <v>28</v>
      </c>
      <c r="C2641" s="224" t="s">
        <v>86</v>
      </c>
      <c r="D2641" s="224" t="s">
        <v>55</v>
      </c>
      <c r="E2641" s="224" t="s">
        <v>256</v>
      </c>
      <c r="F2641" s="224" t="s">
        <v>10</v>
      </c>
      <c r="G2641" s="223" t="str">
        <f>VLOOKUP($B2641,'FRS geographical categories'!$A$2:$C$45,2,FALSE)</f>
        <v>Significantly Rural</v>
      </c>
      <c r="H2641" s="223" t="str">
        <f>VLOOKUP($B2641,'FRS geographical categories'!$A$2:$C$45,3,FALSE)</f>
        <v>Non-metropolitan</v>
      </c>
      <c r="I2641" s="224">
        <v>285</v>
      </c>
    </row>
    <row r="2642" spans="1:9" ht="15.5" x14ac:dyDescent="0.35">
      <c r="A2642" s="224" t="s">
        <v>81</v>
      </c>
      <c r="B2642" s="224" t="s">
        <v>28</v>
      </c>
      <c r="C2642" s="224" t="s">
        <v>89</v>
      </c>
      <c r="D2642" s="224" t="s">
        <v>9</v>
      </c>
      <c r="E2642" s="224" t="s">
        <v>256</v>
      </c>
      <c r="F2642" s="224" t="s">
        <v>248</v>
      </c>
      <c r="G2642" s="223" t="str">
        <f>VLOOKUP($B2642,'FRS geographical categories'!$A$2:$C$45,2,FALSE)</f>
        <v>Significantly Rural</v>
      </c>
      <c r="H2642" s="223" t="str">
        <f>VLOOKUP($B2642,'FRS geographical categories'!$A$2:$C$45,3,FALSE)</f>
        <v>Non-metropolitan</v>
      </c>
      <c r="I2642" s="224">
        <v>0</v>
      </c>
    </row>
    <row r="2643" spans="1:9" ht="15.5" x14ac:dyDescent="0.35">
      <c r="A2643" s="224" t="s">
        <v>81</v>
      </c>
      <c r="B2643" s="224" t="s">
        <v>28</v>
      </c>
      <c r="C2643" s="224" t="s">
        <v>89</v>
      </c>
      <c r="D2643" s="224" t="s">
        <v>9</v>
      </c>
      <c r="E2643" s="224" t="s">
        <v>256</v>
      </c>
      <c r="F2643" s="224" t="s">
        <v>249</v>
      </c>
      <c r="G2643" s="223" t="str">
        <f>VLOOKUP($B2643,'FRS geographical categories'!$A$2:$C$45,2,FALSE)</f>
        <v>Significantly Rural</v>
      </c>
      <c r="H2643" s="223" t="str">
        <f>VLOOKUP($B2643,'FRS geographical categories'!$A$2:$C$45,3,FALSE)</f>
        <v>Non-metropolitan</v>
      </c>
      <c r="I2643" s="224">
        <v>0</v>
      </c>
    </row>
    <row r="2644" spans="1:9" ht="15.5" x14ac:dyDescent="0.35">
      <c r="A2644" s="224" t="s">
        <v>81</v>
      </c>
      <c r="B2644" s="224" t="s">
        <v>28</v>
      </c>
      <c r="C2644" s="224" t="s">
        <v>89</v>
      </c>
      <c r="D2644" s="224" t="s">
        <v>9</v>
      </c>
      <c r="E2644" s="224" t="s">
        <v>256</v>
      </c>
      <c r="F2644" s="224" t="s">
        <v>250</v>
      </c>
      <c r="G2644" s="223" t="str">
        <f>VLOOKUP($B2644,'FRS geographical categories'!$A$2:$C$45,2,FALSE)</f>
        <v>Significantly Rural</v>
      </c>
      <c r="H2644" s="223" t="str">
        <f>VLOOKUP($B2644,'FRS geographical categories'!$A$2:$C$45,3,FALSE)</f>
        <v>Non-metropolitan</v>
      </c>
      <c r="I2644" s="224">
        <v>0</v>
      </c>
    </row>
    <row r="2645" spans="1:9" ht="15.5" x14ac:dyDescent="0.35">
      <c r="A2645" s="224" t="s">
        <v>81</v>
      </c>
      <c r="B2645" s="224" t="s">
        <v>28</v>
      </c>
      <c r="C2645" s="224" t="s">
        <v>89</v>
      </c>
      <c r="D2645" s="224" t="s">
        <v>9</v>
      </c>
      <c r="E2645" s="224" t="s">
        <v>256</v>
      </c>
      <c r="F2645" s="224" t="s">
        <v>10</v>
      </c>
      <c r="G2645" s="223" t="str">
        <f>VLOOKUP($B2645,'FRS geographical categories'!$A$2:$C$45,2,FALSE)</f>
        <v>Significantly Rural</v>
      </c>
      <c r="H2645" s="223" t="str">
        <f>VLOOKUP($B2645,'FRS geographical categories'!$A$2:$C$45,3,FALSE)</f>
        <v>Non-metropolitan</v>
      </c>
      <c r="I2645" s="224">
        <v>0</v>
      </c>
    </row>
    <row r="2646" spans="1:9" ht="15.5" x14ac:dyDescent="0.35">
      <c r="A2646" s="224" t="s">
        <v>81</v>
      </c>
      <c r="B2646" s="224" t="s">
        <v>28</v>
      </c>
      <c r="C2646" s="224" t="s">
        <v>89</v>
      </c>
      <c r="D2646" s="224" t="s">
        <v>55</v>
      </c>
      <c r="E2646" s="224" t="s">
        <v>256</v>
      </c>
      <c r="F2646" s="224" t="s">
        <v>248</v>
      </c>
      <c r="G2646" s="223" t="str">
        <f>VLOOKUP($B2646,'FRS geographical categories'!$A$2:$C$45,2,FALSE)</f>
        <v>Significantly Rural</v>
      </c>
      <c r="H2646" s="223" t="str">
        <f>VLOOKUP($B2646,'FRS geographical categories'!$A$2:$C$45,3,FALSE)</f>
        <v>Non-metropolitan</v>
      </c>
      <c r="I2646" s="224">
        <v>0</v>
      </c>
    </row>
    <row r="2647" spans="1:9" ht="15.5" x14ac:dyDescent="0.35">
      <c r="A2647" s="224" t="s">
        <v>81</v>
      </c>
      <c r="B2647" s="224" t="s">
        <v>28</v>
      </c>
      <c r="C2647" s="224" t="s">
        <v>89</v>
      </c>
      <c r="D2647" s="224" t="s">
        <v>55</v>
      </c>
      <c r="E2647" s="224" t="s">
        <v>256</v>
      </c>
      <c r="F2647" s="224" t="s">
        <v>249</v>
      </c>
      <c r="G2647" s="223" t="str">
        <f>VLOOKUP($B2647,'FRS geographical categories'!$A$2:$C$45,2,FALSE)</f>
        <v>Significantly Rural</v>
      </c>
      <c r="H2647" s="223" t="str">
        <f>VLOOKUP($B2647,'FRS geographical categories'!$A$2:$C$45,3,FALSE)</f>
        <v>Non-metropolitan</v>
      </c>
      <c r="I2647" s="224">
        <v>0</v>
      </c>
    </row>
    <row r="2648" spans="1:9" ht="15.5" x14ac:dyDescent="0.35">
      <c r="A2648" s="224" t="s">
        <v>81</v>
      </c>
      <c r="B2648" s="224" t="s">
        <v>28</v>
      </c>
      <c r="C2648" s="224" t="s">
        <v>89</v>
      </c>
      <c r="D2648" s="224" t="s">
        <v>55</v>
      </c>
      <c r="E2648" s="224" t="s">
        <v>256</v>
      </c>
      <c r="F2648" s="224" t="s">
        <v>250</v>
      </c>
      <c r="G2648" s="223" t="str">
        <f>VLOOKUP($B2648,'FRS geographical categories'!$A$2:$C$45,2,FALSE)</f>
        <v>Significantly Rural</v>
      </c>
      <c r="H2648" s="223" t="str">
        <f>VLOOKUP($B2648,'FRS geographical categories'!$A$2:$C$45,3,FALSE)</f>
        <v>Non-metropolitan</v>
      </c>
      <c r="I2648" s="224">
        <v>0</v>
      </c>
    </row>
    <row r="2649" spans="1:9" ht="15.5" x14ac:dyDescent="0.35">
      <c r="A2649" s="224" t="s">
        <v>81</v>
      </c>
      <c r="B2649" s="224" t="s">
        <v>28</v>
      </c>
      <c r="C2649" s="224" t="s">
        <v>89</v>
      </c>
      <c r="D2649" s="224" t="s">
        <v>55</v>
      </c>
      <c r="E2649" s="224" t="s">
        <v>256</v>
      </c>
      <c r="F2649" s="224" t="s">
        <v>10</v>
      </c>
      <c r="G2649" s="223" t="str">
        <f>VLOOKUP($B2649,'FRS geographical categories'!$A$2:$C$45,2,FALSE)</f>
        <v>Significantly Rural</v>
      </c>
      <c r="H2649" s="223" t="str">
        <f>VLOOKUP($B2649,'FRS geographical categories'!$A$2:$C$45,3,FALSE)</f>
        <v>Non-metropolitan</v>
      </c>
      <c r="I2649" s="224">
        <v>0</v>
      </c>
    </row>
    <row r="2650" spans="1:9" ht="15.5" x14ac:dyDescent="0.35">
      <c r="A2650" s="224" t="s">
        <v>81</v>
      </c>
      <c r="B2650" s="224" t="s">
        <v>29</v>
      </c>
      <c r="C2650" s="224" t="s">
        <v>86</v>
      </c>
      <c r="D2650" s="224" t="s">
        <v>9</v>
      </c>
      <c r="E2650" s="224" t="s">
        <v>256</v>
      </c>
      <c r="F2650" s="224" t="s">
        <v>248</v>
      </c>
      <c r="G2650" s="223" t="str">
        <f>VLOOKUP($B2650,'FRS geographical categories'!$A$2:$C$45,2,FALSE)</f>
        <v>Predominantly Urban</v>
      </c>
      <c r="H2650" s="223" t="str">
        <f>VLOOKUP($B2650,'FRS geographical categories'!$A$2:$C$45,3,FALSE)</f>
        <v>Non-metropolitan</v>
      </c>
      <c r="I2650" s="224">
        <v>183</v>
      </c>
    </row>
    <row r="2651" spans="1:9" ht="15.5" x14ac:dyDescent="0.35">
      <c r="A2651" s="224" t="s">
        <v>81</v>
      </c>
      <c r="B2651" s="224" t="s">
        <v>29</v>
      </c>
      <c r="C2651" s="224" t="s">
        <v>86</v>
      </c>
      <c r="D2651" s="224" t="s">
        <v>9</v>
      </c>
      <c r="E2651" s="224" t="s">
        <v>256</v>
      </c>
      <c r="F2651" s="224" t="s">
        <v>249</v>
      </c>
      <c r="G2651" s="223" t="str">
        <f>VLOOKUP($B2651,'FRS geographical categories'!$A$2:$C$45,2,FALSE)</f>
        <v>Predominantly Urban</v>
      </c>
      <c r="H2651" s="223" t="str">
        <f>VLOOKUP($B2651,'FRS geographical categories'!$A$2:$C$45,3,FALSE)</f>
        <v>Non-metropolitan</v>
      </c>
      <c r="I2651" s="224">
        <v>428</v>
      </c>
    </row>
    <row r="2652" spans="1:9" ht="15.5" x14ac:dyDescent="0.35">
      <c r="A2652" s="224" t="s">
        <v>81</v>
      </c>
      <c r="B2652" s="224" t="s">
        <v>29</v>
      </c>
      <c r="C2652" s="224" t="s">
        <v>86</v>
      </c>
      <c r="D2652" s="224" t="s">
        <v>9</v>
      </c>
      <c r="E2652" s="224" t="s">
        <v>256</v>
      </c>
      <c r="F2652" s="224" t="s">
        <v>250</v>
      </c>
      <c r="G2652" s="223" t="str">
        <f>VLOOKUP($B2652,'FRS geographical categories'!$A$2:$C$45,2,FALSE)</f>
        <v>Predominantly Urban</v>
      </c>
      <c r="H2652" s="223" t="str">
        <f>VLOOKUP($B2652,'FRS geographical categories'!$A$2:$C$45,3,FALSE)</f>
        <v>Non-metropolitan</v>
      </c>
      <c r="I2652" s="224">
        <v>2034</v>
      </c>
    </row>
    <row r="2653" spans="1:9" ht="15.5" x14ac:dyDescent="0.35">
      <c r="A2653" s="224" t="s">
        <v>81</v>
      </c>
      <c r="B2653" s="224" t="s">
        <v>29</v>
      </c>
      <c r="C2653" s="224" t="s">
        <v>86</v>
      </c>
      <c r="D2653" s="224" t="s">
        <v>9</v>
      </c>
      <c r="E2653" s="224" t="s">
        <v>256</v>
      </c>
      <c r="F2653" s="224" t="s">
        <v>111</v>
      </c>
      <c r="G2653" s="223" t="str">
        <f>VLOOKUP($B2653,'FRS geographical categories'!$A$2:$C$45,2,FALSE)</f>
        <v>Predominantly Urban</v>
      </c>
      <c r="H2653" s="223" t="str">
        <f>VLOOKUP($B2653,'FRS geographical categories'!$A$2:$C$45,3,FALSE)</f>
        <v>Non-metropolitan</v>
      </c>
      <c r="I2653" s="224">
        <v>3094</v>
      </c>
    </row>
    <row r="2654" spans="1:9" ht="15.5" x14ac:dyDescent="0.35">
      <c r="A2654" s="224" t="s">
        <v>81</v>
      </c>
      <c r="B2654" s="224" t="s">
        <v>29</v>
      </c>
      <c r="C2654" s="224" t="s">
        <v>86</v>
      </c>
      <c r="D2654" s="224" t="s">
        <v>9</v>
      </c>
      <c r="E2654" s="224" t="s">
        <v>256</v>
      </c>
      <c r="F2654" s="224" t="s">
        <v>10</v>
      </c>
      <c r="G2654" s="223" t="str">
        <f>VLOOKUP($B2654,'FRS geographical categories'!$A$2:$C$45,2,FALSE)</f>
        <v>Predominantly Urban</v>
      </c>
      <c r="H2654" s="223" t="str">
        <f>VLOOKUP($B2654,'FRS geographical categories'!$A$2:$C$45,3,FALSE)</f>
        <v>Non-metropolitan</v>
      </c>
      <c r="I2654" s="224">
        <v>5007</v>
      </c>
    </row>
    <row r="2655" spans="1:9" ht="15.5" x14ac:dyDescent="0.35">
      <c r="A2655" s="224" t="s">
        <v>81</v>
      </c>
      <c r="B2655" s="224" t="s">
        <v>29</v>
      </c>
      <c r="C2655" s="224" t="s">
        <v>86</v>
      </c>
      <c r="D2655" s="224" t="s">
        <v>55</v>
      </c>
      <c r="E2655" s="224" t="s">
        <v>256</v>
      </c>
      <c r="F2655" s="224" t="s">
        <v>248</v>
      </c>
      <c r="G2655" s="223" t="str">
        <f>VLOOKUP($B2655,'FRS geographical categories'!$A$2:$C$45,2,FALSE)</f>
        <v>Predominantly Urban</v>
      </c>
      <c r="H2655" s="223" t="str">
        <f>VLOOKUP($B2655,'FRS geographical categories'!$A$2:$C$45,3,FALSE)</f>
        <v>Non-metropolitan</v>
      </c>
      <c r="I2655" s="224">
        <v>12</v>
      </c>
    </row>
    <row r="2656" spans="1:9" ht="15.5" x14ac:dyDescent="0.35">
      <c r="A2656" s="224" t="s">
        <v>81</v>
      </c>
      <c r="B2656" s="224" t="s">
        <v>29</v>
      </c>
      <c r="C2656" s="224" t="s">
        <v>86</v>
      </c>
      <c r="D2656" s="224" t="s">
        <v>55</v>
      </c>
      <c r="E2656" s="224" t="s">
        <v>256</v>
      </c>
      <c r="F2656" s="224" t="s">
        <v>249</v>
      </c>
      <c r="G2656" s="223" t="str">
        <f>VLOOKUP($B2656,'FRS geographical categories'!$A$2:$C$45,2,FALSE)</f>
        <v>Predominantly Urban</v>
      </c>
      <c r="H2656" s="223" t="str">
        <f>VLOOKUP($B2656,'FRS geographical categories'!$A$2:$C$45,3,FALSE)</f>
        <v>Non-metropolitan</v>
      </c>
      <c r="I2656" s="224">
        <v>31</v>
      </c>
    </row>
    <row r="2657" spans="1:9" ht="15.5" x14ac:dyDescent="0.35">
      <c r="A2657" s="224" t="s">
        <v>81</v>
      </c>
      <c r="B2657" s="224" t="s">
        <v>29</v>
      </c>
      <c r="C2657" s="224" t="s">
        <v>86</v>
      </c>
      <c r="D2657" s="224" t="s">
        <v>55</v>
      </c>
      <c r="E2657" s="224" t="s">
        <v>256</v>
      </c>
      <c r="F2657" s="224" t="s">
        <v>250</v>
      </c>
      <c r="G2657" s="223" t="str">
        <f>VLOOKUP($B2657,'FRS geographical categories'!$A$2:$C$45,2,FALSE)</f>
        <v>Predominantly Urban</v>
      </c>
      <c r="H2657" s="223" t="str">
        <f>VLOOKUP($B2657,'FRS geographical categories'!$A$2:$C$45,3,FALSE)</f>
        <v>Non-metropolitan</v>
      </c>
      <c r="I2657" s="224">
        <v>137</v>
      </c>
    </row>
    <row r="2658" spans="1:9" ht="15.5" x14ac:dyDescent="0.35">
      <c r="A2658" s="224" t="s">
        <v>81</v>
      </c>
      <c r="B2658" s="224" t="s">
        <v>29</v>
      </c>
      <c r="C2658" s="224" t="s">
        <v>86</v>
      </c>
      <c r="D2658" s="224" t="s">
        <v>55</v>
      </c>
      <c r="E2658" s="224" t="s">
        <v>256</v>
      </c>
      <c r="F2658" s="224" t="s">
        <v>111</v>
      </c>
      <c r="G2658" s="223" t="str">
        <f>VLOOKUP($B2658,'FRS geographical categories'!$A$2:$C$45,2,FALSE)</f>
        <v>Predominantly Urban</v>
      </c>
      <c r="H2658" s="223" t="str">
        <f>VLOOKUP($B2658,'FRS geographical categories'!$A$2:$C$45,3,FALSE)</f>
        <v>Non-metropolitan</v>
      </c>
      <c r="I2658" s="224">
        <v>0</v>
      </c>
    </row>
    <row r="2659" spans="1:9" ht="15.5" x14ac:dyDescent="0.35">
      <c r="A2659" s="224" t="s">
        <v>81</v>
      </c>
      <c r="B2659" s="224" t="s">
        <v>29</v>
      </c>
      <c r="C2659" s="224" t="s">
        <v>86</v>
      </c>
      <c r="D2659" s="224" t="s">
        <v>55</v>
      </c>
      <c r="E2659" s="224" t="s">
        <v>256</v>
      </c>
      <c r="F2659" s="224" t="s">
        <v>10</v>
      </c>
      <c r="G2659" s="223" t="str">
        <f>VLOOKUP($B2659,'FRS geographical categories'!$A$2:$C$45,2,FALSE)</f>
        <v>Predominantly Urban</v>
      </c>
      <c r="H2659" s="223" t="str">
        <f>VLOOKUP($B2659,'FRS geographical categories'!$A$2:$C$45,3,FALSE)</f>
        <v>Non-metropolitan</v>
      </c>
      <c r="I2659" s="224">
        <v>268</v>
      </c>
    </row>
    <row r="2660" spans="1:9" ht="15.5" x14ac:dyDescent="0.35">
      <c r="A2660" s="224" t="s">
        <v>81</v>
      </c>
      <c r="B2660" s="224" t="s">
        <v>29</v>
      </c>
      <c r="C2660" s="224" t="s">
        <v>89</v>
      </c>
      <c r="D2660" s="224" t="s">
        <v>9</v>
      </c>
      <c r="E2660" s="224" t="s">
        <v>256</v>
      </c>
      <c r="F2660" s="224" t="s">
        <v>248</v>
      </c>
      <c r="G2660" s="223" t="str">
        <f>VLOOKUP($B2660,'FRS geographical categories'!$A$2:$C$45,2,FALSE)</f>
        <v>Predominantly Urban</v>
      </c>
      <c r="H2660" s="223" t="str">
        <f>VLOOKUP($B2660,'FRS geographical categories'!$A$2:$C$45,3,FALSE)</f>
        <v>Non-metropolitan</v>
      </c>
      <c r="I2660" s="224">
        <v>278</v>
      </c>
    </row>
    <row r="2661" spans="1:9" ht="15.5" x14ac:dyDescent="0.35">
      <c r="A2661" s="224" t="s">
        <v>81</v>
      </c>
      <c r="B2661" s="224" t="s">
        <v>29</v>
      </c>
      <c r="C2661" s="224" t="s">
        <v>89</v>
      </c>
      <c r="D2661" s="224" t="s">
        <v>9</v>
      </c>
      <c r="E2661" s="224" t="s">
        <v>256</v>
      </c>
      <c r="F2661" s="224" t="s">
        <v>249</v>
      </c>
      <c r="G2661" s="223" t="str">
        <f>VLOOKUP($B2661,'FRS geographical categories'!$A$2:$C$45,2,FALSE)</f>
        <v>Predominantly Urban</v>
      </c>
      <c r="H2661" s="223" t="str">
        <f>VLOOKUP($B2661,'FRS geographical categories'!$A$2:$C$45,3,FALSE)</f>
        <v>Non-metropolitan</v>
      </c>
      <c r="I2661" s="224">
        <v>654</v>
      </c>
    </row>
    <row r="2662" spans="1:9" ht="15.5" x14ac:dyDescent="0.35">
      <c r="A2662" s="224" t="s">
        <v>81</v>
      </c>
      <c r="B2662" s="224" t="s">
        <v>29</v>
      </c>
      <c r="C2662" s="224" t="s">
        <v>89</v>
      </c>
      <c r="D2662" s="224" t="s">
        <v>9</v>
      </c>
      <c r="E2662" s="224" t="s">
        <v>256</v>
      </c>
      <c r="F2662" s="224" t="s">
        <v>250</v>
      </c>
      <c r="G2662" s="223" t="str">
        <f>VLOOKUP($B2662,'FRS geographical categories'!$A$2:$C$45,2,FALSE)</f>
        <v>Predominantly Urban</v>
      </c>
      <c r="H2662" s="223" t="str">
        <f>VLOOKUP($B2662,'FRS geographical categories'!$A$2:$C$45,3,FALSE)</f>
        <v>Non-metropolitan</v>
      </c>
      <c r="I2662" s="224">
        <v>804</v>
      </c>
    </row>
    <row r="2663" spans="1:9" ht="15.5" x14ac:dyDescent="0.35">
      <c r="A2663" s="224" t="s">
        <v>81</v>
      </c>
      <c r="B2663" s="224" t="s">
        <v>29</v>
      </c>
      <c r="C2663" s="224" t="s">
        <v>89</v>
      </c>
      <c r="D2663" s="224" t="s">
        <v>9</v>
      </c>
      <c r="E2663" s="224" t="s">
        <v>256</v>
      </c>
      <c r="F2663" s="224" t="s">
        <v>10</v>
      </c>
      <c r="G2663" s="223" t="str">
        <f>VLOOKUP($B2663,'FRS geographical categories'!$A$2:$C$45,2,FALSE)</f>
        <v>Predominantly Urban</v>
      </c>
      <c r="H2663" s="223" t="str">
        <f>VLOOKUP($B2663,'FRS geographical categories'!$A$2:$C$45,3,FALSE)</f>
        <v>Non-metropolitan</v>
      </c>
      <c r="I2663" s="224">
        <v>3361</v>
      </c>
    </row>
    <row r="2664" spans="1:9" ht="15.5" x14ac:dyDescent="0.35">
      <c r="A2664" s="224" t="s">
        <v>81</v>
      </c>
      <c r="B2664" s="224" t="s">
        <v>29</v>
      </c>
      <c r="C2664" s="224" t="s">
        <v>89</v>
      </c>
      <c r="D2664" s="224" t="s">
        <v>55</v>
      </c>
      <c r="E2664" s="224" t="s">
        <v>256</v>
      </c>
      <c r="F2664" s="224" t="s">
        <v>248</v>
      </c>
      <c r="G2664" s="223" t="str">
        <f>VLOOKUP($B2664,'FRS geographical categories'!$A$2:$C$45,2,FALSE)</f>
        <v>Predominantly Urban</v>
      </c>
      <c r="H2664" s="223" t="str">
        <f>VLOOKUP($B2664,'FRS geographical categories'!$A$2:$C$45,3,FALSE)</f>
        <v>Non-metropolitan</v>
      </c>
      <c r="I2664" s="224">
        <v>0</v>
      </c>
    </row>
    <row r="2665" spans="1:9" ht="15.5" x14ac:dyDescent="0.35">
      <c r="A2665" s="224" t="s">
        <v>81</v>
      </c>
      <c r="B2665" s="224" t="s">
        <v>29</v>
      </c>
      <c r="C2665" s="224" t="s">
        <v>89</v>
      </c>
      <c r="D2665" s="224" t="s">
        <v>55</v>
      </c>
      <c r="E2665" s="224" t="s">
        <v>256</v>
      </c>
      <c r="F2665" s="224" t="s">
        <v>249</v>
      </c>
      <c r="G2665" s="223" t="str">
        <f>VLOOKUP($B2665,'FRS geographical categories'!$A$2:$C$45,2,FALSE)</f>
        <v>Predominantly Urban</v>
      </c>
      <c r="H2665" s="223" t="str">
        <f>VLOOKUP($B2665,'FRS geographical categories'!$A$2:$C$45,3,FALSE)</f>
        <v>Non-metropolitan</v>
      </c>
      <c r="I2665" s="224">
        <v>0</v>
      </c>
    </row>
    <row r="2666" spans="1:9" ht="15.5" x14ac:dyDescent="0.35">
      <c r="A2666" s="224" t="s">
        <v>81</v>
      </c>
      <c r="B2666" s="224" t="s">
        <v>29</v>
      </c>
      <c r="C2666" s="224" t="s">
        <v>89</v>
      </c>
      <c r="D2666" s="224" t="s">
        <v>55</v>
      </c>
      <c r="E2666" s="224" t="s">
        <v>256</v>
      </c>
      <c r="F2666" s="224" t="s">
        <v>250</v>
      </c>
      <c r="G2666" s="223" t="str">
        <f>VLOOKUP($B2666,'FRS geographical categories'!$A$2:$C$45,2,FALSE)</f>
        <v>Predominantly Urban</v>
      </c>
      <c r="H2666" s="223" t="str">
        <f>VLOOKUP($B2666,'FRS geographical categories'!$A$2:$C$45,3,FALSE)</f>
        <v>Non-metropolitan</v>
      </c>
      <c r="I2666" s="224">
        <v>0</v>
      </c>
    </row>
    <row r="2667" spans="1:9" ht="15.5" x14ac:dyDescent="0.35">
      <c r="A2667" s="224" t="s">
        <v>81</v>
      </c>
      <c r="B2667" s="224" t="s">
        <v>29</v>
      </c>
      <c r="C2667" s="224" t="s">
        <v>89</v>
      </c>
      <c r="D2667" s="224" t="s">
        <v>55</v>
      </c>
      <c r="E2667" s="224" t="s">
        <v>256</v>
      </c>
      <c r="F2667" s="224" t="s">
        <v>10</v>
      </c>
      <c r="G2667" s="223" t="str">
        <f>VLOOKUP($B2667,'FRS geographical categories'!$A$2:$C$45,2,FALSE)</f>
        <v>Predominantly Urban</v>
      </c>
      <c r="H2667" s="223" t="str">
        <f>VLOOKUP($B2667,'FRS geographical categories'!$A$2:$C$45,3,FALSE)</f>
        <v>Non-metropolitan</v>
      </c>
      <c r="I2667" s="224">
        <v>0</v>
      </c>
    </row>
    <row r="2668" spans="1:9" ht="15.5" x14ac:dyDescent="0.35">
      <c r="A2668" s="224" t="s">
        <v>81</v>
      </c>
      <c r="B2668" s="224" t="s">
        <v>30</v>
      </c>
      <c r="C2668" s="224" t="s">
        <v>86</v>
      </c>
      <c r="D2668" s="224" t="s">
        <v>9</v>
      </c>
      <c r="E2668" s="224" t="s">
        <v>256</v>
      </c>
      <c r="F2668" s="224" t="s">
        <v>248</v>
      </c>
      <c r="G2668" s="223" t="str">
        <f>VLOOKUP($B2668,'FRS geographical categories'!$A$2:$C$45,2,FALSE)</f>
        <v>Significantly Rural</v>
      </c>
      <c r="H2668" s="223" t="str">
        <f>VLOOKUP($B2668,'FRS geographical categories'!$A$2:$C$45,3,FALSE)</f>
        <v>Non-metropolitan</v>
      </c>
      <c r="I2668" s="224">
        <v>263</v>
      </c>
    </row>
    <row r="2669" spans="1:9" ht="15.5" x14ac:dyDescent="0.35">
      <c r="A2669" s="224" t="s">
        <v>81</v>
      </c>
      <c r="B2669" s="224" t="s">
        <v>30</v>
      </c>
      <c r="C2669" s="224" t="s">
        <v>86</v>
      </c>
      <c r="D2669" s="224" t="s">
        <v>9</v>
      </c>
      <c r="E2669" s="224" t="s">
        <v>256</v>
      </c>
      <c r="F2669" s="224" t="s">
        <v>249</v>
      </c>
      <c r="G2669" s="223" t="str">
        <f>VLOOKUP($B2669,'FRS geographical categories'!$A$2:$C$45,2,FALSE)</f>
        <v>Significantly Rural</v>
      </c>
      <c r="H2669" s="223" t="str">
        <f>VLOOKUP($B2669,'FRS geographical categories'!$A$2:$C$45,3,FALSE)</f>
        <v>Non-metropolitan</v>
      </c>
      <c r="I2669" s="224">
        <v>510</v>
      </c>
    </row>
    <row r="2670" spans="1:9" ht="15.5" x14ac:dyDescent="0.35">
      <c r="A2670" s="224" t="s">
        <v>81</v>
      </c>
      <c r="B2670" s="224" t="s">
        <v>30</v>
      </c>
      <c r="C2670" s="224" t="s">
        <v>86</v>
      </c>
      <c r="D2670" s="224" t="s">
        <v>9</v>
      </c>
      <c r="E2670" s="224" t="s">
        <v>256</v>
      </c>
      <c r="F2670" s="224" t="s">
        <v>250</v>
      </c>
      <c r="G2670" s="223" t="str">
        <f>VLOOKUP($B2670,'FRS geographical categories'!$A$2:$C$45,2,FALSE)</f>
        <v>Significantly Rural</v>
      </c>
      <c r="H2670" s="223" t="str">
        <f>VLOOKUP($B2670,'FRS geographical categories'!$A$2:$C$45,3,FALSE)</f>
        <v>Non-metropolitan</v>
      </c>
      <c r="I2670" s="224">
        <v>3685</v>
      </c>
    </row>
    <row r="2671" spans="1:9" ht="15.5" x14ac:dyDescent="0.35">
      <c r="A2671" s="224" t="s">
        <v>81</v>
      </c>
      <c r="B2671" s="224" t="s">
        <v>30</v>
      </c>
      <c r="C2671" s="224" t="s">
        <v>86</v>
      </c>
      <c r="D2671" s="224" t="s">
        <v>9</v>
      </c>
      <c r="E2671" s="224" t="s">
        <v>256</v>
      </c>
      <c r="F2671" s="224" t="s">
        <v>111</v>
      </c>
      <c r="G2671" s="223" t="str">
        <f>VLOOKUP($B2671,'FRS geographical categories'!$A$2:$C$45,2,FALSE)</f>
        <v>Significantly Rural</v>
      </c>
      <c r="H2671" s="223" t="str">
        <f>VLOOKUP($B2671,'FRS geographical categories'!$A$2:$C$45,3,FALSE)</f>
        <v>Non-metropolitan</v>
      </c>
      <c r="I2671" s="224">
        <v>4890</v>
      </c>
    </row>
    <row r="2672" spans="1:9" ht="15.5" x14ac:dyDescent="0.35">
      <c r="A2672" s="224" t="s">
        <v>81</v>
      </c>
      <c r="B2672" s="224" t="s">
        <v>30</v>
      </c>
      <c r="C2672" s="224" t="s">
        <v>86</v>
      </c>
      <c r="D2672" s="224" t="s">
        <v>9</v>
      </c>
      <c r="E2672" s="224" t="s">
        <v>256</v>
      </c>
      <c r="F2672" s="224" t="s">
        <v>10</v>
      </c>
      <c r="G2672" s="223" t="str">
        <f>VLOOKUP($B2672,'FRS geographical categories'!$A$2:$C$45,2,FALSE)</f>
        <v>Significantly Rural</v>
      </c>
      <c r="H2672" s="223" t="str">
        <f>VLOOKUP($B2672,'FRS geographical categories'!$A$2:$C$45,3,FALSE)</f>
        <v>Non-metropolitan</v>
      </c>
      <c r="I2672" s="224">
        <v>7291</v>
      </c>
    </row>
    <row r="2673" spans="1:9" ht="15.5" x14ac:dyDescent="0.35">
      <c r="A2673" s="224" t="s">
        <v>81</v>
      </c>
      <c r="B2673" s="224" t="s">
        <v>30</v>
      </c>
      <c r="C2673" s="224" t="s">
        <v>86</v>
      </c>
      <c r="D2673" s="224" t="s">
        <v>55</v>
      </c>
      <c r="E2673" s="224" t="s">
        <v>256</v>
      </c>
      <c r="F2673" s="224" t="s">
        <v>248</v>
      </c>
      <c r="G2673" s="223" t="str">
        <f>VLOOKUP($B2673,'FRS geographical categories'!$A$2:$C$45,2,FALSE)</f>
        <v>Significantly Rural</v>
      </c>
      <c r="H2673" s="223" t="str">
        <f>VLOOKUP($B2673,'FRS geographical categories'!$A$2:$C$45,3,FALSE)</f>
        <v>Non-metropolitan</v>
      </c>
      <c r="I2673" s="224">
        <v>0</v>
      </c>
    </row>
    <row r="2674" spans="1:9" ht="15.5" x14ac:dyDescent="0.35">
      <c r="A2674" s="224" t="s">
        <v>81</v>
      </c>
      <c r="B2674" s="224" t="s">
        <v>30</v>
      </c>
      <c r="C2674" s="224" t="s">
        <v>86</v>
      </c>
      <c r="D2674" s="224" t="s">
        <v>55</v>
      </c>
      <c r="E2674" s="224" t="s">
        <v>256</v>
      </c>
      <c r="F2674" s="224" t="s">
        <v>249</v>
      </c>
      <c r="G2674" s="223" t="str">
        <f>VLOOKUP($B2674,'FRS geographical categories'!$A$2:$C$45,2,FALSE)</f>
        <v>Significantly Rural</v>
      </c>
      <c r="H2674" s="223" t="str">
        <f>VLOOKUP($B2674,'FRS geographical categories'!$A$2:$C$45,3,FALSE)</f>
        <v>Non-metropolitan</v>
      </c>
      <c r="I2674" s="224">
        <v>0</v>
      </c>
    </row>
    <row r="2675" spans="1:9" ht="15.5" x14ac:dyDescent="0.35">
      <c r="A2675" s="224" t="s">
        <v>81</v>
      </c>
      <c r="B2675" s="224" t="s">
        <v>30</v>
      </c>
      <c r="C2675" s="224" t="s">
        <v>86</v>
      </c>
      <c r="D2675" s="224" t="s">
        <v>55</v>
      </c>
      <c r="E2675" s="224" t="s">
        <v>256</v>
      </c>
      <c r="F2675" s="224" t="s">
        <v>250</v>
      </c>
      <c r="G2675" s="223" t="str">
        <f>VLOOKUP($B2675,'FRS geographical categories'!$A$2:$C$45,2,FALSE)</f>
        <v>Significantly Rural</v>
      </c>
      <c r="H2675" s="223" t="str">
        <f>VLOOKUP($B2675,'FRS geographical categories'!$A$2:$C$45,3,FALSE)</f>
        <v>Non-metropolitan</v>
      </c>
      <c r="I2675" s="224">
        <v>0</v>
      </c>
    </row>
    <row r="2676" spans="1:9" ht="15.5" x14ac:dyDescent="0.35">
      <c r="A2676" s="224" t="s">
        <v>81</v>
      </c>
      <c r="B2676" s="224" t="s">
        <v>30</v>
      </c>
      <c r="C2676" s="224" t="s">
        <v>86</v>
      </c>
      <c r="D2676" s="224" t="s">
        <v>55</v>
      </c>
      <c r="E2676" s="224" t="s">
        <v>256</v>
      </c>
      <c r="F2676" s="224" t="s">
        <v>111</v>
      </c>
      <c r="G2676" s="223" t="str">
        <f>VLOOKUP($B2676,'FRS geographical categories'!$A$2:$C$45,2,FALSE)</f>
        <v>Significantly Rural</v>
      </c>
      <c r="H2676" s="223" t="str">
        <f>VLOOKUP($B2676,'FRS geographical categories'!$A$2:$C$45,3,FALSE)</f>
        <v>Non-metropolitan</v>
      </c>
      <c r="I2676" s="224">
        <v>0</v>
      </c>
    </row>
    <row r="2677" spans="1:9" ht="15.5" x14ac:dyDescent="0.35">
      <c r="A2677" s="224" t="s">
        <v>81</v>
      </c>
      <c r="B2677" s="224" t="s">
        <v>30</v>
      </c>
      <c r="C2677" s="224" t="s">
        <v>86</v>
      </c>
      <c r="D2677" s="224" t="s">
        <v>55</v>
      </c>
      <c r="E2677" s="224" t="s">
        <v>256</v>
      </c>
      <c r="F2677" s="224" t="s">
        <v>10</v>
      </c>
      <c r="G2677" s="223" t="str">
        <f>VLOOKUP($B2677,'FRS geographical categories'!$A$2:$C$45,2,FALSE)</f>
        <v>Significantly Rural</v>
      </c>
      <c r="H2677" s="223" t="str">
        <f>VLOOKUP($B2677,'FRS geographical categories'!$A$2:$C$45,3,FALSE)</f>
        <v>Non-metropolitan</v>
      </c>
      <c r="I2677" s="224">
        <v>0</v>
      </c>
    </row>
    <row r="2678" spans="1:9" ht="15.5" x14ac:dyDescent="0.35">
      <c r="A2678" s="224" t="s">
        <v>81</v>
      </c>
      <c r="B2678" s="224" t="s">
        <v>30</v>
      </c>
      <c r="C2678" s="224" t="s">
        <v>89</v>
      </c>
      <c r="D2678" s="224" t="s">
        <v>9</v>
      </c>
      <c r="E2678" s="224" t="s">
        <v>256</v>
      </c>
      <c r="F2678" s="224" t="s">
        <v>248</v>
      </c>
      <c r="G2678" s="223" t="str">
        <f>VLOOKUP($B2678,'FRS geographical categories'!$A$2:$C$45,2,FALSE)</f>
        <v>Significantly Rural</v>
      </c>
      <c r="H2678" s="223" t="str">
        <f>VLOOKUP($B2678,'FRS geographical categories'!$A$2:$C$45,3,FALSE)</f>
        <v>Non-metropolitan</v>
      </c>
      <c r="I2678" s="224">
        <v>0</v>
      </c>
    </row>
    <row r="2679" spans="1:9" ht="15.5" x14ac:dyDescent="0.35">
      <c r="A2679" s="224" t="s">
        <v>81</v>
      </c>
      <c r="B2679" s="224" t="s">
        <v>30</v>
      </c>
      <c r="C2679" s="224" t="s">
        <v>89</v>
      </c>
      <c r="D2679" s="224" t="s">
        <v>9</v>
      </c>
      <c r="E2679" s="224" t="s">
        <v>256</v>
      </c>
      <c r="F2679" s="224" t="s">
        <v>249</v>
      </c>
      <c r="G2679" s="223" t="str">
        <f>VLOOKUP($B2679,'FRS geographical categories'!$A$2:$C$45,2,FALSE)</f>
        <v>Significantly Rural</v>
      </c>
      <c r="H2679" s="223" t="str">
        <f>VLOOKUP($B2679,'FRS geographical categories'!$A$2:$C$45,3,FALSE)</f>
        <v>Non-metropolitan</v>
      </c>
      <c r="I2679" s="224">
        <v>0</v>
      </c>
    </row>
    <row r="2680" spans="1:9" ht="15.5" x14ac:dyDescent="0.35">
      <c r="A2680" s="224" t="s">
        <v>81</v>
      </c>
      <c r="B2680" s="224" t="s">
        <v>30</v>
      </c>
      <c r="C2680" s="224" t="s">
        <v>89</v>
      </c>
      <c r="D2680" s="224" t="s">
        <v>9</v>
      </c>
      <c r="E2680" s="224" t="s">
        <v>256</v>
      </c>
      <c r="F2680" s="224" t="s">
        <v>250</v>
      </c>
      <c r="G2680" s="223" t="str">
        <f>VLOOKUP($B2680,'FRS geographical categories'!$A$2:$C$45,2,FALSE)</f>
        <v>Significantly Rural</v>
      </c>
      <c r="H2680" s="223" t="str">
        <f>VLOOKUP($B2680,'FRS geographical categories'!$A$2:$C$45,3,FALSE)</f>
        <v>Non-metropolitan</v>
      </c>
      <c r="I2680" s="224">
        <v>0</v>
      </c>
    </row>
    <row r="2681" spans="1:9" ht="15.5" x14ac:dyDescent="0.35">
      <c r="A2681" s="224" t="s">
        <v>81</v>
      </c>
      <c r="B2681" s="224" t="s">
        <v>30</v>
      </c>
      <c r="C2681" s="224" t="s">
        <v>89</v>
      </c>
      <c r="D2681" s="224" t="s">
        <v>9</v>
      </c>
      <c r="E2681" s="224" t="s">
        <v>256</v>
      </c>
      <c r="F2681" s="224" t="s">
        <v>10</v>
      </c>
      <c r="G2681" s="223" t="str">
        <f>VLOOKUP($B2681,'FRS geographical categories'!$A$2:$C$45,2,FALSE)</f>
        <v>Significantly Rural</v>
      </c>
      <c r="H2681" s="223" t="str">
        <f>VLOOKUP($B2681,'FRS geographical categories'!$A$2:$C$45,3,FALSE)</f>
        <v>Non-metropolitan</v>
      </c>
      <c r="I2681" s="224">
        <v>0</v>
      </c>
    </row>
    <row r="2682" spans="1:9" ht="15.5" x14ac:dyDescent="0.35">
      <c r="A2682" s="224" t="s">
        <v>81</v>
      </c>
      <c r="B2682" s="224" t="s">
        <v>30</v>
      </c>
      <c r="C2682" s="224" t="s">
        <v>89</v>
      </c>
      <c r="D2682" s="224" t="s">
        <v>55</v>
      </c>
      <c r="E2682" s="224" t="s">
        <v>256</v>
      </c>
      <c r="F2682" s="224" t="s">
        <v>248</v>
      </c>
      <c r="G2682" s="223" t="str">
        <f>VLOOKUP($B2682,'FRS geographical categories'!$A$2:$C$45,2,FALSE)</f>
        <v>Significantly Rural</v>
      </c>
      <c r="H2682" s="223" t="str">
        <f>VLOOKUP($B2682,'FRS geographical categories'!$A$2:$C$45,3,FALSE)</f>
        <v>Non-metropolitan</v>
      </c>
      <c r="I2682" s="224">
        <v>0</v>
      </c>
    </row>
    <row r="2683" spans="1:9" ht="15.5" x14ac:dyDescent="0.35">
      <c r="A2683" s="224" t="s">
        <v>81</v>
      </c>
      <c r="B2683" s="224" t="s">
        <v>30</v>
      </c>
      <c r="C2683" s="224" t="s">
        <v>89</v>
      </c>
      <c r="D2683" s="224" t="s">
        <v>55</v>
      </c>
      <c r="E2683" s="224" t="s">
        <v>256</v>
      </c>
      <c r="F2683" s="224" t="s">
        <v>249</v>
      </c>
      <c r="G2683" s="223" t="str">
        <f>VLOOKUP($B2683,'FRS geographical categories'!$A$2:$C$45,2,FALSE)</f>
        <v>Significantly Rural</v>
      </c>
      <c r="H2683" s="223" t="str">
        <f>VLOOKUP($B2683,'FRS geographical categories'!$A$2:$C$45,3,FALSE)</f>
        <v>Non-metropolitan</v>
      </c>
      <c r="I2683" s="224">
        <v>0</v>
      </c>
    </row>
    <row r="2684" spans="1:9" ht="15.5" x14ac:dyDescent="0.35">
      <c r="A2684" s="224" t="s">
        <v>81</v>
      </c>
      <c r="B2684" s="224" t="s">
        <v>30</v>
      </c>
      <c r="C2684" s="224" t="s">
        <v>89</v>
      </c>
      <c r="D2684" s="224" t="s">
        <v>55</v>
      </c>
      <c r="E2684" s="224" t="s">
        <v>256</v>
      </c>
      <c r="F2684" s="224" t="s">
        <v>250</v>
      </c>
      <c r="G2684" s="223" t="str">
        <f>VLOOKUP($B2684,'FRS geographical categories'!$A$2:$C$45,2,FALSE)</f>
        <v>Significantly Rural</v>
      </c>
      <c r="H2684" s="223" t="str">
        <f>VLOOKUP($B2684,'FRS geographical categories'!$A$2:$C$45,3,FALSE)</f>
        <v>Non-metropolitan</v>
      </c>
      <c r="I2684" s="224">
        <v>0</v>
      </c>
    </row>
    <row r="2685" spans="1:9" ht="15.5" x14ac:dyDescent="0.35">
      <c r="A2685" s="224" t="s">
        <v>81</v>
      </c>
      <c r="B2685" s="224" t="s">
        <v>30</v>
      </c>
      <c r="C2685" s="224" t="s">
        <v>89</v>
      </c>
      <c r="D2685" s="224" t="s">
        <v>55</v>
      </c>
      <c r="E2685" s="224" t="s">
        <v>256</v>
      </c>
      <c r="F2685" s="224" t="s">
        <v>10</v>
      </c>
      <c r="G2685" s="223" t="str">
        <f>VLOOKUP($B2685,'FRS geographical categories'!$A$2:$C$45,2,FALSE)</f>
        <v>Significantly Rural</v>
      </c>
      <c r="H2685" s="223" t="str">
        <f>VLOOKUP($B2685,'FRS geographical categories'!$A$2:$C$45,3,FALSE)</f>
        <v>Non-metropolitan</v>
      </c>
      <c r="I2685" s="224">
        <v>0</v>
      </c>
    </row>
    <row r="2686" spans="1:9" ht="15.5" x14ac:dyDescent="0.35">
      <c r="A2686" s="224" t="s">
        <v>81</v>
      </c>
      <c r="B2686" s="224" t="s">
        <v>31</v>
      </c>
      <c r="C2686" s="224" t="s">
        <v>86</v>
      </c>
      <c r="D2686" s="224" t="s">
        <v>9</v>
      </c>
      <c r="E2686" s="224" t="s">
        <v>256</v>
      </c>
      <c r="F2686" s="224" t="s">
        <v>248</v>
      </c>
      <c r="G2686" s="223" t="str">
        <f>VLOOKUP($B2686,'FRS geographical categories'!$A$2:$C$45,2,FALSE)</f>
        <v>Predominantly Rural</v>
      </c>
      <c r="H2686" s="223" t="str">
        <f>VLOOKUP($B2686,'FRS geographical categories'!$A$2:$C$45,3,FALSE)</f>
        <v>Non-metropolitan</v>
      </c>
      <c r="I2686" s="224">
        <v>1</v>
      </c>
    </row>
    <row r="2687" spans="1:9" ht="15.5" x14ac:dyDescent="0.35">
      <c r="A2687" s="224" t="s">
        <v>81</v>
      </c>
      <c r="B2687" s="224" t="s">
        <v>31</v>
      </c>
      <c r="C2687" s="224" t="s">
        <v>86</v>
      </c>
      <c r="D2687" s="224" t="s">
        <v>9</v>
      </c>
      <c r="E2687" s="224" t="s">
        <v>256</v>
      </c>
      <c r="F2687" s="224" t="s">
        <v>249</v>
      </c>
      <c r="G2687" s="223" t="str">
        <f>VLOOKUP($B2687,'FRS geographical categories'!$A$2:$C$45,2,FALSE)</f>
        <v>Predominantly Rural</v>
      </c>
      <c r="H2687" s="223" t="str">
        <f>VLOOKUP($B2687,'FRS geographical categories'!$A$2:$C$45,3,FALSE)</f>
        <v>Non-metropolitan</v>
      </c>
      <c r="I2687" s="224">
        <v>3</v>
      </c>
    </row>
    <row r="2688" spans="1:9" ht="15.5" x14ac:dyDescent="0.35">
      <c r="A2688" s="224" t="s">
        <v>81</v>
      </c>
      <c r="B2688" s="224" t="s">
        <v>31</v>
      </c>
      <c r="C2688" s="224" t="s">
        <v>86</v>
      </c>
      <c r="D2688" s="224" t="s">
        <v>9</v>
      </c>
      <c r="E2688" s="224" t="s">
        <v>256</v>
      </c>
      <c r="F2688" s="224" t="s">
        <v>250</v>
      </c>
      <c r="G2688" s="223" t="str">
        <f>VLOOKUP($B2688,'FRS geographical categories'!$A$2:$C$45,2,FALSE)</f>
        <v>Predominantly Rural</v>
      </c>
      <c r="H2688" s="223" t="str">
        <f>VLOOKUP($B2688,'FRS geographical categories'!$A$2:$C$45,3,FALSE)</f>
        <v>Non-metropolitan</v>
      </c>
      <c r="I2688" s="224">
        <v>5</v>
      </c>
    </row>
    <row r="2689" spans="1:9" ht="15.5" x14ac:dyDescent="0.35">
      <c r="A2689" s="224" t="s">
        <v>81</v>
      </c>
      <c r="B2689" s="224" t="s">
        <v>31</v>
      </c>
      <c r="C2689" s="224" t="s">
        <v>86</v>
      </c>
      <c r="D2689" s="224" t="s">
        <v>9</v>
      </c>
      <c r="E2689" s="224" t="s">
        <v>256</v>
      </c>
      <c r="F2689" s="224" t="s">
        <v>111</v>
      </c>
      <c r="G2689" s="223" t="str">
        <f>VLOOKUP($B2689,'FRS geographical categories'!$A$2:$C$45,2,FALSE)</f>
        <v>Predominantly Rural</v>
      </c>
      <c r="H2689" s="223" t="str">
        <f>VLOOKUP($B2689,'FRS geographical categories'!$A$2:$C$45,3,FALSE)</f>
        <v>Non-metropolitan</v>
      </c>
      <c r="I2689" s="224">
        <v>11</v>
      </c>
    </row>
    <row r="2690" spans="1:9" ht="15.5" x14ac:dyDescent="0.35">
      <c r="A2690" s="224" t="s">
        <v>81</v>
      </c>
      <c r="B2690" s="224" t="s">
        <v>31</v>
      </c>
      <c r="C2690" s="224" t="s">
        <v>86</v>
      </c>
      <c r="D2690" s="224" t="s">
        <v>9</v>
      </c>
      <c r="E2690" s="224" t="s">
        <v>256</v>
      </c>
      <c r="F2690" s="224" t="s">
        <v>10</v>
      </c>
      <c r="G2690" s="223" t="str">
        <f>VLOOKUP($B2690,'FRS geographical categories'!$A$2:$C$45,2,FALSE)</f>
        <v>Predominantly Rural</v>
      </c>
      <c r="H2690" s="223" t="str">
        <f>VLOOKUP($B2690,'FRS geographical categories'!$A$2:$C$45,3,FALSE)</f>
        <v>Non-metropolitan</v>
      </c>
      <c r="I2690" s="224">
        <v>23</v>
      </c>
    </row>
    <row r="2691" spans="1:9" ht="15.5" x14ac:dyDescent="0.35">
      <c r="A2691" s="224" t="s">
        <v>81</v>
      </c>
      <c r="B2691" s="224" t="s">
        <v>31</v>
      </c>
      <c r="C2691" s="224" t="s">
        <v>86</v>
      </c>
      <c r="D2691" s="224" t="s">
        <v>55</v>
      </c>
      <c r="E2691" s="224" t="s">
        <v>256</v>
      </c>
      <c r="F2691" s="224" t="s">
        <v>248</v>
      </c>
      <c r="G2691" s="223" t="str">
        <f>VLOOKUP($B2691,'FRS geographical categories'!$A$2:$C$45,2,FALSE)</f>
        <v>Predominantly Rural</v>
      </c>
      <c r="H2691" s="223" t="str">
        <f>VLOOKUP($B2691,'FRS geographical categories'!$A$2:$C$45,3,FALSE)</f>
        <v>Non-metropolitan</v>
      </c>
      <c r="I2691" s="224">
        <v>0</v>
      </c>
    </row>
    <row r="2692" spans="1:9" ht="15.5" x14ac:dyDescent="0.35">
      <c r="A2692" s="224" t="s">
        <v>81</v>
      </c>
      <c r="B2692" s="224" t="s">
        <v>31</v>
      </c>
      <c r="C2692" s="224" t="s">
        <v>86</v>
      </c>
      <c r="D2692" s="224" t="s">
        <v>55</v>
      </c>
      <c r="E2692" s="224" t="s">
        <v>256</v>
      </c>
      <c r="F2692" s="224" t="s">
        <v>249</v>
      </c>
      <c r="G2692" s="223" t="str">
        <f>VLOOKUP($B2692,'FRS geographical categories'!$A$2:$C$45,2,FALSE)</f>
        <v>Predominantly Rural</v>
      </c>
      <c r="H2692" s="223" t="str">
        <f>VLOOKUP($B2692,'FRS geographical categories'!$A$2:$C$45,3,FALSE)</f>
        <v>Non-metropolitan</v>
      </c>
      <c r="I2692" s="224">
        <v>0</v>
      </c>
    </row>
    <row r="2693" spans="1:9" ht="15.5" x14ac:dyDescent="0.35">
      <c r="A2693" s="224" t="s">
        <v>81</v>
      </c>
      <c r="B2693" s="224" t="s">
        <v>31</v>
      </c>
      <c r="C2693" s="224" t="s">
        <v>86</v>
      </c>
      <c r="D2693" s="224" t="s">
        <v>55</v>
      </c>
      <c r="E2693" s="224" t="s">
        <v>256</v>
      </c>
      <c r="F2693" s="224" t="s">
        <v>250</v>
      </c>
      <c r="G2693" s="223" t="str">
        <f>VLOOKUP($B2693,'FRS geographical categories'!$A$2:$C$45,2,FALSE)</f>
        <v>Predominantly Rural</v>
      </c>
      <c r="H2693" s="223" t="str">
        <f>VLOOKUP($B2693,'FRS geographical categories'!$A$2:$C$45,3,FALSE)</f>
        <v>Non-metropolitan</v>
      </c>
      <c r="I2693" s="224">
        <v>0</v>
      </c>
    </row>
    <row r="2694" spans="1:9" ht="15.5" x14ac:dyDescent="0.35">
      <c r="A2694" s="224" t="s">
        <v>81</v>
      </c>
      <c r="B2694" s="224" t="s">
        <v>31</v>
      </c>
      <c r="C2694" s="224" t="s">
        <v>86</v>
      </c>
      <c r="D2694" s="224" t="s">
        <v>55</v>
      </c>
      <c r="E2694" s="224" t="s">
        <v>256</v>
      </c>
      <c r="F2694" s="224" t="s">
        <v>111</v>
      </c>
      <c r="G2694" s="223" t="str">
        <f>VLOOKUP($B2694,'FRS geographical categories'!$A$2:$C$45,2,FALSE)</f>
        <v>Predominantly Rural</v>
      </c>
      <c r="H2694" s="223" t="str">
        <f>VLOOKUP($B2694,'FRS geographical categories'!$A$2:$C$45,3,FALSE)</f>
        <v>Non-metropolitan</v>
      </c>
      <c r="I2694" s="224">
        <v>0</v>
      </c>
    </row>
    <row r="2695" spans="1:9" ht="15.5" x14ac:dyDescent="0.35">
      <c r="A2695" s="224" t="s">
        <v>81</v>
      </c>
      <c r="B2695" s="224" t="s">
        <v>31</v>
      </c>
      <c r="C2695" s="224" t="s">
        <v>86</v>
      </c>
      <c r="D2695" s="224" t="s">
        <v>55</v>
      </c>
      <c r="E2695" s="224" t="s">
        <v>256</v>
      </c>
      <c r="F2695" s="224" t="s">
        <v>10</v>
      </c>
      <c r="G2695" s="223" t="str">
        <f>VLOOKUP($B2695,'FRS geographical categories'!$A$2:$C$45,2,FALSE)</f>
        <v>Predominantly Rural</v>
      </c>
      <c r="H2695" s="223" t="str">
        <f>VLOOKUP($B2695,'FRS geographical categories'!$A$2:$C$45,3,FALSE)</f>
        <v>Non-metropolitan</v>
      </c>
      <c r="I2695" s="224">
        <v>0</v>
      </c>
    </row>
    <row r="2696" spans="1:9" ht="15.5" x14ac:dyDescent="0.35">
      <c r="A2696" s="224" t="s">
        <v>81</v>
      </c>
      <c r="B2696" s="224" t="s">
        <v>31</v>
      </c>
      <c r="C2696" s="224" t="s">
        <v>89</v>
      </c>
      <c r="D2696" s="224" t="s">
        <v>9</v>
      </c>
      <c r="E2696" s="224" t="s">
        <v>256</v>
      </c>
      <c r="F2696" s="224" t="s">
        <v>248</v>
      </c>
      <c r="G2696" s="223" t="str">
        <f>VLOOKUP($B2696,'FRS geographical categories'!$A$2:$C$45,2,FALSE)</f>
        <v>Predominantly Rural</v>
      </c>
      <c r="H2696" s="223" t="str">
        <f>VLOOKUP($B2696,'FRS geographical categories'!$A$2:$C$45,3,FALSE)</f>
        <v>Non-metropolitan</v>
      </c>
      <c r="I2696" s="224">
        <v>0</v>
      </c>
    </row>
    <row r="2697" spans="1:9" ht="15.5" x14ac:dyDescent="0.35">
      <c r="A2697" s="224" t="s">
        <v>81</v>
      </c>
      <c r="B2697" s="224" t="s">
        <v>31</v>
      </c>
      <c r="C2697" s="224" t="s">
        <v>89</v>
      </c>
      <c r="D2697" s="224" t="s">
        <v>9</v>
      </c>
      <c r="E2697" s="224" t="s">
        <v>256</v>
      </c>
      <c r="F2697" s="224" t="s">
        <v>249</v>
      </c>
      <c r="G2697" s="223" t="str">
        <f>VLOOKUP($B2697,'FRS geographical categories'!$A$2:$C$45,2,FALSE)</f>
        <v>Predominantly Rural</v>
      </c>
      <c r="H2697" s="223" t="str">
        <f>VLOOKUP($B2697,'FRS geographical categories'!$A$2:$C$45,3,FALSE)</f>
        <v>Non-metropolitan</v>
      </c>
      <c r="I2697" s="224">
        <v>0</v>
      </c>
    </row>
    <row r="2698" spans="1:9" ht="15.5" x14ac:dyDescent="0.35">
      <c r="A2698" s="224" t="s">
        <v>81</v>
      </c>
      <c r="B2698" s="224" t="s">
        <v>31</v>
      </c>
      <c r="C2698" s="224" t="s">
        <v>89</v>
      </c>
      <c r="D2698" s="224" t="s">
        <v>9</v>
      </c>
      <c r="E2698" s="224" t="s">
        <v>256</v>
      </c>
      <c r="F2698" s="224" t="s">
        <v>250</v>
      </c>
      <c r="G2698" s="223" t="str">
        <f>VLOOKUP($B2698,'FRS geographical categories'!$A$2:$C$45,2,FALSE)</f>
        <v>Predominantly Rural</v>
      </c>
      <c r="H2698" s="223" t="str">
        <f>VLOOKUP($B2698,'FRS geographical categories'!$A$2:$C$45,3,FALSE)</f>
        <v>Non-metropolitan</v>
      </c>
      <c r="I2698" s="224">
        <v>0</v>
      </c>
    </row>
    <row r="2699" spans="1:9" ht="15.5" x14ac:dyDescent="0.35">
      <c r="A2699" s="224" t="s">
        <v>81</v>
      </c>
      <c r="B2699" s="224" t="s">
        <v>31</v>
      </c>
      <c r="C2699" s="224" t="s">
        <v>89</v>
      </c>
      <c r="D2699" s="224" t="s">
        <v>9</v>
      </c>
      <c r="E2699" s="224" t="s">
        <v>256</v>
      </c>
      <c r="F2699" s="224" t="s">
        <v>10</v>
      </c>
      <c r="G2699" s="223" t="str">
        <f>VLOOKUP($B2699,'FRS geographical categories'!$A$2:$C$45,2,FALSE)</f>
        <v>Predominantly Rural</v>
      </c>
      <c r="H2699" s="223" t="str">
        <f>VLOOKUP($B2699,'FRS geographical categories'!$A$2:$C$45,3,FALSE)</f>
        <v>Non-metropolitan</v>
      </c>
      <c r="I2699" s="224">
        <v>0</v>
      </c>
    </row>
    <row r="2700" spans="1:9" ht="15.5" x14ac:dyDescent="0.35">
      <c r="A2700" s="224" t="s">
        <v>81</v>
      </c>
      <c r="B2700" s="224" t="s">
        <v>31</v>
      </c>
      <c r="C2700" s="224" t="s">
        <v>89</v>
      </c>
      <c r="D2700" s="224" t="s">
        <v>55</v>
      </c>
      <c r="E2700" s="224" t="s">
        <v>256</v>
      </c>
      <c r="F2700" s="224" t="s">
        <v>248</v>
      </c>
      <c r="G2700" s="223" t="str">
        <f>VLOOKUP($B2700,'FRS geographical categories'!$A$2:$C$45,2,FALSE)</f>
        <v>Predominantly Rural</v>
      </c>
      <c r="H2700" s="223" t="str">
        <f>VLOOKUP($B2700,'FRS geographical categories'!$A$2:$C$45,3,FALSE)</f>
        <v>Non-metropolitan</v>
      </c>
      <c r="I2700" s="224">
        <v>0</v>
      </c>
    </row>
    <row r="2701" spans="1:9" ht="15.5" x14ac:dyDescent="0.35">
      <c r="A2701" s="224" t="s">
        <v>81</v>
      </c>
      <c r="B2701" s="224" t="s">
        <v>31</v>
      </c>
      <c r="C2701" s="224" t="s">
        <v>89</v>
      </c>
      <c r="D2701" s="224" t="s">
        <v>55</v>
      </c>
      <c r="E2701" s="224" t="s">
        <v>256</v>
      </c>
      <c r="F2701" s="224" t="s">
        <v>249</v>
      </c>
      <c r="G2701" s="223" t="str">
        <f>VLOOKUP($B2701,'FRS geographical categories'!$A$2:$C$45,2,FALSE)</f>
        <v>Predominantly Rural</v>
      </c>
      <c r="H2701" s="223" t="str">
        <f>VLOOKUP($B2701,'FRS geographical categories'!$A$2:$C$45,3,FALSE)</f>
        <v>Non-metropolitan</v>
      </c>
      <c r="I2701" s="224">
        <v>0</v>
      </c>
    </row>
    <row r="2702" spans="1:9" ht="15.5" x14ac:dyDescent="0.35">
      <c r="A2702" s="224" t="s">
        <v>81</v>
      </c>
      <c r="B2702" s="224" t="s">
        <v>31</v>
      </c>
      <c r="C2702" s="224" t="s">
        <v>89</v>
      </c>
      <c r="D2702" s="224" t="s">
        <v>55</v>
      </c>
      <c r="E2702" s="224" t="s">
        <v>256</v>
      </c>
      <c r="F2702" s="224" t="s">
        <v>250</v>
      </c>
      <c r="G2702" s="223" t="str">
        <f>VLOOKUP($B2702,'FRS geographical categories'!$A$2:$C$45,2,FALSE)</f>
        <v>Predominantly Rural</v>
      </c>
      <c r="H2702" s="223" t="str">
        <f>VLOOKUP($B2702,'FRS geographical categories'!$A$2:$C$45,3,FALSE)</f>
        <v>Non-metropolitan</v>
      </c>
      <c r="I2702" s="224">
        <v>0</v>
      </c>
    </row>
    <row r="2703" spans="1:9" ht="15.5" x14ac:dyDescent="0.35">
      <c r="A2703" s="224" t="s">
        <v>81</v>
      </c>
      <c r="B2703" s="224" t="s">
        <v>31</v>
      </c>
      <c r="C2703" s="224" t="s">
        <v>89</v>
      </c>
      <c r="D2703" s="224" t="s">
        <v>55</v>
      </c>
      <c r="E2703" s="224" t="s">
        <v>256</v>
      </c>
      <c r="F2703" s="224" t="s">
        <v>10</v>
      </c>
      <c r="G2703" s="223" t="str">
        <f>VLOOKUP($B2703,'FRS geographical categories'!$A$2:$C$45,2,FALSE)</f>
        <v>Predominantly Rural</v>
      </c>
      <c r="H2703" s="223" t="str">
        <f>VLOOKUP($B2703,'FRS geographical categories'!$A$2:$C$45,3,FALSE)</f>
        <v>Non-metropolitan</v>
      </c>
      <c r="I2703" s="224">
        <v>0</v>
      </c>
    </row>
    <row r="2704" spans="1:9" ht="15.5" x14ac:dyDescent="0.35">
      <c r="A2704" s="224" t="s">
        <v>81</v>
      </c>
      <c r="B2704" s="224" t="s">
        <v>32</v>
      </c>
      <c r="C2704" s="224" t="s">
        <v>86</v>
      </c>
      <c r="D2704" s="224" t="s">
        <v>9</v>
      </c>
      <c r="E2704" s="224" t="s">
        <v>256</v>
      </c>
      <c r="F2704" s="224" t="s">
        <v>248</v>
      </c>
      <c r="G2704" s="223" t="str">
        <f>VLOOKUP($B2704,'FRS geographical categories'!$A$2:$C$45,2,FALSE)</f>
        <v>Significantly Rural</v>
      </c>
      <c r="H2704" s="223" t="str">
        <f>VLOOKUP($B2704,'FRS geographical categories'!$A$2:$C$45,3,FALSE)</f>
        <v>Non-metropolitan</v>
      </c>
      <c r="I2704" s="224">
        <v>1685</v>
      </c>
    </row>
    <row r="2705" spans="1:9" ht="15.5" x14ac:dyDescent="0.35">
      <c r="A2705" s="224" t="s">
        <v>81</v>
      </c>
      <c r="B2705" s="224" t="s">
        <v>32</v>
      </c>
      <c r="C2705" s="224" t="s">
        <v>86</v>
      </c>
      <c r="D2705" s="224" t="s">
        <v>9</v>
      </c>
      <c r="E2705" s="224" t="s">
        <v>256</v>
      </c>
      <c r="F2705" s="224" t="s">
        <v>249</v>
      </c>
      <c r="G2705" s="223" t="str">
        <f>VLOOKUP($B2705,'FRS geographical categories'!$A$2:$C$45,2,FALSE)</f>
        <v>Significantly Rural</v>
      </c>
      <c r="H2705" s="223" t="str">
        <f>VLOOKUP($B2705,'FRS geographical categories'!$A$2:$C$45,3,FALSE)</f>
        <v>Non-metropolitan</v>
      </c>
      <c r="I2705" s="224">
        <v>4862</v>
      </c>
    </row>
    <row r="2706" spans="1:9" ht="15.5" x14ac:dyDescent="0.35">
      <c r="A2706" s="224" t="s">
        <v>81</v>
      </c>
      <c r="B2706" s="224" t="s">
        <v>32</v>
      </c>
      <c r="C2706" s="224" t="s">
        <v>86</v>
      </c>
      <c r="D2706" s="224" t="s">
        <v>9</v>
      </c>
      <c r="E2706" s="224" t="s">
        <v>256</v>
      </c>
      <c r="F2706" s="224" t="s">
        <v>250</v>
      </c>
      <c r="G2706" s="223" t="str">
        <f>VLOOKUP($B2706,'FRS geographical categories'!$A$2:$C$45,2,FALSE)</f>
        <v>Significantly Rural</v>
      </c>
      <c r="H2706" s="223" t="str">
        <f>VLOOKUP($B2706,'FRS geographical categories'!$A$2:$C$45,3,FALSE)</f>
        <v>Non-metropolitan</v>
      </c>
      <c r="I2706" s="224">
        <v>6167</v>
      </c>
    </row>
    <row r="2707" spans="1:9" ht="15.5" x14ac:dyDescent="0.35">
      <c r="A2707" s="224" t="s">
        <v>81</v>
      </c>
      <c r="B2707" s="224" t="s">
        <v>32</v>
      </c>
      <c r="C2707" s="224" t="s">
        <v>86</v>
      </c>
      <c r="D2707" s="224" t="s">
        <v>9</v>
      </c>
      <c r="E2707" s="224" t="s">
        <v>256</v>
      </c>
      <c r="F2707" s="224" t="s">
        <v>111</v>
      </c>
      <c r="G2707" s="223" t="str">
        <f>VLOOKUP($B2707,'FRS geographical categories'!$A$2:$C$45,2,FALSE)</f>
        <v>Significantly Rural</v>
      </c>
      <c r="H2707" s="223" t="str">
        <f>VLOOKUP($B2707,'FRS geographical categories'!$A$2:$C$45,3,FALSE)</f>
        <v>Non-metropolitan</v>
      </c>
      <c r="I2707" s="224">
        <v>18857</v>
      </c>
    </row>
    <row r="2708" spans="1:9" ht="15.5" x14ac:dyDescent="0.35">
      <c r="A2708" s="224" t="s">
        <v>81</v>
      </c>
      <c r="B2708" s="224" t="s">
        <v>32</v>
      </c>
      <c r="C2708" s="224" t="s">
        <v>86</v>
      </c>
      <c r="D2708" s="224" t="s">
        <v>9</v>
      </c>
      <c r="E2708" s="224" t="s">
        <v>256</v>
      </c>
      <c r="F2708" s="224" t="s">
        <v>10</v>
      </c>
      <c r="G2708" s="223" t="str">
        <f>VLOOKUP($B2708,'FRS geographical categories'!$A$2:$C$45,2,FALSE)</f>
        <v>Significantly Rural</v>
      </c>
      <c r="H2708" s="223" t="str">
        <f>VLOOKUP($B2708,'FRS geographical categories'!$A$2:$C$45,3,FALSE)</f>
        <v>Non-metropolitan</v>
      </c>
      <c r="I2708" s="224">
        <v>18857</v>
      </c>
    </row>
    <row r="2709" spans="1:9" ht="15.5" x14ac:dyDescent="0.35">
      <c r="A2709" s="224" t="s">
        <v>81</v>
      </c>
      <c r="B2709" s="224" t="s">
        <v>32</v>
      </c>
      <c r="C2709" s="224" t="s">
        <v>86</v>
      </c>
      <c r="D2709" s="224" t="s">
        <v>55</v>
      </c>
      <c r="E2709" s="224" t="s">
        <v>256</v>
      </c>
      <c r="F2709" s="224" t="s">
        <v>248</v>
      </c>
      <c r="G2709" s="223" t="str">
        <f>VLOOKUP($B2709,'FRS geographical categories'!$A$2:$C$45,2,FALSE)</f>
        <v>Significantly Rural</v>
      </c>
      <c r="H2709" s="223" t="str">
        <f>VLOOKUP($B2709,'FRS geographical categories'!$A$2:$C$45,3,FALSE)</f>
        <v>Non-metropolitan</v>
      </c>
      <c r="I2709" s="224">
        <v>4</v>
      </c>
    </row>
    <row r="2710" spans="1:9" ht="15.5" x14ac:dyDescent="0.35">
      <c r="A2710" s="224" t="s">
        <v>81</v>
      </c>
      <c r="B2710" s="224" t="s">
        <v>32</v>
      </c>
      <c r="C2710" s="224" t="s">
        <v>86</v>
      </c>
      <c r="D2710" s="224" t="s">
        <v>55</v>
      </c>
      <c r="E2710" s="224" t="s">
        <v>256</v>
      </c>
      <c r="F2710" s="224" t="s">
        <v>249</v>
      </c>
      <c r="G2710" s="223" t="str">
        <f>VLOOKUP($B2710,'FRS geographical categories'!$A$2:$C$45,2,FALSE)</f>
        <v>Significantly Rural</v>
      </c>
      <c r="H2710" s="223" t="str">
        <f>VLOOKUP($B2710,'FRS geographical categories'!$A$2:$C$45,3,FALSE)</f>
        <v>Non-metropolitan</v>
      </c>
      <c r="I2710" s="224">
        <v>14</v>
      </c>
    </row>
    <row r="2711" spans="1:9" ht="15.5" x14ac:dyDescent="0.35">
      <c r="A2711" s="224" t="s">
        <v>81</v>
      </c>
      <c r="B2711" s="224" t="s">
        <v>32</v>
      </c>
      <c r="C2711" s="224" t="s">
        <v>86</v>
      </c>
      <c r="D2711" s="224" t="s">
        <v>55</v>
      </c>
      <c r="E2711" s="224" t="s">
        <v>256</v>
      </c>
      <c r="F2711" s="224" t="s">
        <v>250</v>
      </c>
      <c r="G2711" s="223" t="str">
        <f>VLOOKUP($B2711,'FRS geographical categories'!$A$2:$C$45,2,FALSE)</f>
        <v>Significantly Rural</v>
      </c>
      <c r="H2711" s="223" t="str">
        <f>VLOOKUP($B2711,'FRS geographical categories'!$A$2:$C$45,3,FALSE)</f>
        <v>Non-metropolitan</v>
      </c>
      <c r="I2711" s="224">
        <v>6</v>
      </c>
    </row>
    <row r="2712" spans="1:9" ht="15.5" x14ac:dyDescent="0.35">
      <c r="A2712" s="224" t="s">
        <v>81</v>
      </c>
      <c r="B2712" s="224" t="s">
        <v>32</v>
      </c>
      <c r="C2712" s="224" t="s">
        <v>86</v>
      </c>
      <c r="D2712" s="224" t="s">
        <v>55</v>
      </c>
      <c r="E2712" s="224" t="s">
        <v>256</v>
      </c>
      <c r="F2712" s="224" t="s">
        <v>111</v>
      </c>
      <c r="G2712" s="223" t="str">
        <f>VLOOKUP($B2712,'FRS geographical categories'!$A$2:$C$45,2,FALSE)</f>
        <v>Significantly Rural</v>
      </c>
      <c r="H2712" s="223" t="str">
        <f>VLOOKUP($B2712,'FRS geographical categories'!$A$2:$C$45,3,FALSE)</f>
        <v>Non-metropolitan</v>
      </c>
      <c r="I2712" s="224">
        <v>0</v>
      </c>
    </row>
    <row r="2713" spans="1:9" ht="15.5" x14ac:dyDescent="0.35">
      <c r="A2713" s="224" t="s">
        <v>81</v>
      </c>
      <c r="B2713" s="224" t="s">
        <v>32</v>
      </c>
      <c r="C2713" s="224" t="s">
        <v>86</v>
      </c>
      <c r="D2713" s="224" t="s">
        <v>55</v>
      </c>
      <c r="E2713" s="224" t="s">
        <v>256</v>
      </c>
      <c r="F2713" s="224" t="s">
        <v>10</v>
      </c>
      <c r="G2713" s="223" t="str">
        <f>VLOOKUP($B2713,'FRS geographical categories'!$A$2:$C$45,2,FALSE)</f>
        <v>Significantly Rural</v>
      </c>
      <c r="H2713" s="223" t="str">
        <f>VLOOKUP($B2713,'FRS geographical categories'!$A$2:$C$45,3,FALSE)</f>
        <v>Non-metropolitan</v>
      </c>
      <c r="I2713" s="224">
        <v>28</v>
      </c>
    </row>
    <row r="2714" spans="1:9" ht="15.5" x14ac:dyDescent="0.35">
      <c r="A2714" s="224" t="s">
        <v>81</v>
      </c>
      <c r="B2714" s="224" t="s">
        <v>32</v>
      </c>
      <c r="C2714" s="224" t="s">
        <v>89</v>
      </c>
      <c r="D2714" s="224" t="s">
        <v>9</v>
      </c>
      <c r="E2714" s="224" t="s">
        <v>256</v>
      </c>
      <c r="F2714" s="224" t="s">
        <v>248</v>
      </c>
      <c r="G2714" s="223" t="str">
        <f>VLOOKUP($B2714,'FRS geographical categories'!$A$2:$C$45,2,FALSE)</f>
        <v>Significantly Rural</v>
      </c>
      <c r="H2714" s="223" t="str">
        <f>VLOOKUP($B2714,'FRS geographical categories'!$A$2:$C$45,3,FALSE)</f>
        <v>Non-metropolitan</v>
      </c>
      <c r="I2714" s="224">
        <v>0</v>
      </c>
    </row>
    <row r="2715" spans="1:9" ht="15.5" x14ac:dyDescent="0.35">
      <c r="A2715" s="224" t="s">
        <v>81</v>
      </c>
      <c r="B2715" s="224" t="s">
        <v>32</v>
      </c>
      <c r="C2715" s="224" t="s">
        <v>89</v>
      </c>
      <c r="D2715" s="224" t="s">
        <v>9</v>
      </c>
      <c r="E2715" s="224" t="s">
        <v>256</v>
      </c>
      <c r="F2715" s="224" t="s">
        <v>249</v>
      </c>
      <c r="G2715" s="223" t="str">
        <f>VLOOKUP($B2715,'FRS geographical categories'!$A$2:$C$45,2,FALSE)</f>
        <v>Significantly Rural</v>
      </c>
      <c r="H2715" s="223" t="str">
        <f>VLOOKUP($B2715,'FRS geographical categories'!$A$2:$C$45,3,FALSE)</f>
        <v>Non-metropolitan</v>
      </c>
      <c r="I2715" s="224">
        <v>0</v>
      </c>
    </row>
    <row r="2716" spans="1:9" ht="15.5" x14ac:dyDescent="0.35">
      <c r="A2716" s="224" t="s">
        <v>81</v>
      </c>
      <c r="B2716" s="224" t="s">
        <v>32</v>
      </c>
      <c r="C2716" s="224" t="s">
        <v>89</v>
      </c>
      <c r="D2716" s="224" t="s">
        <v>9</v>
      </c>
      <c r="E2716" s="224" t="s">
        <v>256</v>
      </c>
      <c r="F2716" s="224" t="s">
        <v>250</v>
      </c>
      <c r="G2716" s="223" t="str">
        <f>VLOOKUP($B2716,'FRS geographical categories'!$A$2:$C$45,2,FALSE)</f>
        <v>Significantly Rural</v>
      </c>
      <c r="H2716" s="223" t="str">
        <f>VLOOKUP($B2716,'FRS geographical categories'!$A$2:$C$45,3,FALSE)</f>
        <v>Non-metropolitan</v>
      </c>
      <c r="I2716" s="224">
        <v>0</v>
      </c>
    </row>
    <row r="2717" spans="1:9" ht="15.5" x14ac:dyDescent="0.35">
      <c r="A2717" s="224" t="s">
        <v>81</v>
      </c>
      <c r="B2717" s="224" t="s">
        <v>32</v>
      </c>
      <c r="C2717" s="224" t="s">
        <v>89</v>
      </c>
      <c r="D2717" s="224" t="s">
        <v>9</v>
      </c>
      <c r="E2717" s="224" t="s">
        <v>256</v>
      </c>
      <c r="F2717" s="224" t="s">
        <v>10</v>
      </c>
      <c r="G2717" s="223" t="str">
        <f>VLOOKUP($B2717,'FRS geographical categories'!$A$2:$C$45,2,FALSE)</f>
        <v>Significantly Rural</v>
      </c>
      <c r="H2717" s="223" t="str">
        <f>VLOOKUP($B2717,'FRS geographical categories'!$A$2:$C$45,3,FALSE)</f>
        <v>Non-metropolitan</v>
      </c>
      <c r="I2717" s="224">
        <v>0</v>
      </c>
    </row>
    <row r="2718" spans="1:9" ht="15.5" x14ac:dyDescent="0.35">
      <c r="A2718" s="224" t="s">
        <v>81</v>
      </c>
      <c r="B2718" s="224" t="s">
        <v>32</v>
      </c>
      <c r="C2718" s="224" t="s">
        <v>89</v>
      </c>
      <c r="D2718" s="224" t="s">
        <v>55</v>
      </c>
      <c r="E2718" s="224" t="s">
        <v>256</v>
      </c>
      <c r="F2718" s="224" t="s">
        <v>248</v>
      </c>
      <c r="G2718" s="223" t="str">
        <f>VLOOKUP($B2718,'FRS geographical categories'!$A$2:$C$45,2,FALSE)</f>
        <v>Significantly Rural</v>
      </c>
      <c r="H2718" s="223" t="str">
        <f>VLOOKUP($B2718,'FRS geographical categories'!$A$2:$C$45,3,FALSE)</f>
        <v>Non-metropolitan</v>
      </c>
      <c r="I2718" s="224">
        <v>0</v>
      </c>
    </row>
    <row r="2719" spans="1:9" ht="15.5" x14ac:dyDescent="0.35">
      <c r="A2719" s="224" t="s">
        <v>81</v>
      </c>
      <c r="B2719" s="224" t="s">
        <v>32</v>
      </c>
      <c r="C2719" s="224" t="s">
        <v>89</v>
      </c>
      <c r="D2719" s="224" t="s">
        <v>55</v>
      </c>
      <c r="E2719" s="224" t="s">
        <v>256</v>
      </c>
      <c r="F2719" s="224" t="s">
        <v>249</v>
      </c>
      <c r="G2719" s="223" t="str">
        <f>VLOOKUP($B2719,'FRS geographical categories'!$A$2:$C$45,2,FALSE)</f>
        <v>Significantly Rural</v>
      </c>
      <c r="H2719" s="223" t="str">
        <f>VLOOKUP($B2719,'FRS geographical categories'!$A$2:$C$45,3,FALSE)</f>
        <v>Non-metropolitan</v>
      </c>
      <c r="I2719" s="224">
        <v>0</v>
      </c>
    </row>
    <row r="2720" spans="1:9" ht="15.5" x14ac:dyDescent="0.35">
      <c r="A2720" s="224" t="s">
        <v>81</v>
      </c>
      <c r="B2720" s="224" t="s">
        <v>32</v>
      </c>
      <c r="C2720" s="224" t="s">
        <v>89</v>
      </c>
      <c r="D2720" s="224" t="s">
        <v>55</v>
      </c>
      <c r="E2720" s="224" t="s">
        <v>256</v>
      </c>
      <c r="F2720" s="224" t="s">
        <v>250</v>
      </c>
      <c r="G2720" s="223" t="str">
        <f>VLOOKUP($B2720,'FRS geographical categories'!$A$2:$C$45,2,FALSE)</f>
        <v>Significantly Rural</v>
      </c>
      <c r="H2720" s="223" t="str">
        <f>VLOOKUP($B2720,'FRS geographical categories'!$A$2:$C$45,3,FALSE)</f>
        <v>Non-metropolitan</v>
      </c>
      <c r="I2720" s="224">
        <v>0</v>
      </c>
    </row>
    <row r="2721" spans="1:9" ht="15.5" x14ac:dyDescent="0.35">
      <c r="A2721" s="224" t="s">
        <v>81</v>
      </c>
      <c r="B2721" s="224" t="s">
        <v>32</v>
      </c>
      <c r="C2721" s="224" t="s">
        <v>89</v>
      </c>
      <c r="D2721" s="224" t="s">
        <v>55</v>
      </c>
      <c r="E2721" s="224" t="s">
        <v>256</v>
      </c>
      <c r="F2721" s="224" t="s">
        <v>10</v>
      </c>
      <c r="G2721" s="223" t="str">
        <f>VLOOKUP($B2721,'FRS geographical categories'!$A$2:$C$45,2,FALSE)</f>
        <v>Significantly Rural</v>
      </c>
      <c r="H2721" s="223" t="str">
        <f>VLOOKUP($B2721,'FRS geographical categories'!$A$2:$C$45,3,FALSE)</f>
        <v>Non-metropolitan</v>
      </c>
      <c r="I2721" s="224">
        <v>0</v>
      </c>
    </row>
    <row r="2722" spans="1:9" ht="15.5" x14ac:dyDescent="0.35">
      <c r="A2722" s="224" t="s">
        <v>81</v>
      </c>
      <c r="B2722" s="224" t="s">
        <v>33</v>
      </c>
      <c r="C2722" s="224" t="s">
        <v>86</v>
      </c>
      <c r="D2722" s="224" t="s">
        <v>9</v>
      </c>
      <c r="E2722" s="224" t="s">
        <v>256</v>
      </c>
      <c r="F2722" s="224" t="s">
        <v>248</v>
      </c>
      <c r="G2722" s="223" t="str">
        <f>VLOOKUP($B2722,'FRS geographical categories'!$A$2:$C$45,2,FALSE)</f>
        <v>Predominantly Urban</v>
      </c>
      <c r="H2722" s="223" t="str">
        <f>VLOOKUP($B2722,'FRS geographical categories'!$A$2:$C$45,3,FALSE)</f>
        <v>Non-metropolitan</v>
      </c>
      <c r="I2722" s="224">
        <v>1316</v>
      </c>
    </row>
    <row r="2723" spans="1:9" ht="15.5" x14ac:dyDescent="0.35">
      <c r="A2723" s="224" t="s">
        <v>81</v>
      </c>
      <c r="B2723" s="224" t="s">
        <v>33</v>
      </c>
      <c r="C2723" s="224" t="s">
        <v>86</v>
      </c>
      <c r="D2723" s="224" t="s">
        <v>9</v>
      </c>
      <c r="E2723" s="224" t="s">
        <v>256</v>
      </c>
      <c r="F2723" s="224" t="s">
        <v>249</v>
      </c>
      <c r="G2723" s="223" t="str">
        <f>VLOOKUP($B2723,'FRS geographical categories'!$A$2:$C$45,2,FALSE)</f>
        <v>Predominantly Urban</v>
      </c>
      <c r="H2723" s="223" t="str">
        <f>VLOOKUP($B2723,'FRS geographical categories'!$A$2:$C$45,3,FALSE)</f>
        <v>Non-metropolitan</v>
      </c>
      <c r="I2723" s="224">
        <v>7427</v>
      </c>
    </row>
    <row r="2724" spans="1:9" ht="15.5" x14ac:dyDescent="0.35">
      <c r="A2724" s="224" t="s">
        <v>81</v>
      </c>
      <c r="B2724" s="224" t="s">
        <v>33</v>
      </c>
      <c r="C2724" s="224" t="s">
        <v>86</v>
      </c>
      <c r="D2724" s="224" t="s">
        <v>9</v>
      </c>
      <c r="E2724" s="224" t="s">
        <v>256</v>
      </c>
      <c r="F2724" s="224" t="s">
        <v>250</v>
      </c>
      <c r="G2724" s="223" t="str">
        <f>VLOOKUP($B2724,'FRS geographical categories'!$A$2:$C$45,2,FALSE)</f>
        <v>Predominantly Urban</v>
      </c>
      <c r="H2724" s="223" t="str">
        <f>VLOOKUP($B2724,'FRS geographical categories'!$A$2:$C$45,3,FALSE)</f>
        <v>Non-metropolitan</v>
      </c>
      <c r="I2724" s="224">
        <v>5374</v>
      </c>
    </row>
    <row r="2725" spans="1:9" ht="15.5" x14ac:dyDescent="0.35">
      <c r="A2725" s="224" t="s">
        <v>81</v>
      </c>
      <c r="B2725" s="224" t="s">
        <v>33</v>
      </c>
      <c r="C2725" s="224" t="s">
        <v>86</v>
      </c>
      <c r="D2725" s="224" t="s">
        <v>9</v>
      </c>
      <c r="E2725" s="224" t="s">
        <v>256</v>
      </c>
      <c r="F2725" s="224" t="s">
        <v>111</v>
      </c>
      <c r="G2725" s="223" t="str">
        <f>VLOOKUP($B2725,'FRS geographical categories'!$A$2:$C$45,2,FALSE)</f>
        <v>Predominantly Urban</v>
      </c>
      <c r="H2725" s="223" t="str">
        <f>VLOOKUP($B2725,'FRS geographical categories'!$A$2:$C$45,3,FALSE)</f>
        <v>Non-metropolitan</v>
      </c>
      <c r="I2725" s="224">
        <v>17191</v>
      </c>
    </row>
    <row r="2726" spans="1:9" ht="15.5" x14ac:dyDescent="0.35">
      <c r="A2726" s="224" t="s">
        <v>81</v>
      </c>
      <c r="B2726" s="224" t="s">
        <v>33</v>
      </c>
      <c r="C2726" s="224" t="s">
        <v>86</v>
      </c>
      <c r="D2726" s="224" t="s">
        <v>9</v>
      </c>
      <c r="E2726" s="224" t="s">
        <v>256</v>
      </c>
      <c r="F2726" s="224" t="s">
        <v>10</v>
      </c>
      <c r="G2726" s="223" t="str">
        <f>VLOOKUP($B2726,'FRS geographical categories'!$A$2:$C$45,2,FALSE)</f>
        <v>Predominantly Urban</v>
      </c>
      <c r="H2726" s="223" t="str">
        <f>VLOOKUP($B2726,'FRS geographical categories'!$A$2:$C$45,3,FALSE)</f>
        <v>Non-metropolitan</v>
      </c>
      <c r="I2726" s="224">
        <v>19795</v>
      </c>
    </row>
    <row r="2727" spans="1:9" ht="15.5" x14ac:dyDescent="0.35">
      <c r="A2727" s="224" t="s">
        <v>81</v>
      </c>
      <c r="B2727" s="224" t="s">
        <v>33</v>
      </c>
      <c r="C2727" s="224" t="s">
        <v>86</v>
      </c>
      <c r="D2727" s="224" t="s">
        <v>55</v>
      </c>
      <c r="E2727" s="224" t="s">
        <v>256</v>
      </c>
      <c r="F2727" s="224" t="s">
        <v>248</v>
      </c>
      <c r="G2727" s="223" t="str">
        <f>VLOOKUP($B2727,'FRS geographical categories'!$A$2:$C$45,2,FALSE)</f>
        <v>Predominantly Urban</v>
      </c>
      <c r="H2727" s="223" t="str">
        <f>VLOOKUP($B2727,'FRS geographical categories'!$A$2:$C$45,3,FALSE)</f>
        <v>Non-metropolitan</v>
      </c>
      <c r="I2727" s="224">
        <v>2</v>
      </c>
    </row>
    <row r="2728" spans="1:9" ht="15.5" x14ac:dyDescent="0.35">
      <c r="A2728" s="224" t="s">
        <v>81</v>
      </c>
      <c r="B2728" s="224" t="s">
        <v>33</v>
      </c>
      <c r="C2728" s="224" t="s">
        <v>86</v>
      </c>
      <c r="D2728" s="224" t="s">
        <v>55</v>
      </c>
      <c r="E2728" s="224" t="s">
        <v>256</v>
      </c>
      <c r="F2728" s="224" t="s">
        <v>249</v>
      </c>
      <c r="G2728" s="223" t="str">
        <f>VLOOKUP($B2728,'FRS geographical categories'!$A$2:$C$45,2,FALSE)</f>
        <v>Predominantly Urban</v>
      </c>
      <c r="H2728" s="223" t="str">
        <f>VLOOKUP($B2728,'FRS geographical categories'!$A$2:$C$45,3,FALSE)</f>
        <v>Non-metropolitan</v>
      </c>
      <c r="I2728" s="224">
        <v>20</v>
      </c>
    </row>
    <row r="2729" spans="1:9" ht="15.5" x14ac:dyDescent="0.35">
      <c r="A2729" s="224" t="s">
        <v>81</v>
      </c>
      <c r="B2729" s="224" t="s">
        <v>33</v>
      </c>
      <c r="C2729" s="224" t="s">
        <v>86</v>
      </c>
      <c r="D2729" s="224" t="s">
        <v>55</v>
      </c>
      <c r="E2729" s="224" t="s">
        <v>256</v>
      </c>
      <c r="F2729" s="224" t="s">
        <v>250</v>
      </c>
      <c r="G2729" s="223" t="str">
        <f>VLOOKUP($B2729,'FRS geographical categories'!$A$2:$C$45,2,FALSE)</f>
        <v>Predominantly Urban</v>
      </c>
      <c r="H2729" s="223" t="str">
        <f>VLOOKUP($B2729,'FRS geographical categories'!$A$2:$C$45,3,FALSE)</f>
        <v>Non-metropolitan</v>
      </c>
      <c r="I2729" s="224">
        <v>13</v>
      </c>
    </row>
    <row r="2730" spans="1:9" ht="15.5" x14ac:dyDescent="0.35">
      <c r="A2730" s="224" t="s">
        <v>81</v>
      </c>
      <c r="B2730" s="224" t="s">
        <v>33</v>
      </c>
      <c r="C2730" s="224" t="s">
        <v>86</v>
      </c>
      <c r="D2730" s="224" t="s">
        <v>55</v>
      </c>
      <c r="E2730" s="224" t="s">
        <v>256</v>
      </c>
      <c r="F2730" s="224" t="s">
        <v>111</v>
      </c>
      <c r="G2730" s="223" t="str">
        <f>VLOOKUP($B2730,'FRS geographical categories'!$A$2:$C$45,2,FALSE)</f>
        <v>Predominantly Urban</v>
      </c>
      <c r="H2730" s="223" t="str">
        <f>VLOOKUP($B2730,'FRS geographical categories'!$A$2:$C$45,3,FALSE)</f>
        <v>Non-metropolitan</v>
      </c>
      <c r="I2730" s="224">
        <v>37</v>
      </c>
    </row>
    <row r="2731" spans="1:9" ht="15.5" x14ac:dyDescent="0.35">
      <c r="A2731" s="224" t="s">
        <v>81</v>
      </c>
      <c r="B2731" s="224" t="s">
        <v>33</v>
      </c>
      <c r="C2731" s="224" t="s">
        <v>86</v>
      </c>
      <c r="D2731" s="224" t="s">
        <v>55</v>
      </c>
      <c r="E2731" s="224" t="s">
        <v>256</v>
      </c>
      <c r="F2731" s="224" t="s">
        <v>10</v>
      </c>
      <c r="G2731" s="223" t="str">
        <f>VLOOKUP($B2731,'FRS geographical categories'!$A$2:$C$45,2,FALSE)</f>
        <v>Predominantly Urban</v>
      </c>
      <c r="H2731" s="223" t="str">
        <f>VLOOKUP($B2731,'FRS geographical categories'!$A$2:$C$45,3,FALSE)</f>
        <v>Non-metropolitan</v>
      </c>
      <c r="I2731" s="224">
        <v>38</v>
      </c>
    </row>
    <row r="2732" spans="1:9" ht="15.5" x14ac:dyDescent="0.35">
      <c r="A2732" s="224" t="s">
        <v>81</v>
      </c>
      <c r="B2732" s="224" t="s">
        <v>33</v>
      </c>
      <c r="C2732" s="224" t="s">
        <v>89</v>
      </c>
      <c r="D2732" s="224" t="s">
        <v>9</v>
      </c>
      <c r="E2732" s="224" t="s">
        <v>256</v>
      </c>
      <c r="F2732" s="224" t="s">
        <v>248</v>
      </c>
      <c r="G2732" s="223" t="str">
        <f>VLOOKUP($B2732,'FRS geographical categories'!$A$2:$C$45,2,FALSE)</f>
        <v>Predominantly Urban</v>
      </c>
      <c r="H2732" s="223" t="str">
        <f>VLOOKUP($B2732,'FRS geographical categories'!$A$2:$C$45,3,FALSE)</f>
        <v>Non-metropolitan</v>
      </c>
      <c r="I2732" s="224">
        <v>0</v>
      </c>
    </row>
    <row r="2733" spans="1:9" ht="15.5" x14ac:dyDescent="0.35">
      <c r="A2733" s="224" t="s">
        <v>81</v>
      </c>
      <c r="B2733" s="224" t="s">
        <v>33</v>
      </c>
      <c r="C2733" s="224" t="s">
        <v>89</v>
      </c>
      <c r="D2733" s="224" t="s">
        <v>9</v>
      </c>
      <c r="E2733" s="224" t="s">
        <v>256</v>
      </c>
      <c r="F2733" s="224" t="s">
        <v>249</v>
      </c>
      <c r="G2733" s="223" t="str">
        <f>VLOOKUP($B2733,'FRS geographical categories'!$A$2:$C$45,2,FALSE)</f>
        <v>Predominantly Urban</v>
      </c>
      <c r="H2733" s="223" t="str">
        <f>VLOOKUP($B2733,'FRS geographical categories'!$A$2:$C$45,3,FALSE)</f>
        <v>Non-metropolitan</v>
      </c>
      <c r="I2733" s="224">
        <v>0</v>
      </c>
    </row>
    <row r="2734" spans="1:9" ht="15.5" x14ac:dyDescent="0.35">
      <c r="A2734" s="224" t="s">
        <v>81</v>
      </c>
      <c r="B2734" s="224" t="s">
        <v>33</v>
      </c>
      <c r="C2734" s="224" t="s">
        <v>89</v>
      </c>
      <c r="D2734" s="224" t="s">
        <v>9</v>
      </c>
      <c r="E2734" s="224" t="s">
        <v>256</v>
      </c>
      <c r="F2734" s="224" t="s">
        <v>250</v>
      </c>
      <c r="G2734" s="223" t="str">
        <f>VLOOKUP($B2734,'FRS geographical categories'!$A$2:$C$45,2,FALSE)</f>
        <v>Predominantly Urban</v>
      </c>
      <c r="H2734" s="223" t="str">
        <f>VLOOKUP($B2734,'FRS geographical categories'!$A$2:$C$45,3,FALSE)</f>
        <v>Non-metropolitan</v>
      </c>
      <c r="I2734" s="224">
        <v>0</v>
      </c>
    </row>
    <row r="2735" spans="1:9" ht="15.5" x14ac:dyDescent="0.35">
      <c r="A2735" s="224" t="s">
        <v>81</v>
      </c>
      <c r="B2735" s="224" t="s">
        <v>33</v>
      </c>
      <c r="C2735" s="224" t="s">
        <v>89</v>
      </c>
      <c r="D2735" s="224" t="s">
        <v>9</v>
      </c>
      <c r="E2735" s="224" t="s">
        <v>256</v>
      </c>
      <c r="F2735" s="224" t="s">
        <v>10</v>
      </c>
      <c r="G2735" s="223" t="str">
        <f>VLOOKUP($B2735,'FRS geographical categories'!$A$2:$C$45,2,FALSE)</f>
        <v>Predominantly Urban</v>
      </c>
      <c r="H2735" s="223" t="str">
        <f>VLOOKUP($B2735,'FRS geographical categories'!$A$2:$C$45,3,FALSE)</f>
        <v>Non-metropolitan</v>
      </c>
      <c r="I2735" s="224">
        <v>0</v>
      </c>
    </row>
    <row r="2736" spans="1:9" ht="15.5" x14ac:dyDescent="0.35">
      <c r="A2736" s="224" t="s">
        <v>81</v>
      </c>
      <c r="B2736" s="224" t="s">
        <v>33</v>
      </c>
      <c r="C2736" s="224" t="s">
        <v>89</v>
      </c>
      <c r="D2736" s="224" t="s">
        <v>55</v>
      </c>
      <c r="E2736" s="224" t="s">
        <v>256</v>
      </c>
      <c r="F2736" s="224" t="s">
        <v>248</v>
      </c>
      <c r="G2736" s="223" t="str">
        <f>VLOOKUP($B2736,'FRS geographical categories'!$A$2:$C$45,2,FALSE)</f>
        <v>Predominantly Urban</v>
      </c>
      <c r="H2736" s="223" t="str">
        <f>VLOOKUP($B2736,'FRS geographical categories'!$A$2:$C$45,3,FALSE)</f>
        <v>Non-metropolitan</v>
      </c>
      <c r="I2736" s="224">
        <v>0</v>
      </c>
    </row>
    <row r="2737" spans="1:9" ht="15.5" x14ac:dyDescent="0.35">
      <c r="A2737" s="224" t="s">
        <v>81</v>
      </c>
      <c r="B2737" s="224" t="s">
        <v>33</v>
      </c>
      <c r="C2737" s="224" t="s">
        <v>89</v>
      </c>
      <c r="D2737" s="224" t="s">
        <v>55</v>
      </c>
      <c r="E2737" s="224" t="s">
        <v>256</v>
      </c>
      <c r="F2737" s="224" t="s">
        <v>249</v>
      </c>
      <c r="G2737" s="223" t="str">
        <f>VLOOKUP($B2737,'FRS geographical categories'!$A$2:$C$45,2,FALSE)</f>
        <v>Predominantly Urban</v>
      </c>
      <c r="H2737" s="223" t="str">
        <f>VLOOKUP($B2737,'FRS geographical categories'!$A$2:$C$45,3,FALSE)</f>
        <v>Non-metropolitan</v>
      </c>
      <c r="I2737" s="224">
        <v>0</v>
      </c>
    </row>
    <row r="2738" spans="1:9" ht="15.5" x14ac:dyDescent="0.35">
      <c r="A2738" s="224" t="s">
        <v>81</v>
      </c>
      <c r="B2738" s="224" t="s">
        <v>33</v>
      </c>
      <c r="C2738" s="224" t="s">
        <v>89</v>
      </c>
      <c r="D2738" s="224" t="s">
        <v>55</v>
      </c>
      <c r="E2738" s="224" t="s">
        <v>256</v>
      </c>
      <c r="F2738" s="224" t="s">
        <v>250</v>
      </c>
      <c r="G2738" s="223" t="str">
        <f>VLOOKUP($B2738,'FRS geographical categories'!$A$2:$C$45,2,FALSE)</f>
        <v>Predominantly Urban</v>
      </c>
      <c r="H2738" s="223" t="str">
        <f>VLOOKUP($B2738,'FRS geographical categories'!$A$2:$C$45,3,FALSE)</f>
        <v>Non-metropolitan</v>
      </c>
      <c r="I2738" s="224">
        <v>0</v>
      </c>
    </row>
    <row r="2739" spans="1:9" ht="15.5" x14ac:dyDescent="0.35">
      <c r="A2739" s="224" t="s">
        <v>81</v>
      </c>
      <c r="B2739" s="224" t="s">
        <v>33</v>
      </c>
      <c r="C2739" s="224" t="s">
        <v>89</v>
      </c>
      <c r="D2739" s="224" t="s">
        <v>55</v>
      </c>
      <c r="E2739" s="224" t="s">
        <v>256</v>
      </c>
      <c r="F2739" s="224" t="s">
        <v>10</v>
      </c>
      <c r="G2739" s="223" t="str">
        <f>VLOOKUP($B2739,'FRS geographical categories'!$A$2:$C$45,2,FALSE)</f>
        <v>Predominantly Urban</v>
      </c>
      <c r="H2739" s="223" t="str">
        <f>VLOOKUP($B2739,'FRS geographical categories'!$A$2:$C$45,3,FALSE)</f>
        <v>Non-metropolitan</v>
      </c>
      <c r="I2739" s="224">
        <v>0</v>
      </c>
    </row>
    <row r="2740" spans="1:9" ht="15.5" x14ac:dyDescent="0.35">
      <c r="A2740" s="224" t="s">
        <v>81</v>
      </c>
      <c r="B2740" s="224" t="s">
        <v>34</v>
      </c>
      <c r="C2740" s="224" t="s">
        <v>86</v>
      </c>
      <c r="D2740" s="224" t="s">
        <v>9</v>
      </c>
      <c r="E2740" s="224" t="s">
        <v>256</v>
      </c>
      <c r="F2740" s="224" t="s">
        <v>248</v>
      </c>
      <c r="G2740" s="223" t="str">
        <f>VLOOKUP($B2740,'FRS geographical categories'!$A$2:$C$45,2,FALSE)</f>
        <v>Significantly Rural</v>
      </c>
      <c r="H2740" s="223" t="str">
        <f>VLOOKUP($B2740,'FRS geographical categories'!$A$2:$C$45,3,FALSE)</f>
        <v>Non-metropolitan</v>
      </c>
      <c r="I2740" s="224">
        <v>1070</v>
      </c>
    </row>
    <row r="2741" spans="1:9" ht="15.5" x14ac:dyDescent="0.35">
      <c r="A2741" s="224" t="s">
        <v>81</v>
      </c>
      <c r="B2741" s="224" t="s">
        <v>34</v>
      </c>
      <c r="C2741" s="224" t="s">
        <v>86</v>
      </c>
      <c r="D2741" s="224" t="s">
        <v>9</v>
      </c>
      <c r="E2741" s="224" t="s">
        <v>256</v>
      </c>
      <c r="F2741" s="224" t="s">
        <v>249</v>
      </c>
      <c r="G2741" s="223" t="str">
        <f>VLOOKUP($B2741,'FRS geographical categories'!$A$2:$C$45,2,FALSE)</f>
        <v>Significantly Rural</v>
      </c>
      <c r="H2741" s="223" t="str">
        <f>VLOOKUP($B2741,'FRS geographical categories'!$A$2:$C$45,3,FALSE)</f>
        <v>Non-metropolitan</v>
      </c>
      <c r="I2741" s="224">
        <v>2119</v>
      </c>
    </row>
    <row r="2742" spans="1:9" ht="15.5" x14ac:dyDescent="0.35">
      <c r="A2742" s="224" t="s">
        <v>81</v>
      </c>
      <c r="B2742" s="224" t="s">
        <v>34</v>
      </c>
      <c r="C2742" s="224" t="s">
        <v>86</v>
      </c>
      <c r="D2742" s="224" t="s">
        <v>9</v>
      </c>
      <c r="E2742" s="224" t="s">
        <v>256</v>
      </c>
      <c r="F2742" s="224" t="s">
        <v>250</v>
      </c>
      <c r="G2742" s="223" t="str">
        <f>VLOOKUP($B2742,'FRS geographical categories'!$A$2:$C$45,2,FALSE)</f>
        <v>Significantly Rural</v>
      </c>
      <c r="H2742" s="223" t="str">
        <f>VLOOKUP($B2742,'FRS geographical categories'!$A$2:$C$45,3,FALSE)</f>
        <v>Non-metropolitan</v>
      </c>
      <c r="I2742" s="224">
        <v>1239</v>
      </c>
    </row>
    <row r="2743" spans="1:9" ht="15.5" x14ac:dyDescent="0.35">
      <c r="A2743" s="224" t="s">
        <v>81</v>
      </c>
      <c r="B2743" s="224" t="s">
        <v>34</v>
      </c>
      <c r="C2743" s="224" t="s">
        <v>86</v>
      </c>
      <c r="D2743" s="224" t="s">
        <v>9</v>
      </c>
      <c r="E2743" s="224" t="s">
        <v>256</v>
      </c>
      <c r="F2743" s="224" t="s">
        <v>111</v>
      </c>
      <c r="G2743" s="223" t="str">
        <f>VLOOKUP($B2743,'FRS geographical categories'!$A$2:$C$45,2,FALSE)</f>
        <v>Significantly Rural</v>
      </c>
      <c r="H2743" s="223" t="str">
        <f>VLOOKUP($B2743,'FRS geographical categories'!$A$2:$C$45,3,FALSE)</f>
        <v>Non-metropolitan</v>
      </c>
      <c r="I2743" s="224">
        <v>7641</v>
      </c>
    </row>
    <row r="2744" spans="1:9" ht="15.5" x14ac:dyDescent="0.35">
      <c r="A2744" s="224" t="s">
        <v>81</v>
      </c>
      <c r="B2744" s="224" t="s">
        <v>34</v>
      </c>
      <c r="C2744" s="224" t="s">
        <v>86</v>
      </c>
      <c r="D2744" s="224" t="s">
        <v>9</v>
      </c>
      <c r="E2744" s="224" t="s">
        <v>256</v>
      </c>
      <c r="F2744" s="224" t="s">
        <v>10</v>
      </c>
      <c r="G2744" s="223" t="str">
        <f>VLOOKUP($B2744,'FRS geographical categories'!$A$2:$C$45,2,FALSE)</f>
        <v>Significantly Rural</v>
      </c>
      <c r="H2744" s="223" t="str">
        <f>VLOOKUP($B2744,'FRS geographical categories'!$A$2:$C$45,3,FALSE)</f>
        <v>Non-metropolitan</v>
      </c>
      <c r="I2744" s="224">
        <v>10359</v>
      </c>
    </row>
    <row r="2745" spans="1:9" ht="15.5" x14ac:dyDescent="0.35">
      <c r="A2745" s="224" t="s">
        <v>81</v>
      </c>
      <c r="B2745" s="224" t="s">
        <v>34</v>
      </c>
      <c r="C2745" s="224" t="s">
        <v>86</v>
      </c>
      <c r="D2745" s="224" t="s">
        <v>55</v>
      </c>
      <c r="E2745" s="224" t="s">
        <v>256</v>
      </c>
      <c r="F2745" s="224" t="s">
        <v>248</v>
      </c>
      <c r="G2745" s="223" t="str">
        <f>VLOOKUP($B2745,'FRS geographical categories'!$A$2:$C$45,2,FALSE)</f>
        <v>Significantly Rural</v>
      </c>
      <c r="H2745" s="223" t="str">
        <f>VLOOKUP($B2745,'FRS geographical categories'!$A$2:$C$45,3,FALSE)</f>
        <v>Non-metropolitan</v>
      </c>
      <c r="I2745" s="224">
        <v>139</v>
      </c>
    </row>
    <row r="2746" spans="1:9" ht="15.5" x14ac:dyDescent="0.35">
      <c r="A2746" s="224" t="s">
        <v>81</v>
      </c>
      <c r="B2746" s="224" t="s">
        <v>34</v>
      </c>
      <c r="C2746" s="224" t="s">
        <v>86</v>
      </c>
      <c r="D2746" s="224" t="s">
        <v>55</v>
      </c>
      <c r="E2746" s="224" t="s">
        <v>256</v>
      </c>
      <c r="F2746" s="224" t="s">
        <v>249</v>
      </c>
      <c r="G2746" s="223" t="str">
        <f>VLOOKUP($B2746,'FRS geographical categories'!$A$2:$C$45,2,FALSE)</f>
        <v>Significantly Rural</v>
      </c>
      <c r="H2746" s="223" t="str">
        <f>VLOOKUP($B2746,'FRS geographical categories'!$A$2:$C$45,3,FALSE)</f>
        <v>Non-metropolitan</v>
      </c>
      <c r="I2746" s="224">
        <v>166</v>
      </c>
    </row>
    <row r="2747" spans="1:9" ht="15.5" x14ac:dyDescent="0.35">
      <c r="A2747" s="224" t="s">
        <v>81</v>
      </c>
      <c r="B2747" s="224" t="s">
        <v>34</v>
      </c>
      <c r="C2747" s="224" t="s">
        <v>86</v>
      </c>
      <c r="D2747" s="224" t="s">
        <v>55</v>
      </c>
      <c r="E2747" s="224" t="s">
        <v>256</v>
      </c>
      <c r="F2747" s="224" t="s">
        <v>250</v>
      </c>
      <c r="G2747" s="223" t="str">
        <f>VLOOKUP($B2747,'FRS geographical categories'!$A$2:$C$45,2,FALSE)</f>
        <v>Significantly Rural</v>
      </c>
      <c r="H2747" s="223" t="str">
        <f>VLOOKUP($B2747,'FRS geographical categories'!$A$2:$C$45,3,FALSE)</f>
        <v>Non-metropolitan</v>
      </c>
      <c r="I2747" s="224">
        <v>519</v>
      </c>
    </row>
    <row r="2748" spans="1:9" ht="15.5" x14ac:dyDescent="0.35">
      <c r="A2748" s="224" t="s">
        <v>81</v>
      </c>
      <c r="B2748" s="224" t="s">
        <v>34</v>
      </c>
      <c r="C2748" s="224" t="s">
        <v>86</v>
      </c>
      <c r="D2748" s="224" t="s">
        <v>55</v>
      </c>
      <c r="E2748" s="224" t="s">
        <v>256</v>
      </c>
      <c r="F2748" s="224" t="s">
        <v>111</v>
      </c>
      <c r="G2748" s="223" t="str">
        <f>VLOOKUP($B2748,'FRS geographical categories'!$A$2:$C$45,2,FALSE)</f>
        <v>Significantly Rural</v>
      </c>
      <c r="H2748" s="223" t="str">
        <f>VLOOKUP($B2748,'FRS geographical categories'!$A$2:$C$45,3,FALSE)</f>
        <v>Non-metropolitan</v>
      </c>
      <c r="I2748" s="224">
        <v>1036</v>
      </c>
    </row>
    <row r="2749" spans="1:9" ht="15.5" x14ac:dyDescent="0.35">
      <c r="A2749" s="224" t="s">
        <v>81</v>
      </c>
      <c r="B2749" s="224" t="s">
        <v>34</v>
      </c>
      <c r="C2749" s="224" t="s">
        <v>86</v>
      </c>
      <c r="D2749" s="224" t="s">
        <v>55</v>
      </c>
      <c r="E2749" s="224" t="s">
        <v>256</v>
      </c>
      <c r="F2749" s="224" t="s">
        <v>10</v>
      </c>
      <c r="G2749" s="223" t="str">
        <f>VLOOKUP($B2749,'FRS geographical categories'!$A$2:$C$45,2,FALSE)</f>
        <v>Significantly Rural</v>
      </c>
      <c r="H2749" s="223" t="str">
        <f>VLOOKUP($B2749,'FRS geographical categories'!$A$2:$C$45,3,FALSE)</f>
        <v>Non-metropolitan</v>
      </c>
      <c r="I2749" s="224">
        <v>3057</v>
      </c>
    </row>
    <row r="2750" spans="1:9" ht="15.5" x14ac:dyDescent="0.35">
      <c r="A2750" s="224" t="s">
        <v>81</v>
      </c>
      <c r="B2750" s="224" t="s">
        <v>34</v>
      </c>
      <c r="C2750" s="224" t="s">
        <v>89</v>
      </c>
      <c r="D2750" s="224" t="s">
        <v>9</v>
      </c>
      <c r="E2750" s="224" t="s">
        <v>256</v>
      </c>
      <c r="F2750" s="224" t="s">
        <v>248</v>
      </c>
      <c r="G2750" s="223" t="str">
        <f>VLOOKUP($B2750,'FRS geographical categories'!$A$2:$C$45,2,FALSE)</f>
        <v>Significantly Rural</v>
      </c>
      <c r="H2750" s="223" t="str">
        <f>VLOOKUP($B2750,'FRS geographical categories'!$A$2:$C$45,3,FALSE)</f>
        <v>Non-metropolitan</v>
      </c>
      <c r="I2750" s="224">
        <v>12</v>
      </c>
    </row>
    <row r="2751" spans="1:9" ht="15.5" x14ac:dyDescent="0.35">
      <c r="A2751" s="224" t="s">
        <v>81</v>
      </c>
      <c r="B2751" s="224" t="s">
        <v>34</v>
      </c>
      <c r="C2751" s="224" t="s">
        <v>89</v>
      </c>
      <c r="D2751" s="224" t="s">
        <v>9</v>
      </c>
      <c r="E2751" s="224" t="s">
        <v>256</v>
      </c>
      <c r="F2751" s="224" t="s">
        <v>249</v>
      </c>
      <c r="G2751" s="223" t="str">
        <f>VLOOKUP($B2751,'FRS geographical categories'!$A$2:$C$45,2,FALSE)</f>
        <v>Significantly Rural</v>
      </c>
      <c r="H2751" s="223" t="str">
        <f>VLOOKUP($B2751,'FRS geographical categories'!$A$2:$C$45,3,FALSE)</f>
        <v>Non-metropolitan</v>
      </c>
      <c r="I2751" s="224">
        <v>2</v>
      </c>
    </row>
    <row r="2752" spans="1:9" ht="15.5" x14ac:dyDescent="0.35">
      <c r="A2752" s="224" t="s">
        <v>81</v>
      </c>
      <c r="B2752" s="224" t="s">
        <v>34</v>
      </c>
      <c r="C2752" s="224" t="s">
        <v>89</v>
      </c>
      <c r="D2752" s="224" t="s">
        <v>9</v>
      </c>
      <c r="E2752" s="224" t="s">
        <v>256</v>
      </c>
      <c r="F2752" s="224" t="s">
        <v>250</v>
      </c>
      <c r="G2752" s="223" t="str">
        <f>VLOOKUP($B2752,'FRS geographical categories'!$A$2:$C$45,2,FALSE)</f>
        <v>Significantly Rural</v>
      </c>
      <c r="H2752" s="223" t="str">
        <f>VLOOKUP($B2752,'FRS geographical categories'!$A$2:$C$45,3,FALSE)</f>
        <v>Non-metropolitan</v>
      </c>
      <c r="I2752" s="224">
        <v>19</v>
      </c>
    </row>
    <row r="2753" spans="1:9" ht="15.5" x14ac:dyDescent="0.35">
      <c r="A2753" s="224" t="s">
        <v>81</v>
      </c>
      <c r="B2753" s="224" t="s">
        <v>34</v>
      </c>
      <c r="C2753" s="224" t="s">
        <v>89</v>
      </c>
      <c r="D2753" s="224" t="s">
        <v>9</v>
      </c>
      <c r="E2753" s="224" t="s">
        <v>256</v>
      </c>
      <c r="F2753" s="224" t="s">
        <v>10</v>
      </c>
      <c r="G2753" s="223" t="str">
        <f>VLOOKUP($B2753,'FRS geographical categories'!$A$2:$C$45,2,FALSE)</f>
        <v>Significantly Rural</v>
      </c>
      <c r="H2753" s="223" t="str">
        <f>VLOOKUP($B2753,'FRS geographical categories'!$A$2:$C$45,3,FALSE)</f>
        <v>Non-metropolitan</v>
      </c>
      <c r="I2753" s="224">
        <v>68</v>
      </c>
    </row>
    <row r="2754" spans="1:9" ht="15.5" x14ac:dyDescent="0.35">
      <c r="A2754" s="224" t="s">
        <v>81</v>
      </c>
      <c r="B2754" s="224" t="s">
        <v>34</v>
      </c>
      <c r="C2754" s="224" t="s">
        <v>89</v>
      </c>
      <c r="D2754" s="224" t="s">
        <v>55</v>
      </c>
      <c r="E2754" s="224" t="s">
        <v>256</v>
      </c>
      <c r="F2754" s="224" t="s">
        <v>248</v>
      </c>
      <c r="G2754" s="223" t="str">
        <f>VLOOKUP($B2754,'FRS geographical categories'!$A$2:$C$45,2,FALSE)</f>
        <v>Significantly Rural</v>
      </c>
      <c r="H2754" s="223" t="str">
        <f>VLOOKUP($B2754,'FRS geographical categories'!$A$2:$C$45,3,FALSE)</f>
        <v>Non-metropolitan</v>
      </c>
      <c r="I2754" s="224">
        <v>23</v>
      </c>
    </row>
    <row r="2755" spans="1:9" ht="15.5" x14ac:dyDescent="0.35">
      <c r="A2755" s="224" t="s">
        <v>81</v>
      </c>
      <c r="B2755" s="224" t="s">
        <v>34</v>
      </c>
      <c r="C2755" s="224" t="s">
        <v>89</v>
      </c>
      <c r="D2755" s="224" t="s">
        <v>55</v>
      </c>
      <c r="E2755" s="224" t="s">
        <v>256</v>
      </c>
      <c r="F2755" s="224" t="s">
        <v>249</v>
      </c>
      <c r="G2755" s="223" t="str">
        <f>VLOOKUP($B2755,'FRS geographical categories'!$A$2:$C$45,2,FALSE)</f>
        <v>Significantly Rural</v>
      </c>
      <c r="H2755" s="223" t="str">
        <f>VLOOKUP($B2755,'FRS geographical categories'!$A$2:$C$45,3,FALSE)</f>
        <v>Non-metropolitan</v>
      </c>
      <c r="I2755" s="224">
        <v>0</v>
      </c>
    </row>
    <row r="2756" spans="1:9" ht="15.5" x14ac:dyDescent="0.35">
      <c r="A2756" s="224" t="s">
        <v>81</v>
      </c>
      <c r="B2756" s="224" t="s">
        <v>34</v>
      </c>
      <c r="C2756" s="224" t="s">
        <v>89</v>
      </c>
      <c r="D2756" s="224" t="s">
        <v>55</v>
      </c>
      <c r="E2756" s="224" t="s">
        <v>256</v>
      </c>
      <c r="F2756" s="224" t="s">
        <v>250</v>
      </c>
      <c r="G2756" s="223" t="str">
        <f>VLOOKUP($B2756,'FRS geographical categories'!$A$2:$C$45,2,FALSE)</f>
        <v>Significantly Rural</v>
      </c>
      <c r="H2756" s="223" t="str">
        <f>VLOOKUP($B2756,'FRS geographical categories'!$A$2:$C$45,3,FALSE)</f>
        <v>Non-metropolitan</v>
      </c>
      <c r="I2756" s="224">
        <v>0</v>
      </c>
    </row>
    <row r="2757" spans="1:9" ht="15.5" x14ac:dyDescent="0.35">
      <c r="A2757" s="224" t="s">
        <v>81</v>
      </c>
      <c r="B2757" s="224" t="s">
        <v>34</v>
      </c>
      <c r="C2757" s="224" t="s">
        <v>89</v>
      </c>
      <c r="D2757" s="224" t="s">
        <v>55</v>
      </c>
      <c r="E2757" s="224" t="s">
        <v>256</v>
      </c>
      <c r="F2757" s="224" t="s">
        <v>10</v>
      </c>
      <c r="G2757" s="223" t="str">
        <f>VLOOKUP($B2757,'FRS geographical categories'!$A$2:$C$45,2,FALSE)</f>
        <v>Significantly Rural</v>
      </c>
      <c r="H2757" s="223" t="str">
        <f>VLOOKUP($B2757,'FRS geographical categories'!$A$2:$C$45,3,FALSE)</f>
        <v>Non-metropolitan</v>
      </c>
      <c r="I2757" s="224">
        <v>175</v>
      </c>
    </row>
    <row r="2758" spans="1:9" ht="15.5" x14ac:dyDescent="0.35">
      <c r="A2758" s="224" t="s">
        <v>81</v>
      </c>
      <c r="B2758" s="224" t="s">
        <v>35</v>
      </c>
      <c r="C2758" s="224" t="s">
        <v>86</v>
      </c>
      <c r="D2758" s="224" t="s">
        <v>9</v>
      </c>
      <c r="E2758" s="224" t="s">
        <v>256</v>
      </c>
      <c r="F2758" s="224" t="s">
        <v>248</v>
      </c>
      <c r="G2758" s="223" t="str">
        <f>VLOOKUP($B2758,'FRS geographical categories'!$A$2:$C$45,2,FALSE)</f>
        <v>Predominantly Rural</v>
      </c>
      <c r="H2758" s="223" t="str">
        <f>VLOOKUP($B2758,'FRS geographical categories'!$A$2:$C$45,3,FALSE)</f>
        <v>Non-metropolitan</v>
      </c>
      <c r="I2758" s="224">
        <v>634</v>
      </c>
    </row>
    <row r="2759" spans="1:9" ht="15.5" x14ac:dyDescent="0.35">
      <c r="A2759" s="224" t="s">
        <v>81</v>
      </c>
      <c r="B2759" s="224" t="s">
        <v>35</v>
      </c>
      <c r="C2759" s="224" t="s">
        <v>86</v>
      </c>
      <c r="D2759" s="224" t="s">
        <v>9</v>
      </c>
      <c r="E2759" s="224" t="s">
        <v>256</v>
      </c>
      <c r="F2759" s="224" t="s">
        <v>249</v>
      </c>
      <c r="G2759" s="223" t="str">
        <f>VLOOKUP($B2759,'FRS geographical categories'!$A$2:$C$45,2,FALSE)</f>
        <v>Predominantly Rural</v>
      </c>
      <c r="H2759" s="223" t="str">
        <f>VLOOKUP($B2759,'FRS geographical categories'!$A$2:$C$45,3,FALSE)</f>
        <v>Non-metropolitan</v>
      </c>
      <c r="I2759" s="224">
        <v>403</v>
      </c>
    </row>
    <row r="2760" spans="1:9" ht="15.5" x14ac:dyDescent="0.35">
      <c r="A2760" s="224" t="s">
        <v>81</v>
      </c>
      <c r="B2760" s="224" t="s">
        <v>35</v>
      </c>
      <c r="C2760" s="224" t="s">
        <v>86</v>
      </c>
      <c r="D2760" s="224" t="s">
        <v>9</v>
      </c>
      <c r="E2760" s="224" t="s">
        <v>256</v>
      </c>
      <c r="F2760" s="224" t="s">
        <v>250</v>
      </c>
      <c r="G2760" s="223" t="str">
        <f>VLOOKUP($B2760,'FRS geographical categories'!$A$2:$C$45,2,FALSE)</f>
        <v>Predominantly Rural</v>
      </c>
      <c r="H2760" s="223" t="str">
        <f>VLOOKUP($B2760,'FRS geographical categories'!$A$2:$C$45,3,FALSE)</f>
        <v>Non-metropolitan</v>
      </c>
      <c r="I2760" s="224">
        <v>369</v>
      </c>
    </row>
    <row r="2761" spans="1:9" ht="15.5" x14ac:dyDescent="0.35">
      <c r="A2761" s="224" t="s">
        <v>81</v>
      </c>
      <c r="B2761" s="224" t="s">
        <v>35</v>
      </c>
      <c r="C2761" s="224" t="s">
        <v>86</v>
      </c>
      <c r="D2761" s="224" t="s">
        <v>9</v>
      </c>
      <c r="E2761" s="224" t="s">
        <v>256</v>
      </c>
      <c r="F2761" s="224" t="s">
        <v>111</v>
      </c>
      <c r="G2761" s="223" t="str">
        <f>VLOOKUP($B2761,'FRS geographical categories'!$A$2:$C$45,2,FALSE)</f>
        <v>Predominantly Rural</v>
      </c>
      <c r="H2761" s="223" t="str">
        <f>VLOOKUP($B2761,'FRS geographical categories'!$A$2:$C$45,3,FALSE)</f>
        <v>Non-metropolitan</v>
      </c>
      <c r="I2761" s="224">
        <v>4441</v>
      </c>
    </row>
    <row r="2762" spans="1:9" ht="15.5" x14ac:dyDescent="0.35">
      <c r="A2762" s="224" t="s">
        <v>81</v>
      </c>
      <c r="B2762" s="224" t="s">
        <v>35</v>
      </c>
      <c r="C2762" s="224" t="s">
        <v>86</v>
      </c>
      <c r="D2762" s="224" t="s">
        <v>9</v>
      </c>
      <c r="E2762" s="224" t="s">
        <v>256</v>
      </c>
      <c r="F2762" s="224" t="s">
        <v>10</v>
      </c>
      <c r="G2762" s="223" t="str">
        <f>VLOOKUP($B2762,'FRS geographical categories'!$A$2:$C$45,2,FALSE)</f>
        <v>Predominantly Rural</v>
      </c>
      <c r="H2762" s="223" t="str">
        <f>VLOOKUP($B2762,'FRS geographical categories'!$A$2:$C$45,3,FALSE)</f>
        <v>Non-metropolitan</v>
      </c>
      <c r="I2762" s="224">
        <v>5155</v>
      </c>
    </row>
    <row r="2763" spans="1:9" ht="15.5" x14ac:dyDescent="0.35">
      <c r="A2763" s="224" t="s">
        <v>81</v>
      </c>
      <c r="B2763" s="224" t="s">
        <v>35</v>
      </c>
      <c r="C2763" s="224" t="s">
        <v>86</v>
      </c>
      <c r="D2763" s="224" t="s">
        <v>55</v>
      </c>
      <c r="E2763" s="224" t="s">
        <v>256</v>
      </c>
      <c r="F2763" s="224" t="s">
        <v>248</v>
      </c>
      <c r="G2763" s="223" t="str">
        <f>VLOOKUP($B2763,'FRS geographical categories'!$A$2:$C$45,2,FALSE)</f>
        <v>Predominantly Rural</v>
      </c>
      <c r="H2763" s="223" t="str">
        <f>VLOOKUP($B2763,'FRS geographical categories'!$A$2:$C$45,3,FALSE)</f>
        <v>Non-metropolitan</v>
      </c>
      <c r="I2763" s="224">
        <v>3</v>
      </c>
    </row>
    <row r="2764" spans="1:9" ht="15.5" x14ac:dyDescent="0.35">
      <c r="A2764" s="224" t="s">
        <v>81</v>
      </c>
      <c r="B2764" s="224" t="s">
        <v>35</v>
      </c>
      <c r="C2764" s="224" t="s">
        <v>86</v>
      </c>
      <c r="D2764" s="224" t="s">
        <v>55</v>
      </c>
      <c r="E2764" s="224" t="s">
        <v>256</v>
      </c>
      <c r="F2764" s="224" t="s">
        <v>249</v>
      </c>
      <c r="G2764" s="223" t="str">
        <f>VLOOKUP($B2764,'FRS geographical categories'!$A$2:$C$45,2,FALSE)</f>
        <v>Predominantly Rural</v>
      </c>
      <c r="H2764" s="223" t="str">
        <f>VLOOKUP($B2764,'FRS geographical categories'!$A$2:$C$45,3,FALSE)</f>
        <v>Non-metropolitan</v>
      </c>
      <c r="I2764" s="224">
        <v>1</v>
      </c>
    </row>
    <row r="2765" spans="1:9" ht="15.5" x14ac:dyDescent="0.35">
      <c r="A2765" s="224" t="s">
        <v>81</v>
      </c>
      <c r="B2765" s="224" t="s">
        <v>35</v>
      </c>
      <c r="C2765" s="224" t="s">
        <v>86</v>
      </c>
      <c r="D2765" s="224" t="s">
        <v>55</v>
      </c>
      <c r="E2765" s="224" t="s">
        <v>256</v>
      </c>
      <c r="F2765" s="224" t="s">
        <v>250</v>
      </c>
      <c r="G2765" s="223" t="str">
        <f>VLOOKUP($B2765,'FRS geographical categories'!$A$2:$C$45,2,FALSE)</f>
        <v>Predominantly Rural</v>
      </c>
      <c r="H2765" s="223" t="str">
        <f>VLOOKUP($B2765,'FRS geographical categories'!$A$2:$C$45,3,FALSE)</f>
        <v>Non-metropolitan</v>
      </c>
      <c r="I2765" s="224">
        <v>1</v>
      </c>
    </row>
    <row r="2766" spans="1:9" ht="15.5" x14ac:dyDescent="0.35">
      <c r="A2766" s="224" t="s">
        <v>81</v>
      </c>
      <c r="B2766" s="224" t="s">
        <v>35</v>
      </c>
      <c r="C2766" s="224" t="s">
        <v>86</v>
      </c>
      <c r="D2766" s="224" t="s">
        <v>55</v>
      </c>
      <c r="E2766" s="224" t="s">
        <v>256</v>
      </c>
      <c r="F2766" s="224" t="s">
        <v>111</v>
      </c>
      <c r="G2766" s="223" t="str">
        <f>VLOOKUP($B2766,'FRS geographical categories'!$A$2:$C$45,2,FALSE)</f>
        <v>Predominantly Rural</v>
      </c>
      <c r="H2766" s="223" t="str">
        <f>VLOOKUP($B2766,'FRS geographical categories'!$A$2:$C$45,3,FALSE)</f>
        <v>Non-metropolitan</v>
      </c>
      <c r="I2766" s="224">
        <v>8</v>
      </c>
    </row>
    <row r="2767" spans="1:9" ht="15.5" x14ac:dyDescent="0.35">
      <c r="A2767" s="224" t="s">
        <v>81</v>
      </c>
      <c r="B2767" s="224" t="s">
        <v>35</v>
      </c>
      <c r="C2767" s="224" t="s">
        <v>86</v>
      </c>
      <c r="D2767" s="224" t="s">
        <v>55</v>
      </c>
      <c r="E2767" s="224" t="s">
        <v>256</v>
      </c>
      <c r="F2767" s="224" t="s">
        <v>10</v>
      </c>
      <c r="G2767" s="223" t="str">
        <f>VLOOKUP($B2767,'FRS geographical categories'!$A$2:$C$45,2,FALSE)</f>
        <v>Predominantly Rural</v>
      </c>
      <c r="H2767" s="223" t="str">
        <f>VLOOKUP($B2767,'FRS geographical categories'!$A$2:$C$45,3,FALSE)</f>
        <v>Non-metropolitan</v>
      </c>
      <c r="I2767" s="224">
        <v>52</v>
      </c>
    </row>
    <row r="2768" spans="1:9" ht="15.5" x14ac:dyDescent="0.35">
      <c r="A2768" s="224" t="s">
        <v>81</v>
      </c>
      <c r="B2768" s="224" t="s">
        <v>35</v>
      </c>
      <c r="C2768" s="224" t="s">
        <v>89</v>
      </c>
      <c r="D2768" s="224" t="s">
        <v>9</v>
      </c>
      <c r="E2768" s="224" t="s">
        <v>256</v>
      </c>
      <c r="F2768" s="224" t="s">
        <v>248</v>
      </c>
      <c r="G2768" s="223" t="str">
        <f>VLOOKUP($B2768,'FRS geographical categories'!$A$2:$C$45,2,FALSE)</f>
        <v>Predominantly Rural</v>
      </c>
      <c r="H2768" s="223" t="str">
        <f>VLOOKUP($B2768,'FRS geographical categories'!$A$2:$C$45,3,FALSE)</f>
        <v>Non-metropolitan</v>
      </c>
      <c r="I2768" s="224">
        <v>0</v>
      </c>
    </row>
    <row r="2769" spans="1:9" ht="15.5" x14ac:dyDescent="0.35">
      <c r="A2769" s="224" t="s">
        <v>81</v>
      </c>
      <c r="B2769" s="224" t="s">
        <v>35</v>
      </c>
      <c r="C2769" s="224" t="s">
        <v>89</v>
      </c>
      <c r="D2769" s="224" t="s">
        <v>9</v>
      </c>
      <c r="E2769" s="224" t="s">
        <v>256</v>
      </c>
      <c r="F2769" s="224" t="s">
        <v>249</v>
      </c>
      <c r="G2769" s="223" t="str">
        <f>VLOOKUP($B2769,'FRS geographical categories'!$A$2:$C$45,2,FALSE)</f>
        <v>Predominantly Rural</v>
      </c>
      <c r="H2769" s="223" t="str">
        <f>VLOOKUP($B2769,'FRS geographical categories'!$A$2:$C$45,3,FALSE)</f>
        <v>Non-metropolitan</v>
      </c>
      <c r="I2769" s="224">
        <v>0</v>
      </c>
    </row>
    <row r="2770" spans="1:9" ht="15.5" x14ac:dyDescent="0.35">
      <c r="A2770" s="224" t="s">
        <v>81</v>
      </c>
      <c r="B2770" s="224" t="s">
        <v>35</v>
      </c>
      <c r="C2770" s="224" t="s">
        <v>89</v>
      </c>
      <c r="D2770" s="224" t="s">
        <v>9</v>
      </c>
      <c r="E2770" s="224" t="s">
        <v>256</v>
      </c>
      <c r="F2770" s="224" t="s">
        <v>250</v>
      </c>
      <c r="G2770" s="223" t="str">
        <f>VLOOKUP($B2770,'FRS geographical categories'!$A$2:$C$45,2,FALSE)</f>
        <v>Predominantly Rural</v>
      </c>
      <c r="H2770" s="223" t="str">
        <f>VLOOKUP($B2770,'FRS geographical categories'!$A$2:$C$45,3,FALSE)</f>
        <v>Non-metropolitan</v>
      </c>
      <c r="I2770" s="224">
        <v>0</v>
      </c>
    </row>
    <row r="2771" spans="1:9" ht="15.5" x14ac:dyDescent="0.35">
      <c r="A2771" s="224" t="s">
        <v>81</v>
      </c>
      <c r="B2771" s="224" t="s">
        <v>35</v>
      </c>
      <c r="C2771" s="224" t="s">
        <v>89</v>
      </c>
      <c r="D2771" s="224" t="s">
        <v>9</v>
      </c>
      <c r="E2771" s="224" t="s">
        <v>256</v>
      </c>
      <c r="F2771" s="224" t="s">
        <v>10</v>
      </c>
      <c r="G2771" s="223" t="str">
        <f>VLOOKUP($B2771,'FRS geographical categories'!$A$2:$C$45,2,FALSE)</f>
        <v>Predominantly Rural</v>
      </c>
      <c r="H2771" s="223" t="str">
        <f>VLOOKUP($B2771,'FRS geographical categories'!$A$2:$C$45,3,FALSE)</f>
        <v>Non-metropolitan</v>
      </c>
      <c r="I2771" s="224">
        <v>0</v>
      </c>
    </row>
    <row r="2772" spans="1:9" ht="15.5" x14ac:dyDescent="0.35">
      <c r="A2772" s="224" t="s">
        <v>81</v>
      </c>
      <c r="B2772" s="224" t="s">
        <v>35</v>
      </c>
      <c r="C2772" s="224" t="s">
        <v>89</v>
      </c>
      <c r="D2772" s="224" t="s">
        <v>55</v>
      </c>
      <c r="E2772" s="224" t="s">
        <v>256</v>
      </c>
      <c r="F2772" s="224" t="s">
        <v>248</v>
      </c>
      <c r="G2772" s="223" t="str">
        <f>VLOOKUP($B2772,'FRS geographical categories'!$A$2:$C$45,2,FALSE)</f>
        <v>Predominantly Rural</v>
      </c>
      <c r="H2772" s="223" t="str">
        <f>VLOOKUP($B2772,'FRS geographical categories'!$A$2:$C$45,3,FALSE)</f>
        <v>Non-metropolitan</v>
      </c>
      <c r="I2772" s="224">
        <v>0</v>
      </c>
    </row>
    <row r="2773" spans="1:9" ht="15.5" x14ac:dyDescent="0.35">
      <c r="A2773" s="224" t="s">
        <v>81</v>
      </c>
      <c r="B2773" s="224" t="s">
        <v>35</v>
      </c>
      <c r="C2773" s="224" t="s">
        <v>89</v>
      </c>
      <c r="D2773" s="224" t="s">
        <v>55</v>
      </c>
      <c r="E2773" s="224" t="s">
        <v>256</v>
      </c>
      <c r="F2773" s="224" t="s">
        <v>249</v>
      </c>
      <c r="G2773" s="223" t="str">
        <f>VLOOKUP($B2773,'FRS geographical categories'!$A$2:$C$45,2,FALSE)</f>
        <v>Predominantly Rural</v>
      </c>
      <c r="H2773" s="223" t="str">
        <f>VLOOKUP($B2773,'FRS geographical categories'!$A$2:$C$45,3,FALSE)</f>
        <v>Non-metropolitan</v>
      </c>
      <c r="I2773" s="224">
        <v>0</v>
      </c>
    </row>
    <row r="2774" spans="1:9" ht="15.5" x14ac:dyDescent="0.35">
      <c r="A2774" s="224" t="s">
        <v>81</v>
      </c>
      <c r="B2774" s="224" t="s">
        <v>35</v>
      </c>
      <c r="C2774" s="224" t="s">
        <v>89</v>
      </c>
      <c r="D2774" s="224" t="s">
        <v>55</v>
      </c>
      <c r="E2774" s="224" t="s">
        <v>256</v>
      </c>
      <c r="F2774" s="224" t="s">
        <v>250</v>
      </c>
      <c r="G2774" s="223" t="str">
        <f>VLOOKUP($B2774,'FRS geographical categories'!$A$2:$C$45,2,FALSE)</f>
        <v>Predominantly Rural</v>
      </c>
      <c r="H2774" s="223" t="str">
        <f>VLOOKUP($B2774,'FRS geographical categories'!$A$2:$C$45,3,FALSE)</f>
        <v>Non-metropolitan</v>
      </c>
      <c r="I2774" s="224">
        <v>0</v>
      </c>
    </row>
    <row r="2775" spans="1:9" ht="15.5" x14ac:dyDescent="0.35">
      <c r="A2775" s="224" t="s">
        <v>81</v>
      </c>
      <c r="B2775" s="224" t="s">
        <v>35</v>
      </c>
      <c r="C2775" s="224" t="s">
        <v>89</v>
      </c>
      <c r="D2775" s="224" t="s">
        <v>55</v>
      </c>
      <c r="E2775" s="224" t="s">
        <v>256</v>
      </c>
      <c r="F2775" s="224" t="s">
        <v>10</v>
      </c>
      <c r="G2775" s="223" t="str">
        <f>VLOOKUP($B2775,'FRS geographical categories'!$A$2:$C$45,2,FALSE)</f>
        <v>Predominantly Rural</v>
      </c>
      <c r="H2775" s="223" t="str">
        <f>VLOOKUP($B2775,'FRS geographical categories'!$A$2:$C$45,3,FALSE)</f>
        <v>Non-metropolitan</v>
      </c>
      <c r="I2775" s="224">
        <v>0</v>
      </c>
    </row>
    <row r="2776" spans="1:9" ht="15.5" x14ac:dyDescent="0.35">
      <c r="A2776" s="224" t="s">
        <v>81</v>
      </c>
      <c r="B2776" s="224" t="s">
        <v>36</v>
      </c>
      <c r="C2776" s="224" t="s">
        <v>86</v>
      </c>
      <c r="D2776" s="224" t="s">
        <v>9</v>
      </c>
      <c r="E2776" s="224" t="s">
        <v>256</v>
      </c>
      <c r="F2776" s="224" t="s">
        <v>248</v>
      </c>
      <c r="G2776" s="223" t="str">
        <f>VLOOKUP($B2776,'FRS geographical categories'!$A$2:$C$45,2,FALSE)</f>
        <v>Predominantly Urban</v>
      </c>
      <c r="H2776" s="223" t="str">
        <f>VLOOKUP($B2776,'FRS geographical categories'!$A$2:$C$45,3,FALSE)</f>
        <v>Metropolitan</v>
      </c>
      <c r="I2776" s="224">
        <v>2593</v>
      </c>
    </row>
    <row r="2777" spans="1:9" ht="15.5" x14ac:dyDescent="0.35">
      <c r="A2777" s="224" t="s">
        <v>81</v>
      </c>
      <c r="B2777" s="224" t="s">
        <v>36</v>
      </c>
      <c r="C2777" s="224" t="s">
        <v>86</v>
      </c>
      <c r="D2777" s="224" t="s">
        <v>9</v>
      </c>
      <c r="E2777" s="224" t="s">
        <v>256</v>
      </c>
      <c r="F2777" s="224" t="s">
        <v>249</v>
      </c>
      <c r="G2777" s="223" t="str">
        <f>VLOOKUP($B2777,'FRS geographical categories'!$A$2:$C$45,2,FALSE)</f>
        <v>Predominantly Urban</v>
      </c>
      <c r="H2777" s="223" t="str">
        <f>VLOOKUP($B2777,'FRS geographical categories'!$A$2:$C$45,3,FALSE)</f>
        <v>Metropolitan</v>
      </c>
      <c r="I2777" s="224">
        <v>7401</v>
      </c>
    </row>
    <row r="2778" spans="1:9" ht="15.5" x14ac:dyDescent="0.35">
      <c r="A2778" s="224" t="s">
        <v>81</v>
      </c>
      <c r="B2778" s="224" t="s">
        <v>36</v>
      </c>
      <c r="C2778" s="224" t="s">
        <v>86</v>
      </c>
      <c r="D2778" s="224" t="s">
        <v>9</v>
      </c>
      <c r="E2778" s="224" t="s">
        <v>256</v>
      </c>
      <c r="F2778" s="224" t="s">
        <v>250</v>
      </c>
      <c r="G2778" s="223" t="str">
        <f>VLOOKUP($B2778,'FRS geographical categories'!$A$2:$C$45,2,FALSE)</f>
        <v>Predominantly Urban</v>
      </c>
      <c r="H2778" s="223" t="str">
        <f>VLOOKUP($B2778,'FRS geographical categories'!$A$2:$C$45,3,FALSE)</f>
        <v>Metropolitan</v>
      </c>
      <c r="I2778" s="224">
        <v>1898</v>
      </c>
    </row>
    <row r="2779" spans="1:9" ht="15.5" x14ac:dyDescent="0.35">
      <c r="A2779" s="224" t="s">
        <v>81</v>
      </c>
      <c r="B2779" s="224" t="s">
        <v>36</v>
      </c>
      <c r="C2779" s="224" t="s">
        <v>86</v>
      </c>
      <c r="D2779" s="224" t="s">
        <v>9</v>
      </c>
      <c r="E2779" s="224" t="s">
        <v>256</v>
      </c>
      <c r="F2779" s="224" t="s">
        <v>111</v>
      </c>
      <c r="G2779" s="223" t="str">
        <f>VLOOKUP($B2779,'FRS geographical categories'!$A$2:$C$45,2,FALSE)</f>
        <v>Predominantly Urban</v>
      </c>
      <c r="H2779" s="223" t="str">
        <f>VLOOKUP($B2779,'FRS geographical categories'!$A$2:$C$45,3,FALSE)</f>
        <v>Metropolitan</v>
      </c>
      <c r="I2779" s="224">
        <v>34595</v>
      </c>
    </row>
    <row r="2780" spans="1:9" ht="15.5" x14ac:dyDescent="0.35">
      <c r="A2780" s="224" t="s">
        <v>81</v>
      </c>
      <c r="B2780" s="224" t="s">
        <v>36</v>
      </c>
      <c r="C2780" s="224" t="s">
        <v>86</v>
      </c>
      <c r="D2780" s="224" t="s">
        <v>9</v>
      </c>
      <c r="E2780" s="224" t="s">
        <v>256</v>
      </c>
      <c r="F2780" s="224" t="s">
        <v>10</v>
      </c>
      <c r="G2780" s="223" t="str">
        <f>VLOOKUP($B2780,'FRS geographical categories'!$A$2:$C$45,2,FALSE)</f>
        <v>Predominantly Urban</v>
      </c>
      <c r="H2780" s="223" t="str">
        <f>VLOOKUP($B2780,'FRS geographical categories'!$A$2:$C$45,3,FALSE)</f>
        <v>Metropolitan</v>
      </c>
      <c r="I2780" s="224">
        <v>47771</v>
      </c>
    </row>
    <row r="2781" spans="1:9" ht="15.5" x14ac:dyDescent="0.35">
      <c r="A2781" s="224" t="s">
        <v>81</v>
      </c>
      <c r="B2781" s="224" t="s">
        <v>36</v>
      </c>
      <c r="C2781" s="224" t="s">
        <v>86</v>
      </c>
      <c r="D2781" s="224" t="s">
        <v>55</v>
      </c>
      <c r="E2781" s="224" t="s">
        <v>256</v>
      </c>
      <c r="F2781" s="224" t="s">
        <v>248</v>
      </c>
      <c r="G2781" s="223" t="str">
        <f>VLOOKUP($B2781,'FRS geographical categories'!$A$2:$C$45,2,FALSE)</f>
        <v>Predominantly Urban</v>
      </c>
      <c r="H2781" s="223" t="str">
        <f>VLOOKUP($B2781,'FRS geographical categories'!$A$2:$C$45,3,FALSE)</f>
        <v>Metropolitan</v>
      </c>
      <c r="I2781" s="224">
        <v>0</v>
      </c>
    </row>
    <row r="2782" spans="1:9" ht="15.5" x14ac:dyDescent="0.35">
      <c r="A2782" s="224" t="s">
        <v>81</v>
      </c>
      <c r="B2782" s="224" t="s">
        <v>36</v>
      </c>
      <c r="C2782" s="224" t="s">
        <v>86</v>
      </c>
      <c r="D2782" s="224" t="s">
        <v>55</v>
      </c>
      <c r="E2782" s="224" t="s">
        <v>256</v>
      </c>
      <c r="F2782" s="224" t="s">
        <v>249</v>
      </c>
      <c r="G2782" s="223" t="str">
        <f>VLOOKUP($B2782,'FRS geographical categories'!$A$2:$C$45,2,FALSE)</f>
        <v>Predominantly Urban</v>
      </c>
      <c r="H2782" s="223" t="str">
        <f>VLOOKUP($B2782,'FRS geographical categories'!$A$2:$C$45,3,FALSE)</f>
        <v>Metropolitan</v>
      </c>
      <c r="I2782" s="224">
        <v>0</v>
      </c>
    </row>
    <row r="2783" spans="1:9" ht="15.5" x14ac:dyDescent="0.35">
      <c r="A2783" s="224" t="s">
        <v>81</v>
      </c>
      <c r="B2783" s="224" t="s">
        <v>36</v>
      </c>
      <c r="C2783" s="224" t="s">
        <v>86</v>
      </c>
      <c r="D2783" s="224" t="s">
        <v>55</v>
      </c>
      <c r="E2783" s="224" t="s">
        <v>256</v>
      </c>
      <c r="F2783" s="224" t="s">
        <v>250</v>
      </c>
      <c r="G2783" s="223" t="str">
        <f>VLOOKUP($B2783,'FRS geographical categories'!$A$2:$C$45,2,FALSE)</f>
        <v>Predominantly Urban</v>
      </c>
      <c r="H2783" s="223" t="str">
        <f>VLOOKUP($B2783,'FRS geographical categories'!$A$2:$C$45,3,FALSE)</f>
        <v>Metropolitan</v>
      </c>
      <c r="I2783" s="224">
        <v>0</v>
      </c>
    </row>
    <row r="2784" spans="1:9" ht="15.5" x14ac:dyDescent="0.35">
      <c r="A2784" s="224" t="s">
        <v>81</v>
      </c>
      <c r="B2784" s="224" t="s">
        <v>36</v>
      </c>
      <c r="C2784" s="224" t="s">
        <v>86</v>
      </c>
      <c r="D2784" s="224" t="s">
        <v>55</v>
      </c>
      <c r="E2784" s="224" t="s">
        <v>256</v>
      </c>
      <c r="F2784" s="224" t="s">
        <v>111</v>
      </c>
      <c r="G2784" s="223" t="str">
        <f>VLOOKUP($B2784,'FRS geographical categories'!$A$2:$C$45,2,FALSE)</f>
        <v>Predominantly Urban</v>
      </c>
      <c r="H2784" s="223" t="str">
        <f>VLOOKUP($B2784,'FRS geographical categories'!$A$2:$C$45,3,FALSE)</f>
        <v>Metropolitan</v>
      </c>
      <c r="I2784" s="224">
        <v>0</v>
      </c>
    </row>
    <row r="2785" spans="1:9" ht="15.5" x14ac:dyDescent="0.35">
      <c r="A2785" s="224" t="s">
        <v>81</v>
      </c>
      <c r="B2785" s="224" t="s">
        <v>36</v>
      </c>
      <c r="C2785" s="224" t="s">
        <v>86</v>
      </c>
      <c r="D2785" s="224" t="s">
        <v>55</v>
      </c>
      <c r="E2785" s="224" t="s">
        <v>256</v>
      </c>
      <c r="F2785" s="224" t="s">
        <v>10</v>
      </c>
      <c r="G2785" s="223" t="str">
        <f>VLOOKUP($B2785,'FRS geographical categories'!$A$2:$C$45,2,FALSE)</f>
        <v>Predominantly Urban</v>
      </c>
      <c r="H2785" s="223" t="str">
        <f>VLOOKUP($B2785,'FRS geographical categories'!$A$2:$C$45,3,FALSE)</f>
        <v>Metropolitan</v>
      </c>
      <c r="I2785" s="224">
        <v>0</v>
      </c>
    </row>
    <row r="2786" spans="1:9" ht="15.5" x14ac:dyDescent="0.35">
      <c r="A2786" s="224" t="s">
        <v>81</v>
      </c>
      <c r="B2786" s="224" t="s">
        <v>36</v>
      </c>
      <c r="C2786" s="224" t="s">
        <v>89</v>
      </c>
      <c r="D2786" s="224" t="s">
        <v>9</v>
      </c>
      <c r="E2786" s="224" t="s">
        <v>256</v>
      </c>
      <c r="F2786" s="224" t="s">
        <v>248</v>
      </c>
      <c r="G2786" s="223" t="str">
        <f>VLOOKUP($B2786,'FRS geographical categories'!$A$2:$C$45,2,FALSE)</f>
        <v>Predominantly Urban</v>
      </c>
      <c r="H2786" s="223" t="str">
        <f>VLOOKUP($B2786,'FRS geographical categories'!$A$2:$C$45,3,FALSE)</f>
        <v>Metropolitan</v>
      </c>
      <c r="I2786" s="224">
        <v>0</v>
      </c>
    </row>
    <row r="2787" spans="1:9" ht="15.5" x14ac:dyDescent="0.35">
      <c r="A2787" s="224" t="s">
        <v>81</v>
      </c>
      <c r="B2787" s="224" t="s">
        <v>36</v>
      </c>
      <c r="C2787" s="224" t="s">
        <v>89</v>
      </c>
      <c r="D2787" s="224" t="s">
        <v>9</v>
      </c>
      <c r="E2787" s="224" t="s">
        <v>256</v>
      </c>
      <c r="F2787" s="224" t="s">
        <v>249</v>
      </c>
      <c r="G2787" s="223" t="str">
        <f>VLOOKUP($B2787,'FRS geographical categories'!$A$2:$C$45,2,FALSE)</f>
        <v>Predominantly Urban</v>
      </c>
      <c r="H2787" s="223" t="str">
        <f>VLOOKUP($B2787,'FRS geographical categories'!$A$2:$C$45,3,FALSE)</f>
        <v>Metropolitan</v>
      </c>
      <c r="I2787" s="224">
        <v>0</v>
      </c>
    </row>
    <row r="2788" spans="1:9" ht="15.5" x14ac:dyDescent="0.35">
      <c r="A2788" s="224" t="s">
        <v>81</v>
      </c>
      <c r="B2788" s="224" t="s">
        <v>36</v>
      </c>
      <c r="C2788" s="224" t="s">
        <v>89</v>
      </c>
      <c r="D2788" s="224" t="s">
        <v>9</v>
      </c>
      <c r="E2788" s="224" t="s">
        <v>256</v>
      </c>
      <c r="F2788" s="224" t="s">
        <v>250</v>
      </c>
      <c r="G2788" s="223" t="str">
        <f>VLOOKUP($B2788,'FRS geographical categories'!$A$2:$C$45,2,FALSE)</f>
        <v>Predominantly Urban</v>
      </c>
      <c r="H2788" s="223" t="str">
        <f>VLOOKUP($B2788,'FRS geographical categories'!$A$2:$C$45,3,FALSE)</f>
        <v>Metropolitan</v>
      </c>
      <c r="I2788" s="224">
        <v>0</v>
      </c>
    </row>
    <row r="2789" spans="1:9" ht="15.5" x14ac:dyDescent="0.35">
      <c r="A2789" s="224" t="s">
        <v>81</v>
      </c>
      <c r="B2789" s="224" t="s">
        <v>36</v>
      </c>
      <c r="C2789" s="224" t="s">
        <v>89</v>
      </c>
      <c r="D2789" s="224" t="s">
        <v>9</v>
      </c>
      <c r="E2789" s="224" t="s">
        <v>256</v>
      </c>
      <c r="F2789" s="224" t="s">
        <v>10</v>
      </c>
      <c r="G2789" s="223" t="str">
        <f>VLOOKUP($B2789,'FRS geographical categories'!$A$2:$C$45,2,FALSE)</f>
        <v>Predominantly Urban</v>
      </c>
      <c r="H2789" s="223" t="str">
        <f>VLOOKUP($B2789,'FRS geographical categories'!$A$2:$C$45,3,FALSE)</f>
        <v>Metropolitan</v>
      </c>
      <c r="I2789" s="224">
        <v>0</v>
      </c>
    </row>
    <row r="2790" spans="1:9" ht="15.5" x14ac:dyDescent="0.35">
      <c r="A2790" s="224" t="s">
        <v>81</v>
      </c>
      <c r="B2790" s="224" t="s">
        <v>36</v>
      </c>
      <c r="C2790" s="224" t="s">
        <v>89</v>
      </c>
      <c r="D2790" s="224" t="s">
        <v>55</v>
      </c>
      <c r="E2790" s="224" t="s">
        <v>256</v>
      </c>
      <c r="F2790" s="224" t="s">
        <v>248</v>
      </c>
      <c r="G2790" s="223" t="str">
        <f>VLOOKUP($B2790,'FRS geographical categories'!$A$2:$C$45,2,FALSE)</f>
        <v>Predominantly Urban</v>
      </c>
      <c r="H2790" s="223" t="str">
        <f>VLOOKUP($B2790,'FRS geographical categories'!$A$2:$C$45,3,FALSE)</f>
        <v>Metropolitan</v>
      </c>
      <c r="I2790" s="224">
        <v>0</v>
      </c>
    </row>
    <row r="2791" spans="1:9" ht="15.5" x14ac:dyDescent="0.35">
      <c r="A2791" s="224" t="s">
        <v>81</v>
      </c>
      <c r="B2791" s="224" t="s">
        <v>36</v>
      </c>
      <c r="C2791" s="224" t="s">
        <v>89</v>
      </c>
      <c r="D2791" s="224" t="s">
        <v>55</v>
      </c>
      <c r="E2791" s="224" t="s">
        <v>256</v>
      </c>
      <c r="F2791" s="224" t="s">
        <v>249</v>
      </c>
      <c r="G2791" s="223" t="str">
        <f>VLOOKUP($B2791,'FRS geographical categories'!$A$2:$C$45,2,FALSE)</f>
        <v>Predominantly Urban</v>
      </c>
      <c r="H2791" s="223" t="str">
        <f>VLOOKUP($B2791,'FRS geographical categories'!$A$2:$C$45,3,FALSE)</f>
        <v>Metropolitan</v>
      </c>
      <c r="I2791" s="224">
        <v>0</v>
      </c>
    </row>
    <row r="2792" spans="1:9" ht="15.5" x14ac:dyDescent="0.35">
      <c r="A2792" s="224" t="s">
        <v>81</v>
      </c>
      <c r="B2792" s="224" t="s">
        <v>36</v>
      </c>
      <c r="C2792" s="224" t="s">
        <v>89</v>
      </c>
      <c r="D2792" s="224" t="s">
        <v>55</v>
      </c>
      <c r="E2792" s="224" t="s">
        <v>256</v>
      </c>
      <c r="F2792" s="224" t="s">
        <v>250</v>
      </c>
      <c r="G2792" s="223" t="str">
        <f>VLOOKUP($B2792,'FRS geographical categories'!$A$2:$C$45,2,FALSE)</f>
        <v>Predominantly Urban</v>
      </c>
      <c r="H2792" s="223" t="str">
        <f>VLOOKUP($B2792,'FRS geographical categories'!$A$2:$C$45,3,FALSE)</f>
        <v>Metropolitan</v>
      </c>
      <c r="I2792" s="224">
        <v>0</v>
      </c>
    </row>
    <row r="2793" spans="1:9" ht="15.5" x14ac:dyDescent="0.35">
      <c r="A2793" s="224" t="s">
        <v>81</v>
      </c>
      <c r="B2793" s="224" t="s">
        <v>36</v>
      </c>
      <c r="C2793" s="224" t="s">
        <v>89</v>
      </c>
      <c r="D2793" s="224" t="s">
        <v>55</v>
      </c>
      <c r="E2793" s="224" t="s">
        <v>256</v>
      </c>
      <c r="F2793" s="224" t="s">
        <v>10</v>
      </c>
      <c r="G2793" s="223" t="str">
        <f>VLOOKUP($B2793,'FRS geographical categories'!$A$2:$C$45,2,FALSE)</f>
        <v>Predominantly Urban</v>
      </c>
      <c r="H2793" s="223" t="str">
        <f>VLOOKUP($B2793,'FRS geographical categories'!$A$2:$C$45,3,FALSE)</f>
        <v>Metropolitan</v>
      </c>
      <c r="I2793" s="224">
        <v>0</v>
      </c>
    </row>
    <row r="2794" spans="1:9" ht="15.5" x14ac:dyDescent="0.35">
      <c r="A2794" s="224" t="s">
        <v>81</v>
      </c>
      <c r="B2794" s="224" t="s">
        <v>37</v>
      </c>
      <c r="C2794" s="224" t="s">
        <v>86</v>
      </c>
      <c r="D2794" s="224" t="s">
        <v>9</v>
      </c>
      <c r="E2794" s="224" t="s">
        <v>256</v>
      </c>
      <c r="F2794" s="224" t="s">
        <v>248</v>
      </c>
      <c r="G2794" s="223" t="str">
        <f>VLOOKUP($B2794,'FRS geographical categories'!$A$2:$C$45,2,FALSE)</f>
        <v>Predominantly Rural</v>
      </c>
      <c r="H2794" s="223" t="str">
        <f>VLOOKUP($B2794,'FRS geographical categories'!$A$2:$C$45,3,FALSE)</f>
        <v>Non-metropolitan</v>
      </c>
      <c r="I2794" s="224">
        <v>204</v>
      </c>
    </row>
    <row r="2795" spans="1:9" ht="15.5" x14ac:dyDescent="0.35">
      <c r="A2795" s="224" t="s">
        <v>81</v>
      </c>
      <c r="B2795" s="224" t="s">
        <v>37</v>
      </c>
      <c r="C2795" s="224" t="s">
        <v>86</v>
      </c>
      <c r="D2795" s="224" t="s">
        <v>9</v>
      </c>
      <c r="E2795" s="224" t="s">
        <v>256</v>
      </c>
      <c r="F2795" s="224" t="s">
        <v>249</v>
      </c>
      <c r="G2795" s="223" t="str">
        <f>VLOOKUP($B2795,'FRS geographical categories'!$A$2:$C$45,2,FALSE)</f>
        <v>Predominantly Rural</v>
      </c>
      <c r="H2795" s="223" t="str">
        <f>VLOOKUP($B2795,'FRS geographical categories'!$A$2:$C$45,3,FALSE)</f>
        <v>Non-metropolitan</v>
      </c>
      <c r="I2795" s="224">
        <v>1042</v>
      </c>
    </row>
    <row r="2796" spans="1:9" ht="15.5" x14ac:dyDescent="0.35">
      <c r="A2796" s="224" t="s">
        <v>81</v>
      </c>
      <c r="B2796" s="224" t="s">
        <v>37</v>
      </c>
      <c r="C2796" s="224" t="s">
        <v>86</v>
      </c>
      <c r="D2796" s="224" t="s">
        <v>9</v>
      </c>
      <c r="E2796" s="224" t="s">
        <v>256</v>
      </c>
      <c r="F2796" s="224" t="s">
        <v>250</v>
      </c>
      <c r="G2796" s="223" t="str">
        <f>VLOOKUP($B2796,'FRS geographical categories'!$A$2:$C$45,2,FALSE)</f>
        <v>Predominantly Rural</v>
      </c>
      <c r="H2796" s="223" t="str">
        <f>VLOOKUP($B2796,'FRS geographical categories'!$A$2:$C$45,3,FALSE)</f>
        <v>Non-metropolitan</v>
      </c>
      <c r="I2796" s="224">
        <v>456</v>
      </c>
    </row>
    <row r="2797" spans="1:9" ht="15.5" x14ac:dyDescent="0.35">
      <c r="A2797" s="224" t="s">
        <v>81</v>
      </c>
      <c r="B2797" s="224" t="s">
        <v>37</v>
      </c>
      <c r="C2797" s="224" t="s">
        <v>86</v>
      </c>
      <c r="D2797" s="224" t="s">
        <v>9</v>
      </c>
      <c r="E2797" s="224" t="s">
        <v>256</v>
      </c>
      <c r="F2797" s="224" t="s">
        <v>111</v>
      </c>
      <c r="G2797" s="223" t="str">
        <f>VLOOKUP($B2797,'FRS geographical categories'!$A$2:$C$45,2,FALSE)</f>
        <v>Predominantly Rural</v>
      </c>
      <c r="H2797" s="223" t="str">
        <f>VLOOKUP($B2797,'FRS geographical categories'!$A$2:$C$45,3,FALSE)</f>
        <v>Non-metropolitan</v>
      </c>
      <c r="I2797" s="224">
        <v>1862</v>
      </c>
    </row>
    <row r="2798" spans="1:9" ht="15.5" x14ac:dyDescent="0.35">
      <c r="A2798" s="224" t="s">
        <v>81</v>
      </c>
      <c r="B2798" s="224" t="s">
        <v>37</v>
      </c>
      <c r="C2798" s="224" t="s">
        <v>86</v>
      </c>
      <c r="D2798" s="224" t="s">
        <v>9</v>
      </c>
      <c r="E2798" s="224" t="s">
        <v>256</v>
      </c>
      <c r="F2798" s="224" t="s">
        <v>10</v>
      </c>
      <c r="G2798" s="223" t="str">
        <f>VLOOKUP($B2798,'FRS geographical categories'!$A$2:$C$45,2,FALSE)</f>
        <v>Predominantly Rural</v>
      </c>
      <c r="H2798" s="223" t="str">
        <f>VLOOKUP($B2798,'FRS geographical categories'!$A$2:$C$45,3,FALSE)</f>
        <v>Non-metropolitan</v>
      </c>
      <c r="I2798" s="224">
        <v>2188</v>
      </c>
    </row>
    <row r="2799" spans="1:9" ht="15.5" x14ac:dyDescent="0.35">
      <c r="A2799" s="224" t="s">
        <v>81</v>
      </c>
      <c r="B2799" s="224" t="s">
        <v>37</v>
      </c>
      <c r="C2799" s="224" t="s">
        <v>86</v>
      </c>
      <c r="D2799" s="224" t="s">
        <v>55</v>
      </c>
      <c r="E2799" s="224" t="s">
        <v>256</v>
      </c>
      <c r="F2799" s="224" t="s">
        <v>248</v>
      </c>
      <c r="G2799" s="223" t="str">
        <f>VLOOKUP($B2799,'FRS geographical categories'!$A$2:$C$45,2,FALSE)</f>
        <v>Predominantly Rural</v>
      </c>
      <c r="H2799" s="223" t="str">
        <f>VLOOKUP($B2799,'FRS geographical categories'!$A$2:$C$45,3,FALSE)</f>
        <v>Non-metropolitan</v>
      </c>
      <c r="I2799" s="224">
        <v>4</v>
      </c>
    </row>
    <row r="2800" spans="1:9" ht="15.5" x14ac:dyDescent="0.35">
      <c r="A2800" s="224" t="s">
        <v>81</v>
      </c>
      <c r="B2800" s="224" t="s">
        <v>37</v>
      </c>
      <c r="C2800" s="224" t="s">
        <v>86</v>
      </c>
      <c r="D2800" s="224" t="s">
        <v>55</v>
      </c>
      <c r="E2800" s="224" t="s">
        <v>256</v>
      </c>
      <c r="F2800" s="224" t="s">
        <v>249</v>
      </c>
      <c r="G2800" s="223" t="str">
        <f>VLOOKUP($B2800,'FRS geographical categories'!$A$2:$C$45,2,FALSE)</f>
        <v>Predominantly Rural</v>
      </c>
      <c r="H2800" s="223" t="str">
        <f>VLOOKUP($B2800,'FRS geographical categories'!$A$2:$C$45,3,FALSE)</f>
        <v>Non-metropolitan</v>
      </c>
      <c r="I2800" s="224">
        <v>5</v>
      </c>
    </row>
    <row r="2801" spans="1:9" ht="15.5" x14ac:dyDescent="0.35">
      <c r="A2801" s="224" t="s">
        <v>81</v>
      </c>
      <c r="B2801" s="224" t="s">
        <v>37</v>
      </c>
      <c r="C2801" s="224" t="s">
        <v>86</v>
      </c>
      <c r="D2801" s="224" t="s">
        <v>55</v>
      </c>
      <c r="E2801" s="224" t="s">
        <v>256</v>
      </c>
      <c r="F2801" s="224" t="s">
        <v>250</v>
      </c>
      <c r="G2801" s="223" t="str">
        <f>VLOOKUP($B2801,'FRS geographical categories'!$A$2:$C$45,2,FALSE)</f>
        <v>Predominantly Rural</v>
      </c>
      <c r="H2801" s="223" t="str">
        <f>VLOOKUP($B2801,'FRS geographical categories'!$A$2:$C$45,3,FALSE)</f>
        <v>Non-metropolitan</v>
      </c>
      <c r="I2801" s="224">
        <v>9</v>
      </c>
    </row>
    <row r="2802" spans="1:9" ht="15.5" x14ac:dyDescent="0.35">
      <c r="A2802" s="224" t="s">
        <v>81</v>
      </c>
      <c r="B2802" s="224" t="s">
        <v>37</v>
      </c>
      <c r="C2802" s="224" t="s">
        <v>86</v>
      </c>
      <c r="D2802" s="224" t="s">
        <v>55</v>
      </c>
      <c r="E2802" s="224" t="s">
        <v>256</v>
      </c>
      <c r="F2802" s="224" t="s">
        <v>111</v>
      </c>
      <c r="G2802" s="223" t="str">
        <f>VLOOKUP($B2802,'FRS geographical categories'!$A$2:$C$45,2,FALSE)</f>
        <v>Predominantly Rural</v>
      </c>
      <c r="H2802" s="223" t="str">
        <f>VLOOKUP($B2802,'FRS geographical categories'!$A$2:$C$45,3,FALSE)</f>
        <v>Non-metropolitan</v>
      </c>
      <c r="I2802" s="224">
        <v>28</v>
      </c>
    </row>
    <row r="2803" spans="1:9" ht="15.5" x14ac:dyDescent="0.35">
      <c r="A2803" s="224" t="s">
        <v>81</v>
      </c>
      <c r="B2803" s="224" t="s">
        <v>37</v>
      </c>
      <c r="C2803" s="224" t="s">
        <v>86</v>
      </c>
      <c r="D2803" s="224" t="s">
        <v>55</v>
      </c>
      <c r="E2803" s="224" t="s">
        <v>256</v>
      </c>
      <c r="F2803" s="224" t="s">
        <v>10</v>
      </c>
      <c r="G2803" s="223" t="str">
        <f>VLOOKUP($B2803,'FRS geographical categories'!$A$2:$C$45,2,FALSE)</f>
        <v>Predominantly Rural</v>
      </c>
      <c r="H2803" s="223" t="str">
        <f>VLOOKUP($B2803,'FRS geographical categories'!$A$2:$C$45,3,FALSE)</f>
        <v>Non-metropolitan</v>
      </c>
      <c r="I2803" s="224">
        <v>45</v>
      </c>
    </row>
    <row r="2804" spans="1:9" ht="15.5" x14ac:dyDescent="0.35">
      <c r="A2804" s="224" t="s">
        <v>81</v>
      </c>
      <c r="B2804" s="224" t="s">
        <v>37</v>
      </c>
      <c r="C2804" s="224" t="s">
        <v>89</v>
      </c>
      <c r="D2804" s="224" t="s">
        <v>9</v>
      </c>
      <c r="E2804" s="224" t="s">
        <v>256</v>
      </c>
      <c r="F2804" s="224" t="s">
        <v>248</v>
      </c>
      <c r="G2804" s="223" t="str">
        <f>VLOOKUP($B2804,'FRS geographical categories'!$A$2:$C$45,2,FALSE)</f>
        <v>Predominantly Rural</v>
      </c>
      <c r="H2804" s="223" t="str">
        <f>VLOOKUP($B2804,'FRS geographical categories'!$A$2:$C$45,3,FALSE)</f>
        <v>Non-metropolitan</v>
      </c>
      <c r="I2804" s="224">
        <v>0</v>
      </c>
    </row>
    <row r="2805" spans="1:9" ht="15.5" x14ac:dyDescent="0.35">
      <c r="A2805" s="224" t="s">
        <v>81</v>
      </c>
      <c r="B2805" s="224" t="s">
        <v>37</v>
      </c>
      <c r="C2805" s="224" t="s">
        <v>89</v>
      </c>
      <c r="D2805" s="224" t="s">
        <v>9</v>
      </c>
      <c r="E2805" s="224" t="s">
        <v>256</v>
      </c>
      <c r="F2805" s="224" t="s">
        <v>249</v>
      </c>
      <c r="G2805" s="223" t="str">
        <f>VLOOKUP($B2805,'FRS geographical categories'!$A$2:$C$45,2,FALSE)</f>
        <v>Predominantly Rural</v>
      </c>
      <c r="H2805" s="223" t="str">
        <f>VLOOKUP($B2805,'FRS geographical categories'!$A$2:$C$45,3,FALSE)</f>
        <v>Non-metropolitan</v>
      </c>
      <c r="I2805" s="224">
        <v>0</v>
      </c>
    </row>
    <row r="2806" spans="1:9" ht="15.5" x14ac:dyDescent="0.35">
      <c r="A2806" s="224" t="s">
        <v>81</v>
      </c>
      <c r="B2806" s="224" t="s">
        <v>37</v>
      </c>
      <c r="C2806" s="224" t="s">
        <v>89</v>
      </c>
      <c r="D2806" s="224" t="s">
        <v>9</v>
      </c>
      <c r="E2806" s="224" t="s">
        <v>256</v>
      </c>
      <c r="F2806" s="224" t="s">
        <v>250</v>
      </c>
      <c r="G2806" s="223" t="str">
        <f>VLOOKUP($B2806,'FRS geographical categories'!$A$2:$C$45,2,FALSE)</f>
        <v>Predominantly Rural</v>
      </c>
      <c r="H2806" s="223" t="str">
        <f>VLOOKUP($B2806,'FRS geographical categories'!$A$2:$C$45,3,FALSE)</f>
        <v>Non-metropolitan</v>
      </c>
      <c r="I2806" s="224">
        <v>0</v>
      </c>
    </row>
    <row r="2807" spans="1:9" ht="15.5" x14ac:dyDescent="0.35">
      <c r="A2807" s="224" t="s">
        <v>81</v>
      </c>
      <c r="B2807" s="224" t="s">
        <v>37</v>
      </c>
      <c r="C2807" s="224" t="s">
        <v>89</v>
      </c>
      <c r="D2807" s="224" t="s">
        <v>9</v>
      </c>
      <c r="E2807" s="224" t="s">
        <v>256</v>
      </c>
      <c r="F2807" s="224" t="s">
        <v>10</v>
      </c>
      <c r="G2807" s="223" t="str">
        <f>VLOOKUP($B2807,'FRS geographical categories'!$A$2:$C$45,2,FALSE)</f>
        <v>Predominantly Rural</v>
      </c>
      <c r="H2807" s="223" t="str">
        <f>VLOOKUP($B2807,'FRS geographical categories'!$A$2:$C$45,3,FALSE)</f>
        <v>Non-metropolitan</v>
      </c>
      <c r="I2807" s="224">
        <v>0</v>
      </c>
    </row>
    <row r="2808" spans="1:9" ht="15.5" x14ac:dyDescent="0.35">
      <c r="A2808" s="224" t="s">
        <v>81</v>
      </c>
      <c r="B2808" s="224" t="s">
        <v>37</v>
      </c>
      <c r="C2808" s="224" t="s">
        <v>89</v>
      </c>
      <c r="D2808" s="224" t="s">
        <v>55</v>
      </c>
      <c r="E2808" s="224" t="s">
        <v>256</v>
      </c>
      <c r="F2808" s="224" t="s">
        <v>248</v>
      </c>
      <c r="G2808" s="223" t="str">
        <f>VLOOKUP($B2808,'FRS geographical categories'!$A$2:$C$45,2,FALSE)</f>
        <v>Predominantly Rural</v>
      </c>
      <c r="H2808" s="223" t="str">
        <f>VLOOKUP($B2808,'FRS geographical categories'!$A$2:$C$45,3,FALSE)</f>
        <v>Non-metropolitan</v>
      </c>
      <c r="I2808" s="224">
        <v>0</v>
      </c>
    </row>
    <row r="2809" spans="1:9" ht="15.5" x14ac:dyDescent="0.35">
      <c r="A2809" s="224" t="s">
        <v>81</v>
      </c>
      <c r="B2809" s="224" t="s">
        <v>37</v>
      </c>
      <c r="C2809" s="224" t="s">
        <v>89</v>
      </c>
      <c r="D2809" s="224" t="s">
        <v>55</v>
      </c>
      <c r="E2809" s="224" t="s">
        <v>256</v>
      </c>
      <c r="F2809" s="224" t="s">
        <v>249</v>
      </c>
      <c r="G2809" s="223" t="str">
        <f>VLOOKUP($B2809,'FRS geographical categories'!$A$2:$C$45,2,FALSE)</f>
        <v>Predominantly Rural</v>
      </c>
      <c r="H2809" s="223" t="str">
        <f>VLOOKUP($B2809,'FRS geographical categories'!$A$2:$C$45,3,FALSE)</f>
        <v>Non-metropolitan</v>
      </c>
      <c r="I2809" s="224">
        <v>0</v>
      </c>
    </row>
    <row r="2810" spans="1:9" ht="15.5" x14ac:dyDescent="0.35">
      <c r="A2810" s="224" t="s">
        <v>81</v>
      </c>
      <c r="B2810" s="224" t="s">
        <v>37</v>
      </c>
      <c r="C2810" s="224" t="s">
        <v>89</v>
      </c>
      <c r="D2810" s="224" t="s">
        <v>55</v>
      </c>
      <c r="E2810" s="224" t="s">
        <v>256</v>
      </c>
      <c r="F2810" s="224" t="s">
        <v>250</v>
      </c>
      <c r="G2810" s="223" t="str">
        <f>VLOOKUP($B2810,'FRS geographical categories'!$A$2:$C$45,2,FALSE)</f>
        <v>Predominantly Rural</v>
      </c>
      <c r="H2810" s="223" t="str">
        <f>VLOOKUP($B2810,'FRS geographical categories'!$A$2:$C$45,3,FALSE)</f>
        <v>Non-metropolitan</v>
      </c>
      <c r="I2810" s="224">
        <v>0</v>
      </c>
    </row>
    <row r="2811" spans="1:9" ht="15.5" x14ac:dyDescent="0.35">
      <c r="A2811" s="224" t="s">
        <v>81</v>
      </c>
      <c r="B2811" s="224" t="s">
        <v>37</v>
      </c>
      <c r="C2811" s="224" t="s">
        <v>89</v>
      </c>
      <c r="D2811" s="224" t="s">
        <v>55</v>
      </c>
      <c r="E2811" s="224" t="s">
        <v>256</v>
      </c>
      <c r="F2811" s="224" t="s">
        <v>10</v>
      </c>
      <c r="G2811" s="223" t="str">
        <f>VLOOKUP($B2811,'FRS geographical categories'!$A$2:$C$45,2,FALSE)</f>
        <v>Predominantly Rural</v>
      </c>
      <c r="H2811" s="223" t="str">
        <f>VLOOKUP($B2811,'FRS geographical categories'!$A$2:$C$45,3,FALSE)</f>
        <v>Non-metropolitan</v>
      </c>
      <c r="I2811" s="224">
        <v>0</v>
      </c>
    </row>
    <row r="2812" spans="1:9" ht="15.5" x14ac:dyDescent="0.35">
      <c r="A2812" s="224" t="s">
        <v>81</v>
      </c>
      <c r="B2812" s="224" t="s">
        <v>38</v>
      </c>
      <c r="C2812" s="224" t="s">
        <v>86</v>
      </c>
      <c r="D2812" s="224" t="s">
        <v>9</v>
      </c>
      <c r="E2812" s="224" t="s">
        <v>256</v>
      </c>
      <c r="F2812" s="224" t="s">
        <v>248</v>
      </c>
      <c r="G2812" s="223" t="str">
        <f>VLOOKUP($B2812,'FRS geographical categories'!$A$2:$C$45,2,FALSE)</f>
        <v>Predominantly Rural</v>
      </c>
      <c r="H2812" s="223" t="str">
        <f>VLOOKUP($B2812,'FRS geographical categories'!$A$2:$C$45,3,FALSE)</f>
        <v>Non-metropolitan</v>
      </c>
      <c r="I2812" s="224">
        <v>0</v>
      </c>
    </row>
    <row r="2813" spans="1:9" ht="15.5" x14ac:dyDescent="0.35">
      <c r="A2813" s="224" t="s">
        <v>81</v>
      </c>
      <c r="B2813" s="224" t="s">
        <v>38</v>
      </c>
      <c r="C2813" s="224" t="s">
        <v>86</v>
      </c>
      <c r="D2813" s="224" t="s">
        <v>9</v>
      </c>
      <c r="E2813" s="224" t="s">
        <v>256</v>
      </c>
      <c r="F2813" s="224" t="s">
        <v>249</v>
      </c>
      <c r="G2813" s="223" t="str">
        <f>VLOOKUP($B2813,'FRS geographical categories'!$A$2:$C$45,2,FALSE)</f>
        <v>Predominantly Rural</v>
      </c>
      <c r="H2813" s="223" t="str">
        <f>VLOOKUP($B2813,'FRS geographical categories'!$A$2:$C$45,3,FALSE)</f>
        <v>Non-metropolitan</v>
      </c>
      <c r="I2813" s="224">
        <v>0</v>
      </c>
    </row>
    <row r="2814" spans="1:9" ht="15.5" x14ac:dyDescent="0.35">
      <c r="A2814" s="224" t="s">
        <v>81</v>
      </c>
      <c r="B2814" s="224" t="s">
        <v>38</v>
      </c>
      <c r="C2814" s="224" t="s">
        <v>86</v>
      </c>
      <c r="D2814" s="224" t="s">
        <v>9</v>
      </c>
      <c r="E2814" s="224" t="s">
        <v>256</v>
      </c>
      <c r="F2814" s="224" t="s">
        <v>250</v>
      </c>
      <c r="G2814" s="223" t="str">
        <f>VLOOKUP($B2814,'FRS geographical categories'!$A$2:$C$45,2,FALSE)</f>
        <v>Predominantly Rural</v>
      </c>
      <c r="H2814" s="223" t="str">
        <f>VLOOKUP($B2814,'FRS geographical categories'!$A$2:$C$45,3,FALSE)</f>
        <v>Non-metropolitan</v>
      </c>
      <c r="I2814" s="224">
        <v>0</v>
      </c>
    </row>
    <row r="2815" spans="1:9" ht="15.5" x14ac:dyDescent="0.35">
      <c r="A2815" s="224" t="s">
        <v>81</v>
      </c>
      <c r="B2815" s="224" t="s">
        <v>38</v>
      </c>
      <c r="C2815" s="224" t="s">
        <v>86</v>
      </c>
      <c r="D2815" s="224" t="s">
        <v>9</v>
      </c>
      <c r="E2815" s="224" t="s">
        <v>256</v>
      </c>
      <c r="F2815" s="224" t="s">
        <v>111</v>
      </c>
      <c r="G2815" s="223" t="str">
        <f>VLOOKUP($B2815,'FRS geographical categories'!$A$2:$C$45,2,FALSE)</f>
        <v>Predominantly Rural</v>
      </c>
      <c r="H2815" s="223" t="str">
        <f>VLOOKUP($B2815,'FRS geographical categories'!$A$2:$C$45,3,FALSE)</f>
        <v>Non-metropolitan</v>
      </c>
      <c r="I2815" s="224">
        <v>0</v>
      </c>
    </row>
    <row r="2816" spans="1:9" ht="15.5" x14ac:dyDescent="0.35">
      <c r="A2816" s="224" t="s">
        <v>81</v>
      </c>
      <c r="B2816" s="224" t="s">
        <v>38</v>
      </c>
      <c r="C2816" s="224" t="s">
        <v>86</v>
      </c>
      <c r="D2816" s="224" t="s">
        <v>9</v>
      </c>
      <c r="E2816" s="224" t="s">
        <v>256</v>
      </c>
      <c r="F2816" s="224" t="s">
        <v>10</v>
      </c>
      <c r="G2816" s="223" t="str">
        <f>VLOOKUP($B2816,'FRS geographical categories'!$A$2:$C$45,2,FALSE)</f>
        <v>Predominantly Rural</v>
      </c>
      <c r="H2816" s="223" t="str">
        <f>VLOOKUP($B2816,'FRS geographical categories'!$A$2:$C$45,3,FALSE)</f>
        <v>Non-metropolitan</v>
      </c>
      <c r="I2816" s="224">
        <v>3546</v>
      </c>
    </row>
    <row r="2817" spans="1:9" ht="15.5" x14ac:dyDescent="0.35">
      <c r="A2817" s="224" t="s">
        <v>81</v>
      </c>
      <c r="B2817" s="224" t="s">
        <v>38</v>
      </c>
      <c r="C2817" s="224" t="s">
        <v>86</v>
      </c>
      <c r="D2817" s="224" t="s">
        <v>55</v>
      </c>
      <c r="E2817" s="224" t="s">
        <v>256</v>
      </c>
      <c r="F2817" s="224" t="s">
        <v>248</v>
      </c>
      <c r="G2817" s="223" t="str">
        <f>VLOOKUP($B2817,'FRS geographical categories'!$A$2:$C$45,2,FALSE)</f>
        <v>Predominantly Rural</v>
      </c>
      <c r="H2817" s="223" t="str">
        <f>VLOOKUP($B2817,'FRS geographical categories'!$A$2:$C$45,3,FALSE)</f>
        <v>Non-metropolitan</v>
      </c>
      <c r="I2817" s="224">
        <v>0</v>
      </c>
    </row>
    <row r="2818" spans="1:9" ht="15.5" x14ac:dyDescent="0.35">
      <c r="A2818" s="224" t="s">
        <v>81</v>
      </c>
      <c r="B2818" s="224" t="s">
        <v>38</v>
      </c>
      <c r="C2818" s="224" t="s">
        <v>86</v>
      </c>
      <c r="D2818" s="224" t="s">
        <v>55</v>
      </c>
      <c r="E2818" s="224" t="s">
        <v>256</v>
      </c>
      <c r="F2818" s="224" t="s">
        <v>249</v>
      </c>
      <c r="G2818" s="223" t="str">
        <f>VLOOKUP($B2818,'FRS geographical categories'!$A$2:$C$45,2,FALSE)</f>
        <v>Predominantly Rural</v>
      </c>
      <c r="H2818" s="223" t="str">
        <f>VLOOKUP($B2818,'FRS geographical categories'!$A$2:$C$45,3,FALSE)</f>
        <v>Non-metropolitan</v>
      </c>
      <c r="I2818" s="224">
        <v>0</v>
      </c>
    </row>
    <row r="2819" spans="1:9" ht="15.5" x14ac:dyDescent="0.35">
      <c r="A2819" s="224" t="s">
        <v>81</v>
      </c>
      <c r="B2819" s="224" t="s">
        <v>38</v>
      </c>
      <c r="C2819" s="224" t="s">
        <v>86</v>
      </c>
      <c r="D2819" s="224" t="s">
        <v>55</v>
      </c>
      <c r="E2819" s="224" t="s">
        <v>256</v>
      </c>
      <c r="F2819" s="224" t="s">
        <v>250</v>
      </c>
      <c r="G2819" s="223" t="str">
        <f>VLOOKUP($B2819,'FRS geographical categories'!$A$2:$C$45,2,FALSE)</f>
        <v>Predominantly Rural</v>
      </c>
      <c r="H2819" s="223" t="str">
        <f>VLOOKUP($B2819,'FRS geographical categories'!$A$2:$C$45,3,FALSE)</f>
        <v>Non-metropolitan</v>
      </c>
      <c r="I2819" s="224">
        <v>0</v>
      </c>
    </row>
    <row r="2820" spans="1:9" ht="15.5" x14ac:dyDescent="0.35">
      <c r="A2820" s="224" t="s">
        <v>81</v>
      </c>
      <c r="B2820" s="224" t="s">
        <v>38</v>
      </c>
      <c r="C2820" s="224" t="s">
        <v>86</v>
      </c>
      <c r="D2820" s="224" t="s">
        <v>55</v>
      </c>
      <c r="E2820" s="224" t="s">
        <v>256</v>
      </c>
      <c r="F2820" s="224" t="s">
        <v>111</v>
      </c>
      <c r="G2820" s="223" t="str">
        <f>VLOOKUP($B2820,'FRS geographical categories'!$A$2:$C$45,2,FALSE)</f>
        <v>Predominantly Rural</v>
      </c>
      <c r="H2820" s="223" t="str">
        <f>VLOOKUP($B2820,'FRS geographical categories'!$A$2:$C$45,3,FALSE)</f>
        <v>Non-metropolitan</v>
      </c>
      <c r="I2820" s="224">
        <v>0</v>
      </c>
    </row>
    <row r="2821" spans="1:9" ht="15.5" x14ac:dyDescent="0.35">
      <c r="A2821" s="224" t="s">
        <v>81</v>
      </c>
      <c r="B2821" s="224" t="s">
        <v>38</v>
      </c>
      <c r="C2821" s="224" t="s">
        <v>86</v>
      </c>
      <c r="D2821" s="224" t="s">
        <v>55</v>
      </c>
      <c r="E2821" s="224" t="s">
        <v>256</v>
      </c>
      <c r="F2821" s="224" t="s">
        <v>10</v>
      </c>
      <c r="G2821" s="223" t="str">
        <f>VLOOKUP($B2821,'FRS geographical categories'!$A$2:$C$45,2,FALSE)</f>
        <v>Predominantly Rural</v>
      </c>
      <c r="H2821" s="223" t="str">
        <f>VLOOKUP($B2821,'FRS geographical categories'!$A$2:$C$45,3,FALSE)</f>
        <v>Non-metropolitan</v>
      </c>
      <c r="I2821" s="224">
        <v>0</v>
      </c>
    </row>
    <row r="2822" spans="1:9" ht="15.5" x14ac:dyDescent="0.35">
      <c r="A2822" s="224" t="s">
        <v>81</v>
      </c>
      <c r="B2822" s="224" t="s">
        <v>38</v>
      </c>
      <c r="C2822" s="224" t="s">
        <v>89</v>
      </c>
      <c r="D2822" s="224" t="s">
        <v>9</v>
      </c>
      <c r="E2822" s="224" t="s">
        <v>256</v>
      </c>
      <c r="F2822" s="224" t="s">
        <v>248</v>
      </c>
      <c r="G2822" s="223" t="str">
        <f>VLOOKUP($B2822,'FRS geographical categories'!$A$2:$C$45,2,FALSE)</f>
        <v>Predominantly Rural</v>
      </c>
      <c r="H2822" s="223" t="str">
        <f>VLOOKUP($B2822,'FRS geographical categories'!$A$2:$C$45,3,FALSE)</f>
        <v>Non-metropolitan</v>
      </c>
      <c r="I2822" s="224">
        <v>0</v>
      </c>
    </row>
    <row r="2823" spans="1:9" ht="15.5" x14ac:dyDescent="0.35">
      <c r="A2823" s="224" t="s">
        <v>81</v>
      </c>
      <c r="B2823" s="224" t="s">
        <v>38</v>
      </c>
      <c r="C2823" s="224" t="s">
        <v>89</v>
      </c>
      <c r="D2823" s="224" t="s">
        <v>9</v>
      </c>
      <c r="E2823" s="224" t="s">
        <v>256</v>
      </c>
      <c r="F2823" s="224" t="s">
        <v>249</v>
      </c>
      <c r="G2823" s="223" t="str">
        <f>VLOOKUP($B2823,'FRS geographical categories'!$A$2:$C$45,2,FALSE)</f>
        <v>Predominantly Rural</v>
      </c>
      <c r="H2823" s="223" t="str">
        <f>VLOOKUP($B2823,'FRS geographical categories'!$A$2:$C$45,3,FALSE)</f>
        <v>Non-metropolitan</v>
      </c>
      <c r="I2823" s="224">
        <v>0</v>
      </c>
    </row>
    <row r="2824" spans="1:9" ht="15.5" x14ac:dyDescent="0.35">
      <c r="A2824" s="224" t="s">
        <v>81</v>
      </c>
      <c r="B2824" s="224" t="s">
        <v>38</v>
      </c>
      <c r="C2824" s="224" t="s">
        <v>89</v>
      </c>
      <c r="D2824" s="224" t="s">
        <v>9</v>
      </c>
      <c r="E2824" s="224" t="s">
        <v>256</v>
      </c>
      <c r="F2824" s="224" t="s">
        <v>250</v>
      </c>
      <c r="G2824" s="223" t="str">
        <f>VLOOKUP($B2824,'FRS geographical categories'!$A$2:$C$45,2,FALSE)</f>
        <v>Predominantly Rural</v>
      </c>
      <c r="H2824" s="223" t="str">
        <f>VLOOKUP($B2824,'FRS geographical categories'!$A$2:$C$45,3,FALSE)</f>
        <v>Non-metropolitan</v>
      </c>
      <c r="I2824" s="224">
        <v>0</v>
      </c>
    </row>
    <row r="2825" spans="1:9" ht="15.5" x14ac:dyDescent="0.35">
      <c r="A2825" s="224" t="s">
        <v>81</v>
      </c>
      <c r="B2825" s="224" t="s">
        <v>38</v>
      </c>
      <c r="C2825" s="224" t="s">
        <v>89</v>
      </c>
      <c r="D2825" s="224" t="s">
        <v>9</v>
      </c>
      <c r="E2825" s="224" t="s">
        <v>256</v>
      </c>
      <c r="F2825" s="224" t="s">
        <v>10</v>
      </c>
      <c r="G2825" s="223" t="str">
        <f>VLOOKUP($B2825,'FRS geographical categories'!$A$2:$C$45,2,FALSE)</f>
        <v>Predominantly Rural</v>
      </c>
      <c r="H2825" s="223" t="str">
        <f>VLOOKUP($B2825,'FRS geographical categories'!$A$2:$C$45,3,FALSE)</f>
        <v>Non-metropolitan</v>
      </c>
      <c r="I2825" s="224">
        <v>0</v>
      </c>
    </row>
    <row r="2826" spans="1:9" ht="15.5" x14ac:dyDescent="0.35">
      <c r="A2826" s="224" t="s">
        <v>81</v>
      </c>
      <c r="B2826" s="224" t="s">
        <v>38</v>
      </c>
      <c r="C2826" s="224" t="s">
        <v>89</v>
      </c>
      <c r="D2826" s="224" t="s">
        <v>55</v>
      </c>
      <c r="E2826" s="224" t="s">
        <v>256</v>
      </c>
      <c r="F2826" s="224" t="s">
        <v>248</v>
      </c>
      <c r="G2826" s="223" t="str">
        <f>VLOOKUP($B2826,'FRS geographical categories'!$A$2:$C$45,2,FALSE)</f>
        <v>Predominantly Rural</v>
      </c>
      <c r="H2826" s="223" t="str">
        <f>VLOOKUP($B2826,'FRS geographical categories'!$A$2:$C$45,3,FALSE)</f>
        <v>Non-metropolitan</v>
      </c>
      <c r="I2826" s="224">
        <v>0</v>
      </c>
    </row>
    <row r="2827" spans="1:9" ht="15.5" x14ac:dyDescent="0.35">
      <c r="A2827" s="224" t="s">
        <v>81</v>
      </c>
      <c r="B2827" s="224" t="s">
        <v>38</v>
      </c>
      <c r="C2827" s="224" t="s">
        <v>89</v>
      </c>
      <c r="D2827" s="224" t="s">
        <v>55</v>
      </c>
      <c r="E2827" s="224" t="s">
        <v>256</v>
      </c>
      <c r="F2827" s="224" t="s">
        <v>249</v>
      </c>
      <c r="G2827" s="223" t="str">
        <f>VLOOKUP($B2827,'FRS geographical categories'!$A$2:$C$45,2,FALSE)</f>
        <v>Predominantly Rural</v>
      </c>
      <c r="H2827" s="223" t="str">
        <f>VLOOKUP($B2827,'FRS geographical categories'!$A$2:$C$45,3,FALSE)</f>
        <v>Non-metropolitan</v>
      </c>
      <c r="I2827" s="224">
        <v>0</v>
      </c>
    </row>
    <row r="2828" spans="1:9" ht="15.5" x14ac:dyDescent="0.35">
      <c r="A2828" s="224" t="s">
        <v>81</v>
      </c>
      <c r="B2828" s="224" t="s">
        <v>38</v>
      </c>
      <c r="C2828" s="224" t="s">
        <v>89</v>
      </c>
      <c r="D2828" s="224" t="s">
        <v>55</v>
      </c>
      <c r="E2828" s="224" t="s">
        <v>256</v>
      </c>
      <c r="F2828" s="224" t="s">
        <v>250</v>
      </c>
      <c r="G2828" s="223" t="str">
        <f>VLOOKUP($B2828,'FRS geographical categories'!$A$2:$C$45,2,FALSE)</f>
        <v>Predominantly Rural</v>
      </c>
      <c r="H2828" s="223" t="str">
        <f>VLOOKUP($B2828,'FRS geographical categories'!$A$2:$C$45,3,FALSE)</f>
        <v>Non-metropolitan</v>
      </c>
      <c r="I2828" s="224">
        <v>0</v>
      </c>
    </row>
    <row r="2829" spans="1:9" ht="15.5" x14ac:dyDescent="0.35">
      <c r="A2829" s="224" t="s">
        <v>81</v>
      </c>
      <c r="B2829" s="224" t="s">
        <v>38</v>
      </c>
      <c r="C2829" s="224" t="s">
        <v>89</v>
      </c>
      <c r="D2829" s="224" t="s">
        <v>55</v>
      </c>
      <c r="E2829" s="224" t="s">
        <v>256</v>
      </c>
      <c r="F2829" s="224" t="s">
        <v>10</v>
      </c>
      <c r="G2829" s="223" t="str">
        <f>VLOOKUP($B2829,'FRS geographical categories'!$A$2:$C$45,2,FALSE)</f>
        <v>Predominantly Rural</v>
      </c>
      <c r="H2829" s="223" t="str">
        <f>VLOOKUP($B2829,'FRS geographical categories'!$A$2:$C$45,3,FALSE)</f>
        <v>Non-metropolitan</v>
      </c>
      <c r="I2829" s="224">
        <v>0</v>
      </c>
    </row>
    <row r="2830" spans="1:9" ht="15.5" x14ac:dyDescent="0.35">
      <c r="A2830" s="224" t="s">
        <v>81</v>
      </c>
      <c r="B2830" s="224" t="s">
        <v>39</v>
      </c>
      <c r="C2830" s="224" t="s">
        <v>86</v>
      </c>
      <c r="D2830" s="224" t="s">
        <v>9</v>
      </c>
      <c r="E2830" s="224" t="s">
        <v>256</v>
      </c>
      <c r="F2830" s="224" t="s">
        <v>248</v>
      </c>
      <c r="G2830" s="223" t="str">
        <f>VLOOKUP($B2830,'FRS geographical categories'!$A$2:$C$45,2,FALSE)</f>
        <v>Significantly Rural</v>
      </c>
      <c r="H2830" s="223" t="str">
        <f>VLOOKUP($B2830,'FRS geographical categories'!$A$2:$C$45,3,FALSE)</f>
        <v>Non-metropolitan</v>
      </c>
      <c r="I2830" s="224">
        <v>538</v>
      </c>
    </row>
    <row r="2831" spans="1:9" ht="15.5" x14ac:dyDescent="0.35">
      <c r="A2831" s="224" t="s">
        <v>81</v>
      </c>
      <c r="B2831" s="224" t="s">
        <v>39</v>
      </c>
      <c r="C2831" s="224" t="s">
        <v>86</v>
      </c>
      <c r="D2831" s="224" t="s">
        <v>9</v>
      </c>
      <c r="E2831" s="224" t="s">
        <v>256</v>
      </c>
      <c r="F2831" s="224" t="s">
        <v>249</v>
      </c>
      <c r="G2831" s="223" t="str">
        <f>VLOOKUP($B2831,'FRS geographical categories'!$A$2:$C$45,2,FALSE)</f>
        <v>Significantly Rural</v>
      </c>
      <c r="H2831" s="223" t="str">
        <f>VLOOKUP($B2831,'FRS geographical categories'!$A$2:$C$45,3,FALSE)</f>
        <v>Non-metropolitan</v>
      </c>
      <c r="I2831" s="224">
        <v>1120</v>
      </c>
    </row>
    <row r="2832" spans="1:9" ht="15.5" x14ac:dyDescent="0.35">
      <c r="A2832" s="224" t="s">
        <v>81</v>
      </c>
      <c r="B2832" s="224" t="s">
        <v>39</v>
      </c>
      <c r="C2832" s="224" t="s">
        <v>86</v>
      </c>
      <c r="D2832" s="224" t="s">
        <v>9</v>
      </c>
      <c r="E2832" s="224" t="s">
        <v>256</v>
      </c>
      <c r="F2832" s="224" t="s">
        <v>250</v>
      </c>
      <c r="G2832" s="223" t="str">
        <f>VLOOKUP($B2832,'FRS geographical categories'!$A$2:$C$45,2,FALSE)</f>
        <v>Significantly Rural</v>
      </c>
      <c r="H2832" s="223" t="str">
        <f>VLOOKUP($B2832,'FRS geographical categories'!$A$2:$C$45,3,FALSE)</f>
        <v>Non-metropolitan</v>
      </c>
      <c r="I2832" s="224">
        <v>1362</v>
      </c>
    </row>
    <row r="2833" spans="1:9" ht="15.5" x14ac:dyDescent="0.35">
      <c r="A2833" s="224" t="s">
        <v>81</v>
      </c>
      <c r="B2833" s="224" t="s">
        <v>39</v>
      </c>
      <c r="C2833" s="224" t="s">
        <v>86</v>
      </c>
      <c r="D2833" s="224" t="s">
        <v>9</v>
      </c>
      <c r="E2833" s="224" t="s">
        <v>256</v>
      </c>
      <c r="F2833" s="224" t="s">
        <v>111</v>
      </c>
      <c r="G2833" s="223" t="str">
        <f>VLOOKUP($B2833,'FRS geographical categories'!$A$2:$C$45,2,FALSE)</f>
        <v>Significantly Rural</v>
      </c>
      <c r="H2833" s="223" t="str">
        <f>VLOOKUP($B2833,'FRS geographical categories'!$A$2:$C$45,3,FALSE)</f>
        <v>Non-metropolitan</v>
      </c>
      <c r="I2833" s="224">
        <v>4074</v>
      </c>
    </row>
    <row r="2834" spans="1:9" ht="15.5" x14ac:dyDescent="0.35">
      <c r="A2834" s="224" t="s">
        <v>81</v>
      </c>
      <c r="B2834" s="224" t="s">
        <v>39</v>
      </c>
      <c r="C2834" s="224" t="s">
        <v>86</v>
      </c>
      <c r="D2834" s="224" t="s">
        <v>9</v>
      </c>
      <c r="E2834" s="224" t="s">
        <v>256</v>
      </c>
      <c r="F2834" s="224" t="s">
        <v>10</v>
      </c>
      <c r="G2834" s="223" t="str">
        <f>VLOOKUP($B2834,'FRS geographical categories'!$A$2:$C$45,2,FALSE)</f>
        <v>Significantly Rural</v>
      </c>
      <c r="H2834" s="223" t="str">
        <f>VLOOKUP($B2834,'FRS geographical categories'!$A$2:$C$45,3,FALSE)</f>
        <v>Non-metropolitan</v>
      </c>
      <c r="I2834" s="224">
        <v>5690</v>
      </c>
    </row>
    <row r="2835" spans="1:9" ht="15.5" x14ac:dyDescent="0.35">
      <c r="A2835" s="224" t="s">
        <v>81</v>
      </c>
      <c r="B2835" s="224" t="s">
        <v>39</v>
      </c>
      <c r="C2835" s="224" t="s">
        <v>86</v>
      </c>
      <c r="D2835" s="224" t="s">
        <v>55</v>
      </c>
      <c r="E2835" s="224" t="s">
        <v>256</v>
      </c>
      <c r="F2835" s="224" t="s">
        <v>248</v>
      </c>
      <c r="G2835" s="223" t="str">
        <f>VLOOKUP($B2835,'FRS geographical categories'!$A$2:$C$45,2,FALSE)</f>
        <v>Significantly Rural</v>
      </c>
      <c r="H2835" s="223" t="str">
        <f>VLOOKUP($B2835,'FRS geographical categories'!$A$2:$C$45,3,FALSE)</f>
        <v>Non-metropolitan</v>
      </c>
      <c r="I2835" s="224">
        <v>2</v>
      </c>
    </row>
    <row r="2836" spans="1:9" ht="15.5" x14ac:dyDescent="0.35">
      <c r="A2836" s="224" t="s">
        <v>81</v>
      </c>
      <c r="B2836" s="224" t="s">
        <v>39</v>
      </c>
      <c r="C2836" s="224" t="s">
        <v>86</v>
      </c>
      <c r="D2836" s="224" t="s">
        <v>55</v>
      </c>
      <c r="E2836" s="224" t="s">
        <v>256</v>
      </c>
      <c r="F2836" s="224" t="s">
        <v>249</v>
      </c>
      <c r="G2836" s="223" t="str">
        <f>VLOOKUP($B2836,'FRS geographical categories'!$A$2:$C$45,2,FALSE)</f>
        <v>Significantly Rural</v>
      </c>
      <c r="H2836" s="223" t="str">
        <f>VLOOKUP($B2836,'FRS geographical categories'!$A$2:$C$45,3,FALSE)</f>
        <v>Non-metropolitan</v>
      </c>
      <c r="I2836" s="224">
        <v>4</v>
      </c>
    </row>
    <row r="2837" spans="1:9" ht="15.5" x14ac:dyDescent="0.35">
      <c r="A2837" s="224" t="s">
        <v>81</v>
      </c>
      <c r="B2837" s="224" t="s">
        <v>39</v>
      </c>
      <c r="C2837" s="224" t="s">
        <v>86</v>
      </c>
      <c r="D2837" s="224" t="s">
        <v>55</v>
      </c>
      <c r="E2837" s="224" t="s">
        <v>256</v>
      </c>
      <c r="F2837" s="224" t="s">
        <v>250</v>
      </c>
      <c r="G2837" s="223" t="str">
        <f>VLOOKUP($B2837,'FRS geographical categories'!$A$2:$C$45,2,FALSE)</f>
        <v>Significantly Rural</v>
      </c>
      <c r="H2837" s="223" t="str">
        <f>VLOOKUP($B2837,'FRS geographical categories'!$A$2:$C$45,3,FALSE)</f>
        <v>Non-metropolitan</v>
      </c>
      <c r="I2837" s="224">
        <v>3</v>
      </c>
    </row>
    <row r="2838" spans="1:9" ht="15.5" x14ac:dyDescent="0.35">
      <c r="A2838" s="224" t="s">
        <v>81</v>
      </c>
      <c r="B2838" s="224" t="s">
        <v>39</v>
      </c>
      <c r="C2838" s="224" t="s">
        <v>86</v>
      </c>
      <c r="D2838" s="224" t="s">
        <v>55</v>
      </c>
      <c r="E2838" s="224" t="s">
        <v>256</v>
      </c>
      <c r="F2838" s="224" t="s">
        <v>111</v>
      </c>
      <c r="G2838" s="223" t="str">
        <f>VLOOKUP($B2838,'FRS geographical categories'!$A$2:$C$45,2,FALSE)</f>
        <v>Significantly Rural</v>
      </c>
      <c r="H2838" s="223" t="str">
        <f>VLOOKUP($B2838,'FRS geographical categories'!$A$2:$C$45,3,FALSE)</f>
        <v>Non-metropolitan</v>
      </c>
      <c r="I2838" s="224">
        <v>26</v>
      </c>
    </row>
    <row r="2839" spans="1:9" ht="15.5" x14ac:dyDescent="0.35">
      <c r="A2839" s="224" t="s">
        <v>81</v>
      </c>
      <c r="B2839" s="224" t="s">
        <v>39</v>
      </c>
      <c r="C2839" s="224" t="s">
        <v>86</v>
      </c>
      <c r="D2839" s="224" t="s">
        <v>55</v>
      </c>
      <c r="E2839" s="224" t="s">
        <v>256</v>
      </c>
      <c r="F2839" s="224" t="s">
        <v>10</v>
      </c>
      <c r="G2839" s="223" t="str">
        <f>VLOOKUP($B2839,'FRS geographical categories'!$A$2:$C$45,2,FALSE)</f>
        <v>Significantly Rural</v>
      </c>
      <c r="H2839" s="223" t="str">
        <f>VLOOKUP($B2839,'FRS geographical categories'!$A$2:$C$45,3,FALSE)</f>
        <v>Non-metropolitan</v>
      </c>
      <c r="I2839" s="224">
        <v>26</v>
      </c>
    </row>
    <row r="2840" spans="1:9" ht="15.5" x14ac:dyDescent="0.35">
      <c r="A2840" s="224" t="s">
        <v>81</v>
      </c>
      <c r="B2840" s="224" t="s">
        <v>39</v>
      </c>
      <c r="C2840" s="224" t="s">
        <v>89</v>
      </c>
      <c r="D2840" s="224" t="s">
        <v>9</v>
      </c>
      <c r="E2840" s="224" t="s">
        <v>256</v>
      </c>
      <c r="F2840" s="224" t="s">
        <v>248</v>
      </c>
      <c r="G2840" s="223" t="str">
        <f>VLOOKUP($B2840,'FRS geographical categories'!$A$2:$C$45,2,FALSE)</f>
        <v>Significantly Rural</v>
      </c>
      <c r="H2840" s="223" t="str">
        <f>VLOOKUP($B2840,'FRS geographical categories'!$A$2:$C$45,3,FALSE)</f>
        <v>Non-metropolitan</v>
      </c>
      <c r="I2840" s="224">
        <v>0</v>
      </c>
    </row>
    <row r="2841" spans="1:9" ht="15.5" x14ac:dyDescent="0.35">
      <c r="A2841" s="224" t="s">
        <v>81</v>
      </c>
      <c r="B2841" s="224" t="s">
        <v>39</v>
      </c>
      <c r="C2841" s="224" t="s">
        <v>89</v>
      </c>
      <c r="D2841" s="224" t="s">
        <v>9</v>
      </c>
      <c r="E2841" s="224" t="s">
        <v>256</v>
      </c>
      <c r="F2841" s="224" t="s">
        <v>249</v>
      </c>
      <c r="G2841" s="223" t="str">
        <f>VLOOKUP($B2841,'FRS geographical categories'!$A$2:$C$45,2,FALSE)</f>
        <v>Significantly Rural</v>
      </c>
      <c r="H2841" s="223" t="str">
        <f>VLOOKUP($B2841,'FRS geographical categories'!$A$2:$C$45,3,FALSE)</f>
        <v>Non-metropolitan</v>
      </c>
      <c r="I2841" s="224">
        <v>0</v>
      </c>
    </row>
    <row r="2842" spans="1:9" ht="15.5" x14ac:dyDescent="0.35">
      <c r="A2842" s="224" t="s">
        <v>81</v>
      </c>
      <c r="B2842" s="224" t="s">
        <v>39</v>
      </c>
      <c r="C2842" s="224" t="s">
        <v>89</v>
      </c>
      <c r="D2842" s="224" t="s">
        <v>9</v>
      </c>
      <c r="E2842" s="224" t="s">
        <v>256</v>
      </c>
      <c r="F2842" s="224" t="s">
        <v>250</v>
      </c>
      <c r="G2842" s="223" t="str">
        <f>VLOOKUP($B2842,'FRS geographical categories'!$A$2:$C$45,2,FALSE)</f>
        <v>Significantly Rural</v>
      </c>
      <c r="H2842" s="223" t="str">
        <f>VLOOKUP($B2842,'FRS geographical categories'!$A$2:$C$45,3,FALSE)</f>
        <v>Non-metropolitan</v>
      </c>
      <c r="I2842" s="224">
        <v>0</v>
      </c>
    </row>
    <row r="2843" spans="1:9" ht="15.5" x14ac:dyDescent="0.35">
      <c r="A2843" s="224" t="s">
        <v>81</v>
      </c>
      <c r="B2843" s="224" t="s">
        <v>39</v>
      </c>
      <c r="C2843" s="224" t="s">
        <v>89</v>
      </c>
      <c r="D2843" s="224" t="s">
        <v>9</v>
      </c>
      <c r="E2843" s="224" t="s">
        <v>256</v>
      </c>
      <c r="F2843" s="224" t="s">
        <v>10</v>
      </c>
      <c r="G2843" s="223" t="str">
        <f>VLOOKUP($B2843,'FRS geographical categories'!$A$2:$C$45,2,FALSE)</f>
        <v>Significantly Rural</v>
      </c>
      <c r="H2843" s="223" t="str">
        <f>VLOOKUP($B2843,'FRS geographical categories'!$A$2:$C$45,3,FALSE)</f>
        <v>Non-metropolitan</v>
      </c>
      <c r="I2843" s="224">
        <v>0</v>
      </c>
    </row>
    <row r="2844" spans="1:9" ht="15.5" x14ac:dyDescent="0.35">
      <c r="A2844" s="224" t="s">
        <v>81</v>
      </c>
      <c r="B2844" s="224" t="s">
        <v>39</v>
      </c>
      <c r="C2844" s="224" t="s">
        <v>89</v>
      </c>
      <c r="D2844" s="224" t="s">
        <v>55</v>
      </c>
      <c r="E2844" s="224" t="s">
        <v>256</v>
      </c>
      <c r="F2844" s="224" t="s">
        <v>248</v>
      </c>
      <c r="G2844" s="223" t="str">
        <f>VLOOKUP($B2844,'FRS geographical categories'!$A$2:$C$45,2,FALSE)</f>
        <v>Significantly Rural</v>
      </c>
      <c r="H2844" s="223" t="str">
        <f>VLOOKUP($B2844,'FRS geographical categories'!$A$2:$C$45,3,FALSE)</f>
        <v>Non-metropolitan</v>
      </c>
      <c r="I2844" s="224">
        <v>0</v>
      </c>
    </row>
    <row r="2845" spans="1:9" ht="15.5" x14ac:dyDescent="0.35">
      <c r="A2845" s="224" t="s">
        <v>81</v>
      </c>
      <c r="B2845" s="224" t="s">
        <v>39</v>
      </c>
      <c r="C2845" s="224" t="s">
        <v>89</v>
      </c>
      <c r="D2845" s="224" t="s">
        <v>55</v>
      </c>
      <c r="E2845" s="224" t="s">
        <v>256</v>
      </c>
      <c r="F2845" s="224" t="s">
        <v>249</v>
      </c>
      <c r="G2845" s="223" t="str">
        <f>VLOOKUP($B2845,'FRS geographical categories'!$A$2:$C$45,2,FALSE)</f>
        <v>Significantly Rural</v>
      </c>
      <c r="H2845" s="223" t="str">
        <f>VLOOKUP($B2845,'FRS geographical categories'!$A$2:$C$45,3,FALSE)</f>
        <v>Non-metropolitan</v>
      </c>
      <c r="I2845" s="224">
        <v>0</v>
      </c>
    </row>
    <row r="2846" spans="1:9" ht="15.5" x14ac:dyDescent="0.35">
      <c r="A2846" s="224" t="s">
        <v>81</v>
      </c>
      <c r="B2846" s="224" t="s">
        <v>39</v>
      </c>
      <c r="C2846" s="224" t="s">
        <v>89</v>
      </c>
      <c r="D2846" s="224" t="s">
        <v>55</v>
      </c>
      <c r="E2846" s="224" t="s">
        <v>256</v>
      </c>
      <c r="F2846" s="224" t="s">
        <v>250</v>
      </c>
      <c r="G2846" s="223" t="str">
        <f>VLOOKUP($B2846,'FRS geographical categories'!$A$2:$C$45,2,FALSE)</f>
        <v>Significantly Rural</v>
      </c>
      <c r="H2846" s="223" t="str">
        <f>VLOOKUP($B2846,'FRS geographical categories'!$A$2:$C$45,3,FALSE)</f>
        <v>Non-metropolitan</v>
      </c>
      <c r="I2846" s="224">
        <v>0</v>
      </c>
    </row>
    <row r="2847" spans="1:9" ht="15.5" x14ac:dyDescent="0.35">
      <c r="A2847" s="224" t="s">
        <v>81</v>
      </c>
      <c r="B2847" s="224" t="s">
        <v>39</v>
      </c>
      <c r="C2847" s="224" t="s">
        <v>89</v>
      </c>
      <c r="D2847" s="224" t="s">
        <v>55</v>
      </c>
      <c r="E2847" s="224" t="s">
        <v>256</v>
      </c>
      <c r="F2847" s="224" t="s">
        <v>10</v>
      </c>
      <c r="G2847" s="223" t="str">
        <f>VLOOKUP($B2847,'FRS geographical categories'!$A$2:$C$45,2,FALSE)</f>
        <v>Significantly Rural</v>
      </c>
      <c r="H2847" s="223" t="str">
        <f>VLOOKUP($B2847,'FRS geographical categories'!$A$2:$C$45,3,FALSE)</f>
        <v>Non-metropolitan</v>
      </c>
      <c r="I2847" s="224">
        <v>0</v>
      </c>
    </row>
    <row r="2848" spans="1:9" ht="15.5" x14ac:dyDescent="0.35">
      <c r="A2848" s="224" t="s">
        <v>81</v>
      </c>
      <c r="B2848" s="224" t="s">
        <v>40</v>
      </c>
      <c r="C2848" s="224" t="s">
        <v>86</v>
      </c>
      <c r="D2848" s="224" t="s">
        <v>9</v>
      </c>
      <c r="E2848" s="224" t="s">
        <v>256</v>
      </c>
      <c r="F2848" s="224" t="s">
        <v>248</v>
      </c>
      <c r="G2848" s="223" t="str">
        <f>VLOOKUP($B2848,'FRS geographical categories'!$A$2:$C$45,2,FALSE)</f>
        <v>Predominantly Rural</v>
      </c>
      <c r="H2848" s="223" t="str">
        <f>VLOOKUP($B2848,'FRS geographical categories'!$A$2:$C$45,3,FALSE)</f>
        <v>Non-metropolitan</v>
      </c>
      <c r="I2848" s="224">
        <v>797</v>
      </c>
    </row>
    <row r="2849" spans="1:9" ht="15.5" x14ac:dyDescent="0.35">
      <c r="A2849" s="224" t="s">
        <v>81</v>
      </c>
      <c r="B2849" s="224" t="s">
        <v>40</v>
      </c>
      <c r="C2849" s="224" t="s">
        <v>86</v>
      </c>
      <c r="D2849" s="224" t="s">
        <v>9</v>
      </c>
      <c r="E2849" s="224" t="s">
        <v>256</v>
      </c>
      <c r="F2849" s="224" t="s">
        <v>249</v>
      </c>
      <c r="G2849" s="223" t="str">
        <f>VLOOKUP($B2849,'FRS geographical categories'!$A$2:$C$45,2,FALSE)</f>
        <v>Predominantly Rural</v>
      </c>
      <c r="H2849" s="223" t="str">
        <f>VLOOKUP($B2849,'FRS geographical categories'!$A$2:$C$45,3,FALSE)</f>
        <v>Non-metropolitan</v>
      </c>
      <c r="I2849" s="224">
        <v>1863</v>
      </c>
    </row>
    <row r="2850" spans="1:9" ht="15.5" x14ac:dyDescent="0.35">
      <c r="A2850" s="224" t="s">
        <v>81</v>
      </c>
      <c r="B2850" s="224" t="s">
        <v>40</v>
      </c>
      <c r="C2850" s="224" t="s">
        <v>86</v>
      </c>
      <c r="D2850" s="224" t="s">
        <v>9</v>
      </c>
      <c r="E2850" s="224" t="s">
        <v>256</v>
      </c>
      <c r="F2850" s="224" t="s">
        <v>250</v>
      </c>
      <c r="G2850" s="223" t="str">
        <f>VLOOKUP($B2850,'FRS geographical categories'!$A$2:$C$45,2,FALSE)</f>
        <v>Predominantly Rural</v>
      </c>
      <c r="H2850" s="223" t="str">
        <f>VLOOKUP($B2850,'FRS geographical categories'!$A$2:$C$45,3,FALSE)</f>
        <v>Non-metropolitan</v>
      </c>
      <c r="I2850" s="224">
        <v>1080</v>
      </c>
    </row>
    <row r="2851" spans="1:9" ht="15.5" x14ac:dyDescent="0.35">
      <c r="A2851" s="224" t="s">
        <v>81</v>
      </c>
      <c r="B2851" s="224" t="s">
        <v>40</v>
      </c>
      <c r="C2851" s="224" t="s">
        <v>86</v>
      </c>
      <c r="D2851" s="224" t="s">
        <v>9</v>
      </c>
      <c r="E2851" s="224" t="s">
        <v>256</v>
      </c>
      <c r="F2851" s="224" t="s">
        <v>111</v>
      </c>
      <c r="G2851" s="223" t="str">
        <f>VLOOKUP($B2851,'FRS geographical categories'!$A$2:$C$45,2,FALSE)</f>
        <v>Predominantly Rural</v>
      </c>
      <c r="H2851" s="223" t="str">
        <f>VLOOKUP($B2851,'FRS geographical categories'!$A$2:$C$45,3,FALSE)</f>
        <v>Non-metropolitan</v>
      </c>
      <c r="I2851" s="224">
        <v>3867</v>
      </c>
    </row>
    <row r="2852" spans="1:9" ht="15.5" x14ac:dyDescent="0.35">
      <c r="A2852" s="224" t="s">
        <v>81</v>
      </c>
      <c r="B2852" s="224" t="s">
        <v>40</v>
      </c>
      <c r="C2852" s="224" t="s">
        <v>86</v>
      </c>
      <c r="D2852" s="224" t="s">
        <v>9</v>
      </c>
      <c r="E2852" s="224" t="s">
        <v>256</v>
      </c>
      <c r="F2852" s="224" t="s">
        <v>10</v>
      </c>
      <c r="G2852" s="223" t="str">
        <f>VLOOKUP($B2852,'FRS geographical categories'!$A$2:$C$45,2,FALSE)</f>
        <v>Predominantly Rural</v>
      </c>
      <c r="H2852" s="223" t="str">
        <f>VLOOKUP($B2852,'FRS geographical categories'!$A$2:$C$45,3,FALSE)</f>
        <v>Non-metropolitan</v>
      </c>
      <c r="I2852" s="224">
        <v>5327</v>
      </c>
    </row>
    <row r="2853" spans="1:9" ht="15.5" x14ac:dyDescent="0.35">
      <c r="A2853" s="224" t="s">
        <v>81</v>
      </c>
      <c r="B2853" s="224" t="s">
        <v>40</v>
      </c>
      <c r="C2853" s="224" t="s">
        <v>86</v>
      </c>
      <c r="D2853" s="224" t="s">
        <v>55</v>
      </c>
      <c r="E2853" s="224" t="s">
        <v>256</v>
      </c>
      <c r="F2853" s="224" t="s">
        <v>248</v>
      </c>
      <c r="G2853" s="223" t="str">
        <f>VLOOKUP($B2853,'FRS geographical categories'!$A$2:$C$45,2,FALSE)</f>
        <v>Predominantly Rural</v>
      </c>
      <c r="H2853" s="223" t="str">
        <f>VLOOKUP($B2853,'FRS geographical categories'!$A$2:$C$45,3,FALSE)</f>
        <v>Non-metropolitan</v>
      </c>
      <c r="I2853" s="224">
        <v>0</v>
      </c>
    </row>
    <row r="2854" spans="1:9" ht="15.5" x14ac:dyDescent="0.35">
      <c r="A2854" s="224" t="s">
        <v>81</v>
      </c>
      <c r="B2854" s="224" t="s">
        <v>40</v>
      </c>
      <c r="C2854" s="224" t="s">
        <v>86</v>
      </c>
      <c r="D2854" s="224" t="s">
        <v>55</v>
      </c>
      <c r="E2854" s="224" t="s">
        <v>256</v>
      </c>
      <c r="F2854" s="224" t="s">
        <v>249</v>
      </c>
      <c r="G2854" s="223" t="str">
        <f>VLOOKUP($B2854,'FRS geographical categories'!$A$2:$C$45,2,FALSE)</f>
        <v>Predominantly Rural</v>
      </c>
      <c r="H2854" s="223" t="str">
        <f>VLOOKUP($B2854,'FRS geographical categories'!$A$2:$C$45,3,FALSE)</f>
        <v>Non-metropolitan</v>
      </c>
      <c r="I2854" s="224">
        <v>0</v>
      </c>
    </row>
    <row r="2855" spans="1:9" ht="15.5" x14ac:dyDescent="0.35">
      <c r="A2855" s="224" t="s">
        <v>81</v>
      </c>
      <c r="B2855" s="224" t="s">
        <v>40</v>
      </c>
      <c r="C2855" s="224" t="s">
        <v>86</v>
      </c>
      <c r="D2855" s="224" t="s">
        <v>55</v>
      </c>
      <c r="E2855" s="224" t="s">
        <v>256</v>
      </c>
      <c r="F2855" s="224" t="s">
        <v>250</v>
      </c>
      <c r="G2855" s="223" t="str">
        <f>VLOOKUP($B2855,'FRS geographical categories'!$A$2:$C$45,2,FALSE)</f>
        <v>Predominantly Rural</v>
      </c>
      <c r="H2855" s="223" t="str">
        <f>VLOOKUP($B2855,'FRS geographical categories'!$A$2:$C$45,3,FALSE)</f>
        <v>Non-metropolitan</v>
      </c>
      <c r="I2855" s="224">
        <v>0</v>
      </c>
    </row>
    <row r="2856" spans="1:9" ht="15.5" x14ac:dyDescent="0.35">
      <c r="A2856" s="224" t="s">
        <v>81</v>
      </c>
      <c r="B2856" s="224" t="s">
        <v>40</v>
      </c>
      <c r="C2856" s="224" t="s">
        <v>86</v>
      </c>
      <c r="D2856" s="224" t="s">
        <v>55</v>
      </c>
      <c r="E2856" s="224" t="s">
        <v>256</v>
      </c>
      <c r="F2856" s="224" t="s">
        <v>111</v>
      </c>
      <c r="G2856" s="223" t="str">
        <f>VLOOKUP($B2856,'FRS geographical categories'!$A$2:$C$45,2,FALSE)</f>
        <v>Predominantly Rural</v>
      </c>
      <c r="H2856" s="223" t="str">
        <f>VLOOKUP($B2856,'FRS geographical categories'!$A$2:$C$45,3,FALSE)</f>
        <v>Non-metropolitan</v>
      </c>
      <c r="I2856" s="224">
        <v>0</v>
      </c>
    </row>
    <row r="2857" spans="1:9" ht="15.5" x14ac:dyDescent="0.35">
      <c r="A2857" s="224" t="s">
        <v>81</v>
      </c>
      <c r="B2857" s="224" t="s">
        <v>40</v>
      </c>
      <c r="C2857" s="224" t="s">
        <v>86</v>
      </c>
      <c r="D2857" s="224" t="s">
        <v>55</v>
      </c>
      <c r="E2857" s="224" t="s">
        <v>256</v>
      </c>
      <c r="F2857" s="224" t="s">
        <v>10</v>
      </c>
      <c r="G2857" s="223" t="str">
        <f>VLOOKUP($B2857,'FRS geographical categories'!$A$2:$C$45,2,FALSE)</f>
        <v>Predominantly Rural</v>
      </c>
      <c r="H2857" s="223" t="str">
        <f>VLOOKUP($B2857,'FRS geographical categories'!$A$2:$C$45,3,FALSE)</f>
        <v>Non-metropolitan</v>
      </c>
      <c r="I2857" s="224">
        <v>0</v>
      </c>
    </row>
    <row r="2858" spans="1:9" ht="15.5" x14ac:dyDescent="0.35">
      <c r="A2858" s="224" t="s">
        <v>81</v>
      </c>
      <c r="B2858" s="224" t="s">
        <v>40</v>
      </c>
      <c r="C2858" s="224" t="s">
        <v>89</v>
      </c>
      <c r="D2858" s="224" t="s">
        <v>9</v>
      </c>
      <c r="E2858" s="224" t="s">
        <v>256</v>
      </c>
      <c r="F2858" s="224" t="s">
        <v>248</v>
      </c>
      <c r="G2858" s="223" t="str">
        <f>VLOOKUP($B2858,'FRS geographical categories'!$A$2:$C$45,2,FALSE)</f>
        <v>Predominantly Rural</v>
      </c>
      <c r="H2858" s="223" t="str">
        <f>VLOOKUP($B2858,'FRS geographical categories'!$A$2:$C$45,3,FALSE)</f>
        <v>Non-metropolitan</v>
      </c>
      <c r="I2858" s="224">
        <v>0</v>
      </c>
    </row>
    <row r="2859" spans="1:9" ht="15.5" x14ac:dyDescent="0.35">
      <c r="A2859" s="224" t="s">
        <v>81</v>
      </c>
      <c r="B2859" s="224" t="s">
        <v>40</v>
      </c>
      <c r="C2859" s="224" t="s">
        <v>89</v>
      </c>
      <c r="D2859" s="224" t="s">
        <v>9</v>
      </c>
      <c r="E2859" s="224" t="s">
        <v>256</v>
      </c>
      <c r="F2859" s="224" t="s">
        <v>249</v>
      </c>
      <c r="G2859" s="223" t="str">
        <f>VLOOKUP($B2859,'FRS geographical categories'!$A$2:$C$45,2,FALSE)</f>
        <v>Predominantly Rural</v>
      </c>
      <c r="H2859" s="223" t="str">
        <f>VLOOKUP($B2859,'FRS geographical categories'!$A$2:$C$45,3,FALSE)</f>
        <v>Non-metropolitan</v>
      </c>
      <c r="I2859" s="224">
        <v>0</v>
      </c>
    </row>
    <row r="2860" spans="1:9" ht="15.5" x14ac:dyDescent="0.35">
      <c r="A2860" s="224" t="s">
        <v>81</v>
      </c>
      <c r="B2860" s="224" t="s">
        <v>40</v>
      </c>
      <c r="C2860" s="224" t="s">
        <v>89</v>
      </c>
      <c r="D2860" s="224" t="s">
        <v>9</v>
      </c>
      <c r="E2860" s="224" t="s">
        <v>256</v>
      </c>
      <c r="F2860" s="224" t="s">
        <v>250</v>
      </c>
      <c r="G2860" s="223" t="str">
        <f>VLOOKUP($B2860,'FRS geographical categories'!$A$2:$C$45,2,FALSE)</f>
        <v>Predominantly Rural</v>
      </c>
      <c r="H2860" s="223" t="str">
        <f>VLOOKUP($B2860,'FRS geographical categories'!$A$2:$C$45,3,FALSE)</f>
        <v>Non-metropolitan</v>
      </c>
      <c r="I2860" s="224">
        <v>0</v>
      </c>
    </row>
    <row r="2861" spans="1:9" ht="15.5" x14ac:dyDescent="0.35">
      <c r="A2861" s="224" t="s">
        <v>81</v>
      </c>
      <c r="B2861" s="224" t="s">
        <v>40</v>
      </c>
      <c r="C2861" s="224" t="s">
        <v>89</v>
      </c>
      <c r="D2861" s="224" t="s">
        <v>9</v>
      </c>
      <c r="E2861" s="224" t="s">
        <v>256</v>
      </c>
      <c r="F2861" s="224" t="s">
        <v>10</v>
      </c>
      <c r="G2861" s="223" t="str">
        <f>VLOOKUP($B2861,'FRS geographical categories'!$A$2:$C$45,2,FALSE)</f>
        <v>Predominantly Rural</v>
      </c>
      <c r="H2861" s="223" t="str">
        <f>VLOOKUP($B2861,'FRS geographical categories'!$A$2:$C$45,3,FALSE)</f>
        <v>Non-metropolitan</v>
      </c>
      <c r="I2861" s="224">
        <v>0</v>
      </c>
    </row>
    <row r="2862" spans="1:9" ht="15.5" x14ac:dyDescent="0.35">
      <c r="A2862" s="224" t="s">
        <v>81</v>
      </c>
      <c r="B2862" s="224" t="s">
        <v>40</v>
      </c>
      <c r="C2862" s="224" t="s">
        <v>89</v>
      </c>
      <c r="D2862" s="224" t="s">
        <v>55</v>
      </c>
      <c r="E2862" s="224" t="s">
        <v>256</v>
      </c>
      <c r="F2862" s="224" t="s">
        <v>248</v>
      </c>
      <c r="G2862" s="223" t="str">
        <f>VLOOKUP($B2862,'FRS geographical categories'!$A$2:$C$45,2,FALSE)</f>
        <v>Predominantly Rural</v>
      </c>
      <c r="H2862" s="223" t="str">
        <f>VLOOKUP($B2862,'FRS geographical categories'!$A$2:$C$45,3,FALSE)</f>
        <v>Non-metropolitan</v>
      </c>
      <c r="I2862" s="224">
        <v>0</v>
      </c>
    </row>
    <row r="2863" spans="1:9" ht="15.5" x14ac:dyDescent="0.35">
      <c r="A2863" s="224" t="s">
        <v>81</v>
      </c>
      <c r="B2863" s="224" t="s">
        <v>40</v>
      </c>
      <c r="C2863" s="224" t="s">
        <v>89</v>
      </c>
      <c r="D2863" s="224" t="s">
        <v>55</v>
      </c>
      <c r="E2863" s="224" t="s">
        <v>256</v>
      </c>
      <c r="F2863" s="224" t="s">
        <v>249</v>
      </c>
      <c r="G2863" s="223" t="str">
        <f>VLOOKUP($B2863,'FRS geographical categories'!$A$2:$C$45,2,FALSE)</f>
        <v>Predominantly Rural</v>
      </c>
      <c r="H2863" s="223" t="str">
        <f>VLOOKUP($B2863,'FRS geographical categories'!$A$2:$C$45,3,FALSE)</f>
        <v>Non-metropolitan</v>
      </c>
      <c r="I2863" s="224">
        <v>0</v>
      </c>
    </row>
    <row r="2864" spans="1:9" ht="15.5" x14ac:dyDescent="0.35">
      <c r="A2864" s="224" t="s">
        <v>81</v>
      </c>
      <c r="B2864" s="224" t="s">
        <v>40</v>
      </c>
      <c r="C2864" s="224" t="s">
        <v>89</v>
      </c>
      <c r="D2864" s="224" t="s">
        <v>55</v>
      </c>
      <c r="E2864" s="224" t="s">
        <v>256</v>
      </c>
      <c r="F2864" s="224" t="s">
        <v>250</v>
      </c>
      <c r="G2864" s="223" t="str">
        <f>VLOOKUP($B2864,'FRS geographical categories'!$A$2:$C$45,2,FALSE)</f>
        <v>Predominantly Rural</v>
      </c>
      <c r="H2864" s="223" t="str">
        <f>VLOOKUP($B2864,'FRS geographical categories'!$A$2:$C$45,3,FALSE)</f>
        <v>Non-metropolitan</v>
      </c>
      <c r="I2864" s="224">
        <v>0</v>
      </c>
    </row>
    <row r="2865" spans="1:9" ht="15.5" x14ac:dyDescent="0.35">
      <c r="A2865" s="224" t="s">
        <v>81</v>
      </c>
      <c r="B2865" s="224" t="s">
        <v>40</v>
      </c>
      <c r="C2865" s="224" t="s">
        <v>89</v>
      </c>
      <c r="D2865" s="224" t="s">
        <v>55</v>
      </c>
      <c r="E2865" s="224" t="s">
        <v>256</v>
      </c>
      <c r="F2865" s="224" t="s">
        <v>10</v>
      </c>
      <c r="G2865" s="223" t="str">
        <f>VLOOKUP($B2865,'FRS geographical categories'!$A$2:$C$45,2,FALSE)</f>
        <v>Predominantly Rural</v>
      </c>
      <c r="H2865" s="223" t="str">
        <f>VLOOKUP($B2865,'FRS geographical categories'!$A$2:$C$45,3,FALSE)</f>
        <v>Non-metropolitan</v>
      </c>
      <c r="I2865" s="224">
        <v>0</v>
      </c>
    </row>
    <row r="2866" spans="1:9" ht="15.5" x14ac:dyDescent="0.35">
      <c r="A2866" s="224" t="s">
        <v>81</v>
      </c>
      <c r="B2866" s="224" t="s">
        <v>41</v>
      </c>
      <c r="C2866" s="224" t="s">
        <v>86</v>
      </c>
      <c r="D2866" s="224" t="s">
        <v>9</v>
      </c>
      <c r="E2866" s="224" t="s">
        <v>256</v>
      </c>
      <c r="F2866" s="224" t="s">
        <v>248</v>
      </c>
      <c r="G2866" s="223" t="str">
        <f>VLOOKUP($B2866,'FRS geographical categories'!$A$2:$C$45,2,FALSE)</f>
        <v>Predominantly Urban</v>
      </c>
      <c r="H2866" s="223" t="str">
        <f>VLOOKUP($B2866,'FRS geographical categories'!$A$2:$C$45,3,FALSE)</f>
        <v>Non-metropolitan</v>
      </c>
      <c r="I2866" s="224">
        <v>1055</v>
      </c>
    </row>
    <row r="2867" spans="1:9" ht="15.5" x14ac:dyDescent="0.35">
      <c r="A2867" s="224" t="s">
        <v>81</v>
      </c>
      <c r="B2867" s="224" t="s">
        <v>41</v>
      </c>
      <c r="C2867" s="224" t="s">
        <v>86</v>
      </c>
      <c r="D2867" s="224" t="s">
        <v>9</v>
      </c>
      <c r="E2867" s="224" t="s">
        <v>256</v>
      </c>
      <c r="F2867" s="224" t="s">
        <v>249</v>
      </c>
      <c r="G2867" s="223" t="str">
        <f>VLOOKUP($B2867,'FRS geographical categories'!$A$2:$C$45,2,FALSE)</f>
        <v>Predominantly Urban</v>
      </c>
      <c r="H2867" s="223" t="str">
        <f>VLOOKUP($B2867,'FRS geographical categories'!$A$2:$C$45,3,FALSE)</f>
        <v>Non-metropolitan</v>
      </c>
      <c r="I2867" s="224">
        <v>2237</v>
      </c>
    </row>
    <row r="2868" spans="1:9" ht="15.5" x14ac:dyDescent="0.35">
      <c r="A2868" s="224" t="s">
        <v>81</v>
      </c>
      <c r="B2868" s="224" t="s">
        <v>41</v>
      </c>
      <c r="C2868" s="224" t="s">
        <v>86</v>
      </c>
      <c r="D2868" s="224" t="s">
        <v>9</v>
      </c>
      <c r="E2868" s="224" t="s">
        <v>256</v>
      </c>
      <c r="F2868" s="224" t="s">
        <v>250</v>
      </c>
      <c r="G2868" s="223" t="str">
        <f>VLOOKUP($B2868,'FRS geographical categories'!$A$2:$C$45,2,FALSE)</f>
        <v>Predominantly Urban</v>
      </c>
      <c r="H2868" s="223" t="str">
        <f>VLOOKUP($B2868,'FRS geographical categories'!$A$2:$C$45,3,FALSE)</f>
        <v>Non-metropolitan</v>
      </c>
      <c r="I2868" s="224">
        <v>5007</v>
      </c>
    </row>
    <row r="2869" spans="1:9" ht="15.5" x14ac:dyDescent="0.35">
      <c r="A2869" s="224" t="s">
        <v>81</v>
      </c>
      <c r="B2869" s="224" t="s">
        <v>41</v>
      </c>
      <c r="C2869" s="224" t="s">
        <v>86</v>
      </c>
      <c r="D2869" s="224" t="s">
        <v>9</v>
      </c>
      <c r="E2869" s="224" t="s">
        <v>256</v>
      </c>
      <c r="F2869" s="224" t="s">
        <v>111</v>
      </c>
      <c r="G2869" s="223" t="str">
        <f>VLOOKUP($B2869,'FRS geographical categories'!$A$2:$C$45,2,FALSE)</f>
        <v>Predominantly Urban</v>
      </c>
      <c r="H2869" s="223" t="str">
        <f>VLOOKUP($B2869,'FRS geographical categories'!$A$2:$C$45,3,FALSE)</f>
        <v>Non-metropolitan</v>
      </c>
      <c r="I2869" s="224">
        <v>13878</v>
      </c>
    </row>
    <row r="2870" spans="1:9" ht="15.5" x14ac:dyDescent="0.35">
      <c r="A2870" s="224" t="s">
        <v>81</v>
      </c>
      <c r="B2870" s="224" t="s">
        <v>41</v>
      </c>
      <c r="C2870" s="224" t="s">
        <v>86</v>
      </c>
      <c r="D2870" s="224" t="s">
        <v>9</v>
      </c>
      <c r="E2870" s="224" t="s">
        <v>256</v>
      </c>
      <c r="F2870" s="224" t="s">
        <v>10</v>
      </c>
      <c r="G2870" s="223" t="str">
        <f>VLOOKUP($B2870,'FRS geographical categories'!$A$2:$C$45,2,FALSE)</f>
        <v>Predominantly Urban</v>
      </c>
      <c r="H2870" s="223" t="str">
        <f>VLOOKUP($B2870,'FRS geographical categories'!$A$2:$C$45,3,FALSE)</f>
        <v>Non-metropolitan</v>
      </c>
      <c r="I2870" s="224">
        <v>13878</v>
      </c>
    </row>
    <row r="2871" spans="1:9" ht="15.5" x14ac:dyDescent="0.35">
      <c r="A2871" s="224" t="s">
        <v>81</v>
      </c>
      <c r="B2871" s="224" t="s">
        <v>41</v>
      </c>
      <c r="C2871" s="224" t="s">
        <v>86</v>
      </c>
      <c r="D2871" s="224" t="s">
        <v>55</v>
      </c>
      <c r="E2871" s="224" t="s">
        <v>256</v>
      </c>
      <c r="F2871" s="224" t="s">
        <v>248</v>
      </c>
      <c r="G2871" s="223" t="str">
        <f>VLOOKUP($B2871,'FRS geographical categories'!$A$2:$C$45,2,FALSE)</f>
        <v>Predominantly Urban</v>
      </c>
      <c r="H2871" s="223" t="str">
        <f>VLOOKUP($B2871,'FRS geographical categories'!$A$2:$C$45,3,FALSE)</f>
        <v>Non-metropolitan</v>
      </c>
      <c r="I2871" s="224">
        <v>5</v>
      </c>
    </row>
    <row r="2872" spans="1:9" ht="15.5" x14ac:dyDescent="0.35">
      <c r="A2872" s="224" t="s">
        <v>81</v>
      </c>
      <c r="B2872" s="224" t="s">
        <v>41</v>
      </c>
      <c r="C2872" s="224" t="s">
        <v>86</v>
      </c>
      <c r="D2872" s="224" t="s">
        <v>55</v>
      </c>
      <c r="E2872" s="224" t="s">
        <v>256</v>
      </c>
      <c r="F2872" s="224" t="s">
        <v>249</v>
      </c>
      <c r="G2872" s="223" t="str">
        <f>VLOOKUP($B2872,'FRS geographical categories'!$A$2:$C$45,2,FALSE)</f>
        <v>Predominantly Urban</v>
      </c>
      <c r="H2872" s="223" t="str">
        <f>VLOOKUP($B2872,'FRS geographical categories'!$A$2:$C$45,3,FALSE)</f>
        <v>Non-metropolitan</v>
      </c>
      <c r="I2872" s="224">
        <v>6</v>
      </c>
    </row>
    <row r="2873" spans="1:9" ht="15.5" x14ac:dyDescent="0.35">
      <c r="A2873" s="224" t="s">
        <v>81</v>
      </c>
      <c r="B2873" s="224" t="s">
        <v>41</v>
      </c>
      <c r="C2873" s="224" t="s">
        <v>86</v>
      </c>
      <c r="D2873" s="224" t="s">
        <v>55</v>
      </c>
      <c r="E2873" s="224" t="s">
        <v>256</v>
      </c>
      <c r="F2873" s="224" t="s">
        <v>250</v>
      </c>
      <c r="G2873" s="223" t="str">
        <f>VLOOKUP($B2873,'FRS geographical categories'!$A$2:$C$45,2,FALSE)</f>
        <v>Predominantly Urban</v>
      </c>
      <c r="H2873" s="223" t="str">
        <f>VLOOKUP($B2873,'FRS geographical categories'!$A$2:$C$45,3,FALSE)</f>
        <v>Non-metropolitan</v>
      </c>
      <c r="I2873" s="224">
        <v>14</v>
      </c>
    </row>
    <row r="2874" spans="1:9" ht="15.5" x14ac:dyDescent="0.35">
      <c r="A2874" s="224" t="s">
        <v>81</v>
      </c>
      <c r="B2874" s="224" t="s">
        <v>41</v>
      </c>
      <c r="C2874" s="224" t="s">
        <v>86</v>
      </c>
      <c r="D2874" s="224" t="s">
        <v>55</v>
      </c>
      <c r="E2874" s="224" t="s">
        <v>256</v>
      </c>
      <c r="F2874" s="224" t="s">
        <v>111</v>
      </c>
      <c r="G2874" s="223" t="str">
        <f>VLOOKUP($B2874,'FRS geographical categories'!$A$2:$C$45,2,FALSE)</f>
        <v>Predominantly Urban</v>
      </c>
      <c r="H2874" s="223" t="str">
        <f>VLOOKUP($B2874,'FRS geographical categories'!$A$2:$C$45,3,FALSE)</f>
        <v>Non-metropolitan</v>
      </c>
      <c r="I2874" s="224">
        <v>36</v>
      </c>
    </row>
    <row r="2875" spans="1:9" ht="15.5" x14ac:dyDescent="0.35">
      <c r="A2875" s="224" t="s">
        <v>81</v>
      </c>
      <c r="B2875" s="224" t="s">
        <v>41</v>
      </c>
      <c r="C2875" s="224" t="s">
        <v>86</v>
      </c>
      <c r="D2875" s="224" t="s">
        <v>55</v>
      </c>
      <c r="E2875" s="224" t="s">
        <v>256</v>
      </c>
      <c r="F2875" s="224" t="s">
        <v>10</v>
      </c>
      <c r="G2875" s="223" t="str">
        <f>VLOOKUP($B2875,'FRS geographical categories'!$A$2:$C$45,2,FALSE)</f>
        <v>Predominantly Urban</v>
      </c>
      <c r="H2875" s="223" t="str">
        <f>VLOOKUP($B2875,'FRS geographical categories'!$A$2:$C$45,3,FALSE)</f>
        <v>Non-metropolitan</v>
      </c>
      <c r="I2875" s="224">
        <v>36</v>
      </c>
    </row>
    <row r="2876" spans="1:9" ht="15.5" x14ac:dyDescent="0.35">
      <c r="A2876" s="224" t="s">
        <v>81</v>
      </c>
      <c r="B2876" s="224" t="s">
        <v>41</v>
      </c>
      <c r="C2876" s="224" t="s">
        <v>89</v>
      </c>
      <c r="D2876" s="224" t="s">
        <v>9</v>
      </c>
      <c r="E2876" s="224" t="s">
        <v>256</v>
      </c>
      <c r="F2876" s="224" t="s">
        <v>248</v>
      </c>
      <c r="G2876" s="223" t="str">
        <f>VLOOKUP($B2876,'FRS geographical categories'!$A$2:$C$45,2,FALSE)</f>
        <v>Predominantly Urban</v>
      </c>
      <c r="H2876" s="223" t="str">
        <f>VLOOKUP($B2876,'FRS geographical categories'!$A$2:$C$45,3,FALSE)</f>
        <v>Non-metropolitan</v>
      </c>
      <c r="I2876" s="224">
        <v>0</v>
      </c>
    </row>
    <row r="2877" spans="1:9" ht="15.5" x14ac:dyDescent="0.35">
      <c r="A2877" s="224" t="s">
        <v>81</v>
      </c>
      <c r="B2877" s="224" t="s">
        <v>41</v>
      </c>
      <c r="C2877" s="224" t="s">
        <v>89</v>
      </c>
      <c r="D2877" s="224" t="s">
        <v>9</v>
      </c>
      <c r="E2877" s="224" t="s">
        <v>256</v>
      </c>
      <c r="F2877" s="224" t="s">
        <v>249</v>
      </c>
      <c r="G2877" s="223" t="str">
        <f>VLOOKUP($B2877,'FRS geographical categories'!$A$2:$C$45,2,FALSE)</f>
        <v>Predominantly Urban</v>
      </c>
      <c r="H2877" s="223" t="str">
        <f>VLOOKUP($B2877,'FRS geographical categories'!$A$2:$C$45,3,FALSE)</f>
        <v>Non-metropolitan</v>
      </c>
      <c r="I2877" s="224">
        <v>0</v>
      </c>
    </row>
    <row r="2878" spans="1:9" ht="15.5" x14ac:dyDescent="0.35">
      <c r="A2878" s="224" t="s">
        <v>81</v>
      </c>
      <c r="B2878" s="224" t="s">
        <v>41</v>
      </c>
      <c r="C2878" s="224" t="s">
        <v>89</v>
      </c>
      <c r="D2878" s="224" t="s">
        <v>9</v>
      </c>
      <c r="E2878" s="224" t="s">
        <v>256</v>
      </c>
      <c r="F2878" s="224" t="s">
        <v>250</v>
      </c>
      <c r="G2878" s="223" t="str">
        <f>VLOOKUP($B2878,'FRS geographical categories'!$A$2:$C$45,2,FALSE)</f>
        <v>Predominantly Urban</v>
      </c>
      <c r="H2878" s="223" t="str">
        <f>VLOOKUP($B2878,'FRS geographical categories'!$A$2:$C$45,3,FALSE)</f>
        <v>Non-metropolitan</v>
      </c>
      <c r="I2878" s="224">
        <v>0</v>
      </c>
    </row>
    <row r="2879" spans="1:9" ht="15.5" x14ac:dyDescent="0.35">
      <c r="A2879" s="224" t="s">
        <v>81</v>
      </c>
      <c r="B2879" s="224" t="s">
        <v>41</v>
      </c>
      <c r="C2879" s="224" t="s">
        <v>89</v>
      </c>
      <c r="D2879" s="224" t="s">
        <v>9</v>
      </c>
      <c r="E2879" s="224" t="s">
        <v>256</v>
      </c>
      <c r="F2879" s="224" t="s">
        <v>10</v>
      </c>
      <c r="G2879" s="223" t="str">
        <f>VLOOKUP($B2879,'FRS geographical categories'!$A$2:$C$45,2,FALSE)</f>
        <v>Predominantly Urban</v>
      </c>
      <c r="H2879" s="223" t="str">
        <f>VLOOKUP($B2879,'FRS geographical categories'!$A$2:$C$45,3,FALSE)</f>
        <v>Non-metropolitan</v>
      </c>
      <c r="I2879" s="224">
        <v>0</v>
      </c>
    </row>
    <row r="2880" spans="1:9" ht="15.5" x14ac:dyDescent="0.35">
      <c r="A2880" s="224" t="s">
        <v>81</v>
      </c>
      <c r="B2880" s="224" t="s">
        <v>41</v>
      </c>
      <c r="C2880" s="224" t="s">
        <v>89</v>
      </c>
      <c r="D2880" s="224" t="s">
        <v>55</v>
      </c>
      <c r="E2880" s="224" t="s">
        <v>256</v>
      </c>
      <c r="F2880" s="224" t="s">
        <v>248</v>
      </c>
      <c r="G2880" s="223" t="str">
        <f>VLOOKUP($B2880,'FRS geographical categories'!$A$2:$C$45,2,FALSE)</f>
        <v>Predominantly Urban</v>
      </c>
      <c r="H2880" s="223" t="str">
        <f>VLOOKUP($B2880,'FRS geographical categories'!$A$2:$C$45,3,FALSE)</f>
        <v>Non-metropolitan</v>
      </c>
      <c r="I2880" s="224">
        <v>0</v>
      </c>
    </row>
    <row r="2881" spans="1:9" ht="15.5" x14ac:dyDescent="0.35">
      <c r="A2881" s="224" t="s">
        <v>81</v>
      </c>
      <c r="B2881" s="224" t="s">
        <v>41</v>
      </c>
      <c r="C2881" s="224" t="s">
        <v>89</v>
      </c>
      <c r="D2881" s="224" t="s">
        <v>55</v>
      </c>
      <c r="E2881" s="224" t="s">
        <v>256</v>
      </c>
      <c r="F2881" s="224" t="s">
        <v>249</v>
      </c>
      <c r="G2881" s="223" t="str">
        <f>VLOOKUP($B2881,'FRS geographical categories'!$A$2:$C$45,2,FALSE)</f>
        <v>Predominantly Urban</v>
      </c>
      <c r="H2881" s="223" t="str">
        <f>VLOOKUP($B2881,'FRS geographical categories'!$A$2:$C$45,3,FALSE)</f>
        <v>Non-metropolitan</v>
      </c>
      <c r="I2881" s="224">
        <v>0</v>
      </c>
    </row>
    <row r="2882" spans="1:9" ht="15.5" x14ac:dyDescent="0.35">
      <c r="A2882" s="224" t="s">
        <v>81</v>
      </c>
      <c r="B2882" s="224" t="s">
        <v>41</v>
      </c>
      <c r="C2882" s="224" t="s">
        <v>89</v>
      </c>
      <c r="D2882" s="224" t="s">
        <v>55</v>
      </c>
      <c r="E2882" s="224" t="s">
        <v>256</v>
      </c>
      <c r="F2882" s="224" t="s">
        <v>250</v>
      </c>
      <c r="G2882" s="223" t="str">
        <f>VLOOKUP($B2882,'FRS geographical categories'!$A$2:$C$45,2,FALSE)</f>
        <v>Predominantly Urban</v>
      </c>
      <c r="H2882" s="223" t="str">
        <f>VLOOKUP($B2882,'FRS geographical categories'!$A$2:$C$45,3,FALSE)</f>
        <v>Non-metropolitan</v>
      </c>
      <c r="I2882" s="224">
        <v>0</v>
      </c>
    </row>
    <row r="2883" spans="1:9" ht="15.5" x14ac:dyDescent="0.35">
      <c r="A2883" s="224" t="s">
        <v>81</v>
      </c>
      <c r="B2883" s="224" t="s">
        <v>41</v>
      </c>
      <c r="C2883" s="224" t="s">
        <v>89</v>
      </c>
      <c r="D2883" s="224" t="s">
        <v>55</v>
      </c>
      <c r="E2883" s="224" t="s">
        <v>256</v>
      </c>
      <c r="F2883" s="224" t="s">
        <v>10</v>
      </c>
      <c r="G2883" s="223" t="str">
        <f>VLOOKUP($B2883,'FRS geographical categories'!$A$2:$C$45,2,FALSE)</f>
        <v>Predominantly Urban</v>
      </c>
      <c r="H2883" s="223" t="str">
        <f>VLOOKUP($B2883,'FRS geographical categories'!$A$2:$C$45,3,FALSE)</f>
        <v>Non-metropolitan</v>
      </c>
      <c r="I2883" s="224">
        <v>0</v>
      </c>
    </row>
    <row r="2884" spans="1:9" ht="15.5" x14ac:dyDescent="0.35">
      <c r="A2884" s="224" t="s">
        <v>81</v>
      </c>
      <c r="B2884" s="224" t="s">
        <v>42</v>
      </c>
      <c r="C2884" s="224" t="s">
        <v>86</v>
      </c>
      <c r="D2884" s="224" t="s">
        <v>9</v>
      </c>
      <c r="E2884" s="224" t="s">
        <v>256</v>
      </c>
      <c r="F2884" s="224" t="s">
        <v>248</v>
      </c>
      <c r="G2884" s="223" t="str">
        <f>VLOOKUP($B2884,'FRS geographical categories'!$A$2:$C$45,2,FALSE)</f>
        <v>Predominantly Rural</v>
      </c>
      <c r="H2884" s="223" t="str">
        <f>VLOOKUP($B2884,'FRS geographical categories'!$A$2:$C$45,3,FALSE)</f>
        <v>Non-metropolitan</v>
      </c>
      <c r="I2884" s="224">
        <v>324</v>
      </c>
    </row>
    <row r="2885" spans="1:9" ht="15.5" x14ac:dyDescent="0.35">
      <c r="A2885" s="224" t="s">
        <v>81</v>
      </c>
      <c r="B2885" s="224" t="s">
        <v>42</v>
      </c>
      <c r="C2885" s="224" t="s">
        <v>86</v>
      </c>
      <c r="D2885" s="224" t="s">
        <v>9</v>
      </c>
      <c r="E2885" s="224" t="s">
        <v>256</v>
      </c>
      <c r="F2885" s="224" t="s">
        <v>249</v>
      </c>
      <c r="G2885" s="223" t="str">
        <f>VLOOKUP($B2885,'FRS geographical categories'!$A$2:$C$45,2,FALSE)</f>
        <v>Predominantly Rural</v>
      </c>
      <c r="H2885" s="223" t="str">
        <f>VLOOKUP($B2885,'FRS geographical categories'!$A$2:$C$45,3,FALSE)</f>
        <v>Non-metropolitan</v>
      </c>
      <c r="I2885" s="224">
        <v>625</v>
      </c>
    </row>
    <row r="2886" spans="1:9" ht="15.5" x14ac:dyDescent="0.35">
      <c r="A2886" s="224" t="s">
        <v>81</v>
      </c>
      <c r="B2886" s="224" t="s">
        <v>42</v>
      </c>
      <c r="C2886" s="224" t="s">
        <v>86</v>
      </c>
      <c r="D2886" s="224" t="s">
        <v>9</v>
      </c>
      <c r="E2886" s="224" t="s">
        <v>256</v>
      </c>
      <c r="F2886" s="224" t="s">
        <v>250</v>
      </c>
      <c r="G2886" s="223" t="str">
        <f>VLOOKUP($B2886,'FRS geographical categories'!$A$2:$C$45,2,FALSE)</f>
        <v>Predominantly Rural</v>
      </c>
      <c r="H2886" s="223" t="str">
        <f>VLOOKUP($B2886,'FRS geographical categories'!$A$2:$C$45,3,FALSE)</f>
        <v>Non-metropolitan</v>
      </c>
      <c r="I2886" s="224">
        <v>850</v>
      </c>
    </row>
    <row r="2887" spans="1:9" ht="15.5" x14ac:dyDescent="0.35">
      <c r="A2887" s="224" t="s">
        <v>81</v>
      </c>
      <c r="B2887" s="224" t="s">
        <v>42</v>
      </c>
      <c r="C2887" s="224" t="s">
        <v>86</v>
      </c>
      <c r="D2887" s="224" t="s">
        <v>9</v>
      </c>
      <c r="E2887" s="224" t="s">
        <v>256</v>
      </c>
      <c r="F2887" s="224" t="s">
        <v>111</v>
      </c>
      <c r="G2887" s="223" t="str">
        <f>VLOOKUP($B2887,'FRS geographical categories'!$A$2:$C$45,2,FALSE)</f>
        <v>Predominantly Rural</v>
      </c>
      <c r="H2887" s="223" t="str">
        <f>VLOOKUP($B2887,'FRS geographical categories'!$A$2:$C$45,3,FALSE)</f>
        <v>Non-metropolitan</v>
      </c>
      <c r="I2887" s="224">
        <v>2307</v>
      </c>
    </row>
    <row r="2888" spans="1:9" ht="15.5" x14ac:dyDescent="0.35">
      <c r="A2888" s="224" t="s">
        <v>81</v>
      </c>
      <c r="B2888" s="224" t="s">
        <v>42</v>
      </c>
      <c r="C2888" s="224" t="s">
        <v>86</v>
      </c>
      <c r="D2888" s="224" t="s">
        <v>9</v>
      </c>
      <c r="E2888" s="224" t="s">
        <v>256</v>
      </c>
      <c r="F2888" s="224" t="s">
        <v>10</v>
      </c>
      <c r="G2888" s="223" t="str">
        <f>VLOOKUP($B2888,'FRS geographical categories'!$A$2:$C$45,2,FALSE)</f>
        <v>Predominantly Rural</v>
      </c>
      <c r="H2888" s="223" t="str">
        <f>VLOOKUP($B2888,'FRS geographical categories'!$A$2:$C$45,3,FALSE)</f>
        <v>Non-metropolitan</v>
      </c>
      <c r="I2888" s="224">
        <v>2307</v>
      </c>
    </row>
    <row r="2889" spans="1:9" ht="15.5" x14ac:dyDescent="0.35">
      <c r="A2889" s="224" t="s">
        <v>81</v>
      </c>
      <c r="B2889" s="224" t="s">
        <v>42</v>
      </c>
      <c r="C2889" s="224" t="s">
        <v>86</v>
      </c>
      <c r="D2889" s="224" t="s">
        <v>55</v>
      </c>
      <c r="E2889" s="224" t="s">
        <v>256</v>
      </c>
      <c r="F2889" s="224" t="s">
        <v>248</v>
      </c>
      <c r="G2889" s="223" t="str">
        <f>VLOOKUP($B2889,'FRS geographical categories'!$A$2:$C$45,2,FALSE)</f>
        <v>Predominantly Rural</v>
      </c>
      <c r="H2889" s="223" t="str">
        <f>VLOOKUP($B2889,'FRS geographical categories'!$A$2:$C$45,3,FALSE)</f>
        <v>Non-metropolitan</v>
      </c>
      <c r="I2889" s="224">
        <v>0</v>
      </c>
    </row>
    <row r="2890" spans="1:9" ht="15.5" x14ac:dyDescent="0.35">
      <c r="A2890" s="224" t="s">
        <v>81</v>
      </c>
      <c r="B2890" s="224" t="s">
        <v>42</v>
      </c>
      <c r="C2890" s="224" t="s">
        <v>86</v>
      </c>
      <c r="D2890" s="224" t="s">
        <v>55</v>
      </c>
      <c r="E2890" s="224" t="s">
        <v>256</v>
      </c>
      <c r="F2890" s="224" t="s">
        <v>249</v>
      </c>
      <c r="G2890" s="223" t="str">
        <f>VLOOKUP($B2890,'FRS geographical categories'!$A$2:$C$45,2,FALSE)</f>
        <v>Predominantly Rural</v>
      </c>
      <c r="H2890" s="223" t="str">
        <f>VLOOKUP($B2890,'FRS geographical categories'!$A$2:$C$45,3,FALSE)</f>
        <v>Non-metropolitan</v>
      </c>
      <c r="I2890" s="224">
        <v>0</v>
      </c>
    </row>
    <row r="2891" spans="1:9" ht="15.5" x14ac:dyDescent="0.35">
      <c r="A2891" s="224" t="s">
        <v>81</v>
      </c>
      <c r="B2891" s="224" t="s">
        <v>42</v>
      </c>
      <c r="C2891" s="224" t="s">
        <v>86</v>
      </c>
      <c r="D2891" s="224" t="s">
        <v>55</v>
      </c>
      <c r="E2891" s="224" t="s">
        <v>256</v>
      </c>
      <c r="F2891" s="224" t="s">
        <v>250</v>
      </c>
      <c r="G2891" s="223" t="str">
        <f>VLOOKUP($B2891,'FRS geographical categories'!$A$2:$C$45,2,FALSE)</f>
        <v>Predominantly Rural</v>
      </c>
      <c r="H2891" s="223" t="str">
        <f>VLOOKUP($B2891,'FRS geographical categories'!$A$2:$C$45,3,FALSE)</f>
        <v>Non-metropolitan</v>
      </c>
      <c r="I2891" s="224">
        <v>0</v>
      </c>
    </row>
    <row r="2892" spans="1:9" ht="15.5" x14ac:dyDescent="0.35">
      <c r="A2892" s="224" t="s">
        <v>81</v>
      </c>
      <c r="B2892" s="224" t="s">
        <v>42</v>
      </c>
      <c r="C2892" s="224" t="s">
        <v>86</v>
      </c>
      <c r="D2892" s="224" t="s">
        <v>55</v>
      </c>
      <c r="E2892" s="224" t="s">
        <v>256</v>
      </c>
      <c r="F2892" s="224" t="s">
        <v>111</v>
      </c>
      <c r="G2892" s="223" t="str">
        <f>VLOOKUP($B2892,'FRS geographical categories'!$A$2:$C$45,2,FALSE)</f>
        <v>Predominantly Rural</v>
      </c>
      <c r="H2892" s="223" t="str">
        <f>VLOOKUP($B2892,'FRS geographical categories'!$A$2:$C$45,3,FALSE)</f>
        <v>Non-metropolitan</v>
      </c>
      <c r="I2892" s="224">
        <v>0</v>
      </c>
    </row>
    <row r="2893" spans="1:9" ht="15.5" x14ac:dyDescent="0.35">
      <c r="A2893" s="224" t="s">
        <v>81</v>
      </c>
      <c r="B2893" s="224" t="s">
        <v>42</v>
      </c>
      <c r="C2893" s="224" t="s">
        <v>86</v>
      </c>
      <c r="D2893" s="224" t="s">
        <v>55</v>
      </c>
      <c r="E2893" s="224" t="s">
        <v>256</v>
      </c>
      <c r="F2893" s="224" t="s">
        <v>10</v>
      </c>
      <c r="G2893" s="223" t="str">
        <f>VLOOKUP($B2893,'FRS geographical categories'!$A$2:$C$45,2,FALSE)</f>
        <v>Predominantly Rural</v>
      </c>
      <c r="H2893" s="223" t="str">
        <f>VLOOKUP($B2893,'FRS geographical categories'!$A$2:$C$45,3,FALSE)</f>
        <v>Non-metropolitan</v>
      </c>
      <c r="I2893" s="224">
        <v>237</v>
      </c>
    </row>
    <row r="2894" spans="1:9" ht="15.5" x14ac:dyDescent="0.35">
      <c r="A2894" s="224" t="s">
        <v>81</v>
      </c>
      <c r="B2894" s="224" t="s">
        <v>42</v>
      </c>
      <c r="C2894" s="224" t="s">
        <v>89</v>
      </c>
      <c r="D2894" s="224" t="s">
        <v>9</v>
      </c>
      <c r="E2894" s="224" t="s">
        <v>256</v>
      </c>
      <c r="F2894" s="224" t="s">
        <v>248</v>
      </c>
      <c r="G2894" s="223" t="str">
        <f>VLOOKUP($B2894,'FRS geographical categories'!$A$2:$C$45,2,FALSE)</f>
        <v>Predominantly Rural</v>
      </c>
      <c r="H2894" s="223" t="str">
        <f>VLOOKUP($B2894,'FRS geographical categories'!$A$2:$C$45,3,FALSE)</f>
        <v>Non-metropolitan</v>
      </c>
      <c r="I2894" s="224">
        <v>0</v>
      </c>
    </row>
    <row r="2895" spans="1:9" ht="15.5" x14ac:dyDescent="0.35">
      <c r="A2895" s="224" t="s">
        <v>81</v>
      </c>
      <c r="B2895" s="224" t="s">
        <v>42</v>
      </c>
      <c r="C2895" s="224" t="s">
        <v>89</v>
      </c>
      <c r="D2895" s="224" t="s">
        <v>9</v>
      </c>
      <c r="E2895" s="224" t="s">
        <v>256</v>
      </c>
      <c r="F2895" s="224" t="s">
        <v>249</v>
      </c>
      <c r="G2895" s="223" t="str">
        <f>VLOOKUP($B2895,'FRS geographical categories'!$A$2:$C$45,2,FALSE)</f>
        <v>Predominantly Rural</v>
      </c>
      <c r="H2895" s="223" t="str">
        <f>VLOOKUP($B2895,'FRS geographical categories'!$A$2:$C$45,3,FALSE)</f>
        <v>Non-metropolitan</v>
      </c>
      <c r="I2895" s="224">
        <v>0</v>
      </c>
    </row>
    <row r="2896" spans="1:9" ht="15.5" x14ac:dyDescent="0.35">
      <c r="A2896" s="224" t="s">
        <v>81</v>
      </c>
      <c r="B2896" s="224" t="s">
        <v>42</v>
      </c>
      <c r="C2896" s="224" t="s">
        <v>89</v>
      </c>
      <c r="D2896" s="224" t="s">
        <v>9</v>
      </c>
      <c r="E2896" s="224" t="s">
        <v>256</v>
      </c>
      <c r="F2896" s="224" t="s">
        <v>250</v>
      </c>
      <c r="G2896" s="223" t="str">
        <f>VLOOKUP($B2896,'FRS geographical categories'!$A$2:$C$45,2,FALSE)</f>
        <v>Predominantly Rural</v>
      </c>
      <c r="H2896" s="223" t="str">
        <f>VLOOKUP($B2896,'FRS geographical categories'!$A$2:$C$45,3,FALSE)</f>
        <v>Non-metropolitan</v>
      </c>
      <c r="I2896" s="224">
        <v>0</v>
      </c>
    </row>
    <row r="2897" spans="1:9" ht="15.5" x14ac:dyDescent="0.35">
      <c r="A2897" s="224" t="s">
        <v>81</v>
      </c>
      <c r="B2897" s="224" t="s">
        <v>42</v>
      </c>
      <c r="C2897" s="224" t="s">
        <v>89</v>
      </c>
      <c r="D2897" s="224" t="s">
        <v>9</v>
      </c>
      <c r="E2897" s="224" t="s">
        <v>256</v>
      </c>
      <c r="F2897" s="224" t="s">
        <v>10</v>
      </c>
      <c r="G2897" s="223" t="str">
        <f>VLOOKUP($B2897,'FRS geographical categories'!$A$2:$C$45,2,FALSE)</f>
        <v>Predominantly Rural</v>
      </c>
      <c r="H2897" s="223" t="str">
        <f>VLOOKUP($B2897,'FRS geographical categories'!$A$2:$C$45,3,FALSE)</f>
        <v>Non-metropolitan</v>
      </c>
      <c r="I2897" s="224">
        <v>0</v>
      </c>
    </row>
    <row r="2898" spans="1:9" ht="15.5" x14ac:dyDescent="0.35">
      <c r="A2898" s="224" t="s">
        <v>81</v>
      </c>
      <c r="B2898" s="224" t="s">
        <v>42</v>
      </c>
      <c r="C2898" s="224" t="s">
        <v>89</v>
      </c>
      <c r="D2898" s="224" t="s">
        <v>55</v>
      </c>
      <c r="E2898" s="224" t="s">
        <v>256</v>
      </c>
      <c r="F2898" s="224" t="s">
        <v>248</v>
      </c>
      <c r="G2898" s="223" t="str">
        <f>VLOOKUP($B2898,'FRS geographical categories'!$A$2:$C$45,2,FALSE)</f>
        <v>Predominantly Rural</v>
      </c>
      <c r="H2898" s="223" t="str">
        <f>VLOOKUP($B2898,'FRS geographical categories'!$A$2:$C$45,3,FALSE)</f>
        <v>Non-metropolitan</v>
      </c>
      <c r="I2898" s="224">
        <v>0</v>
      </c>
    </row>
    <row r="2899" spans="1:9" ht="15.5" x14ac:dyDescent="0.35">
      <c r="A2899" s="224" t="s">
        <v>81</v>
      </c>
      <c r="B2899" s="224" t="s">
        <v>42</v>
      </c>
      <c r="C2899" s="224" t="s">
        <v>89</v>
      </c>
      <c r="D2899" s="224" t="s">
        <v>55</v>
      </c>
      <c r="E2899" s="224" t="s">
        <v>256</v>
      </c>
      <c r="F2899" s="224" t="s">
        <v>249</v>
      </c>
      <c r="G2899" s="223" t="str">
        <f>VLOOKUP($B2899,'FRS geographical categories'!$A$2:$C$45,2,FALSE)</f>
        <v>Predominantly Rural</v>
      </c>
      <c r="H2899" s="223" t="str">
        <f>VLOOKUP($B2899,'FRS geographical categories'!$A$2:$C$45,3,FALSE)</f>
        <v>Non-metropolitan</v>
      </c>
      <c r="I2899" s="224">
        <v>0</v>
      </c>
    </row>
    <row r="2900" spans="1:9" ht="15.5" x14ac:dyDescent="0.35">
      <c r="A2900" s="224" t="s">
        <v>81</v>
      </c>
      <c r="B2900" s="224" t="s">
        <v>42</v>
      </c>
      <c r="C2900" s="224" t="s">
        <v>89</v>
      </c>
      <c r="D2900" s="224" t="s">
        <v>55</v>
      </c>
      <c r="E2900" s="224" t="s">
        <v>256</v>
      </c>
      <c r="F2900" s="224" t="s">
        <v>250</v>
      </c>
      <c r="G2900" s="223" t="str">
        <f>VLOOKUP($B2900,'FRS geographical categories'!$A$2:$C$45,2,FALSE)</f>
        <v>Predominantly Rural</v>
      </c>
      <c r="H2900" s="223" t="str">
        <f>VLOOKUP($B2900,'FRS geographical categories'!$A$2:$C$45,3,FALSE)</f>
        <v>Non-metropolitan</v>
      </c>
      <c r="I2900" s="224">
        <v>0</v>
      </c>
    </row>
    <row r="2901" spans="1:9" ht="15.5" x14ac:dyDescent="0.35">
      <c r="A2901" s="224" t="s">
        <v>81</v>
      </c>
      <c r="B2901" s="224" t="s">
        <v>42</v>
      </c>
      <c r="C2901" s="224" t="s">
        <v>89</v>
      </c>
      <c r="D2901" s="224" t="s">
        <v>55</v>
      </c>
      <c r="E2901" s="224" t="s">
        <v>256</v>
      </c>
      <c r="F2901" s="224" t="s">
        <v>10</v>
      </c>
      <c r="G2901" s="223" t="str">
        <f>VLOOKUP($B2901,'FRS geographical categories'!$A$2:$C$45,2,FALSE)</f>
        <v>Predominantly Rural</v>
      </c>
      <c r="H2901" s="223" t="str">
        <f>VLOOKUP($B2901,'FRS geographical categories'!$A$2:$C$45,3,FALSE)</f>
        <v>Non-metropolitan</v>
      </c>
      <c r="I2901" s="224">
        <v>0</v>
      </c>
    </row>
    <row r="2902" spans="1:9" ht="15.5" x14ac:dyDescent="0.35">
      <c r="A2902" s="224" t="s">
        <v>81</v>
      </c>
      <c r="B2902" s="224" t="s">
        <v>43</v>
      </c>
      <c r="C2902" s="224" t="s">
        <v>86</v>
      </c>
      <c r="D2902" s="224" t="s">
        <v>9</v>
      </c>
      <c r="E2902" s="224" t="s">
        <v>256</v>
      </c>
      <c r="F2902" s="224" t="s">
        <v>248</v>
      </c>
      <c r="G2902" s="223" t="str">
        <f>VLOOKUP($B2902,'FRS geographical categories'!$A$2:$C$45,2,FALSE)</f>
        <v>Predominantly Rural</v>
      </c>
      <c r="H2902" s="223" t="str">
        <f>VLOOKUP($B2902,'FRS geographical categories'!$A$2:$C$45,3,FALSE)</f>
        <v>Non-metropolitan</v>
      </c>
      <c r="I2902" s="224">
        <v>151</v>
      </c>
    </row>
    <row r="2903" spans="1:9" ht="15.5" x14ac:dyDescent="0.35">
      <c r="A2903" s="224" t="s">
        <v>81</v>
      </c>
      <c r="B2903" s="224" t="s">
        <v>43</v>
      </c>
      <c r="C2903" s="224" t="s">
        <v>86</v>
      </c>
      <c r="D2903" s="224" t="s">
        <v>9</v>
      </c>
      <c r="E2903" s="224" t="s">
        <v>256</v>
      </c>
      <c r="F2903" s="224" t="s">
        <v>249</v>
      </c>
      <c r="G2903" s="223" t="str">
        <f>VLOOKUP($B2903,'FRS geographical categories'!$A$2:$C$45,2,FALSE)</f>
        <v>Predominantly Rural</v>
      </c>
      <c r="H2903" s="223" t="str">
        <f>VLOOKUP($B2903,'FRS geographical categories'!$A$2:$C$45,3,FALSE)</f>
        <v>Non-metropolitan</v>
      </c>
      <c r="I2903" s="224">
        <v>834</v>
      </c>
    </row>
    <row r="2904" spans="1:9" ht="15.5" x14ac:dyDescent="0.35">
      <c r="A2904" s="224" t="s">
        <v>81</v>
      </c>
      <c r="B2904" s="224" t="s">
        <v>43</v>
      </c>
      <c r="C2904" s="224" t="s">
        <v>86</v>
      </c>
      <c r="D2904" s="224" t="s">
        <v>9</v>
      </c>
      <c r="E2904" s="224" t="s">
        <v>256</v>
      </c>
      <c r="F2904" s="224" t="s">
        <v>250</v>
      </c>
      <c r="G2904" s="223" t="str">
        <f>VLOOKUP($B2904,'FRS geographical categories'!$A$2:$C$45,2,FALSE)</f>
        <v>Predominantly Rural</v>
      </c>
      <c r="H2904" s="223" t="str">
        <f>VLOOKUP($B2904,'FRS geographical categories'!$A$2:$C$45,3,FALSE)</f>
        <v>Non-metropolitan</v>
      </c>
      <c r="I2904" s="224">
        <v>2114</v>
      </c>
    </row>
    <row r="2905" spans="1:9" ht="15.5" x14ac:dyDescent="0.35">
      <c r="A2905" s="224" t="s">
        <v>81</v>
      </c>
      <c r="B2905" s="224" t="s">
        <v>43</v>
      </c>
      <c r="C2905" s="224" t="s">
        <v>86</v>
      </c>
      <c r="D2905" s="224" t="s">
        <v>9</v>
      </c>
      <c r="E2905" s="224" t="s">
        <v>256</v>
      </c>
      <c r="F2905" s="224" t="s">
        <v>111</v>
      </c>
      <c r="G2905" s="223" t="str">
        <f>VLOOKUP($B2905,'FRS geographical categories'!$A$2:$C$45,2,FALSE)</f>
        <v>Predominantly Rural</v>
      </c>
      <c r="H2905" s="223" t="str">
        <f>VLOOKUP($B2905,'FRS geographical categories'!$A$2:$C$45,3,FALSE)</f>
        <v>Non-metropolitan</v>
      </c>
      <c r="I2905" s="224">
        <v>3887</v>
      </c>
    </row>
    <row r="2906" spans="1:9" ht="15.5" x14ac:dyDescent="0.35">
      <c r="A2906" s="224" t="s">
        <v>81</v>
      </c>
      <c r="B2906" s="224" t="s">
        <v>43</v>
      </c>
      <c r="C2906" s="224" t="s">
        <v>86</v>
      </c>
      <c r="D2906" s="224" t="s">
        <v>9</v>
      </c>
      <c r="E2906" s="224" t="s">
        <v>256</v>
      </c>
      <c r="F2906" s="224" t="s">
        <v>10</v>
      </c>
      <c r="G2906" s="223" t="str">
        <f>VLOOKUP($B2906,'FRS geographical categories'!$A$2:$C$45,2,FALSE)</f>
        <v>Predominantly Rural</v>
      </c>
      <c r="H2906" s="223" t="str">
        <f>VLOOKUP($B2906,'FRS geographical categories'!$A$2:$C$45,3,FALSE)</f>
        <v>Non-metropolitan</v>
      </c>
      <c r="I2906" s="224">
        <v>3977</v>
      </c>
    </row>
    <row r="2907" spans="1:9" ht="15.5" x14ac:dyDescent="0.35">
      <c r="A2907" s="224" t="s">
        <v>81</v>
      </c>
      <c r="B2907" s="224" t="s">
        <v>43</v>
      </c>
      <c r="C2907" s="224" t="s">
        <v>86</v>
      </c>
      <c r="D2907" s="224" t="s">
        <v>55</v>
      </c>
      <c r="E2907" s="224" t="s">
        <v>256</v>
      </c>
      <c r="F2907" s="224" t="s">
        <v>248</v>
      </c>
      <c r="G2907" s="223" t="str">
        <f>VLOOKUP($B2907,'FRS geographical categories'!$A$2:$C$45,2,FALSE)</f>
        <v>Predominantly Rural</v>
      </c>
      <c r="H2907" s="223" t="str">
        <f>VLOOKUP($B2907,'FRS geographical categories'!$A$2:$C$45,3,FALSE)</f>
        <v>Non-metropolitan</v>
      </c>
      <c r="I2907" s="224">
        <v>0</v>
      </c>
    </row>
    <row r="2908" spans="1:9" ht="15.5" x14ac:dyDescent="0.35">
      <c r="A2908" s="224" t="s">
        <v>81</v>
      </c>
      <c r="B2908" s="224" t="s">
        <v>43</v>
      </c>
      <c r="C2908" s="224" t="s">
        <v>86</v>
      </c>
      <c r="D2908" s="224" t="s">
        <v>55</v>
      </c>
      <c r="E2908" s="224" t="s">
        <v>256</v>
      </c>
      <c r="F2908" s="224" t="s">
        <v>249</v>
      </c>
      <c r="G2908" s="223" t="str">
        <f>VLOOKUP($B2908,'FRS geographical categories'!$A$2:$C$45,2,FALSE)</f>
        <v>Predominantly Rural</v>
      </c>
      <c r="H2908" s="223" t="str">
        <f>VLOOKUP($B2908,'FRS geographical categories'!$A$2:$C$45,3,FALSE)</f>
        <v>Non-metropolitan</v>
      </c>
      <c r="I2908" s="224">
        <v>0</v>
      </c>
    </row>
    <row r="2909" spans="1:9" ht="15.5" x14ac:dyDescent="0.35">
      <c r="A2909" s="224" t="s">
        <v>81</v>
      </c>
      <c r="B2909" s="224" t="s">
        <v>43</v>
      </c>
      <c r="C2909" s="224" t="s">
        <v>86</v>
      </c>
      <c r="D2909" s="224" t="s">
        <v>55</v>
      </c>
      <c r="E2909" s="224" t="s">
        <v>256</v>
      </c>
      <c r="F2909" s="224" t="s">
        <v>250</v>
      </c>
      <c r="G2909" s="223" t="str">
        <f>VLOOKUP($B2909,'FRS geographical categories'!$A$2:$C$45,2,FALSE)</f>
        <v>Predominantly Rural</v>
      </c>
      <c r="H2909" s="223" t="str">
        <f>VLOOKUP($B2909,'FRS geographical categories'!$A$2:$C$45,3,FALSE)</f>
        <v>Non-metropolitan</v>
      </c>
      <c r="I2909" s="224">
        <v>0</v>
      </c>
    </row>
    <row r="2910" spans="1:9" ht="15.5" x14ac:dyDescent="0.35">
      <c r="A2910" s="224" t="s">
        <v>81</v>
      </c>
      <c r="B2910" s="224" t="s">
        <v>43</v>
      </c>
      <c r="C2910" s="224" t="s">
        <v>86</v>
      </c>
      <c r="D2910" s="224" t="s">
        <v>55</v>
      </c>
      <c r="E2910" s="224" t="s">
        <v>256</v>
      </c>
      <c r="F2910" s="224" t="s">
        <v>111</v>
      </c>
      <c r="G2910" s="223" t="str">
        <f>VLOOKUP($B2910,'FRS geographical categories'!$A$2:$C$45,2,FALSE)</f>
        <v>Predominantly Rural</v>
      </c>
      <c r="H2910" s="223" t="str">
        <f>VLOOKUP($B2910,'FRS geographical categories'!$A$2:$C$45,3,FALSE)</f>
        <v>Non-metropolitan</v>
      </c>
      <c r="I2910" s="224">
        <v>0</v>
      </c>
    </row>
    <row r="2911" spans="1:9" ht="15.5" x14ac:dyDescent="0.35">
      <c r="A2911" s="224" t="s">
        <v>81</v>
      </c>
      <c r="B2911" s="224" t="s">
        <v>43</v>
      </c>
      <c r="C2911" s="224" t="s">
        <v>86</v>
      </c>
      <c r="D2911" s="224" t="s">
        <v>55</v>
      </c>
      <c r="E2911" s="224" t="s">
        <v>256</v>
      </c>
      <c r="F2911" s="224" t="s">
        <v>10</v>
      </c>
      <c r="G2911" s="223" t="str">
        <f>VLOOKUP($B2911,'FRS geographical categories'!$A$2:$C$45,2,FALSE)</f>
        <v>Predominantly Rural</v>
      </c>
      <c r="H2911" s="223" t="str">
        <f>VLOOKUP($B2911,'FRS geographical categories'!$A$2:$C$45,3,FALSE)</f>
        <v>Non-metropolitan</v>
      </c>
      <c r="I2911" s="224">
        <v>0</v>
      </c>
    </row>
    <row r="2912" spans="1:9" ht="15.5" x14ac:dyDescent="0.35">
      <c r="A2912" s="224" t="s">
        <v>81</v>
      </c>
      <c r="B2912" s="224" t="s">
        <v>43</v>
      </c>
      <c r="C2912" s="224" t="s">
        <v>89</v>
      </c>
      <c r="D2912" s="224" t="s">
        <v>9</v>
      </c>
      <c r="E2912" s="224" t="s">
        <v>256</v>
      </c>
      <c r="F2912" s="224" t="s">
        <v>248</v>
      </c>
      <c r="G2912" s="223" t="str">
        <f>VLOOKUP($B2912,'FRS geographical categories'!$A$2:$C$45,2,FALSE)</f>
        <v>Predominantly Rural</v>
      </c>
      <c r="H2912" s="223" t="str">
        <f>VLOOKUP($B2912,'FRS geographical categories'!$A$2:$C$45,3,FALSE)</f>
        <v>Non-metropolitan</v>
      </c>
      <c r="I2912" s="224">
        <v>0</v>
      </c>
    </row>
    <row r="2913" spans="1:9" ht="15.5" x14ac:dyDescent="0.35">
      <c r="A2913" s="224" t="s">
        <v>81</v>
      </c>
      <c r="B2913" s="224" t="s">
        <v>43</v>
      </c>
      <c r="C2913" s="224" t="s">
        <v>89</v>
      </c>
      <c r="D2913" s="224" t="s">
        <v>9</v>
      </c>
      <c r="E2913" s="224" t="s">
        <v>256</v>
      </c>
      <c r="F2913" s="224" t="s">
        <v>249</v>
      </c>
      <c r="G2913" s="223" t="str">
        <f>VLOOKUP($B2913,'FRS geographical categories'!$A$2:$C$45,2,FALSE)</f>
        <v>Predominantly Rural</v>
      </c>
      <c r="H2913" s="223" t="str">
        <f>VLOOKUP($B2913,'FRS geographical categories'!$A$2:$C$45,3,FALSE)</f>
        <v>Non-metropolitan</v>
      </c>
      <c r="I2913" s="224">
        <v>0</v>
      </c>
    </row>
    <row r="2914" spans="1:9" ht="15.5" x14ac:dyDescent="0.35">
      <c r="A2914" s="224" t="s">
        <v>81</v>
      </c>
      <c r="B2914" s="224" t="s">
        <v>43</v>
      </c>
      <c r="C2914" s="224" t="s">
        <v>89</v>
      </c>
      <c r="D2914" s="224" t="s">
        <v>9</v>
      </c>
      <c r="E2914" s="224" t="s">
        <v>256</v>
      </c>
      <c r="F2914" s="224" t="s">
        <v>250</v>
      </c>
      <c r="G2914" s="223" t="str">
        <f>VLOOKUP($B2914,'FRS geographical categories'!$A$2:$C$45,2,FALSE)</f>
        <v>Predominantly Rural</v>
      </c>
      <c r="H2914" s="223" t="str">
        <f>VLOOKUP($B2914,'FRS geographical categories'!$A$2:$C$45,3,FALSE)</f>
        <v>Non-metropolitan</v>
      </c>
      <c r="I2914" s="224">
        <v>0</v>
      </c>
    </row>
    <row r="2915" spans="1:9" ht="15.5" x14ac:dyDescent="0.35">
      <c r="A2915" s="224" t="s">
        <v>81</v>
      </c>
      <c r="B2915" s="224" t="s">
        <v>43</v>
      </c>
      <c r="C2915" s="224" t="s">
        <v>89</v>
      </c>
      <c r="D2915" s="224" t="s">
        <v>9</v>
      </c>
      <c r="E2915" s="224" t="s">
        <v>256</v>
      </c>
      <c r="F2915" s="224" t="s">
        <v>10</v>
      </c>
      <c r="G2915" s="223" t="str">
        <f>VLOOKUP($B2915,'FRS geographical categories'!$A$2:$C$45,2,FALSE)</f>
        <v>Predominantly Rural</v>
      </c>
      <c r="H2915" s="223" t="str">
        <f>VLOOKUP($B2915,'FRS geographical categories'!$A$2:$C$45,3,FALSE)</f>
        <v>Non-metropolitan</v>
      </c>
      <c r="I2915" s="224">
        <v>540</v>
      </c>
    </row>
    <row r="2916" spans="1:9" ht="15.5" x14ac:dyDescent="0.35">
      <c r="A2916" s="224" t="s">
        <v>81</v>
      </c>
      <c r="B2916" s="224" t="s">
        <v>43</v>
      </c>
      <c r="C2916" s="224" t="s">
        <v>89</v>
      </c>
      <c r="D2916" s="224" t="s">
        <v>55</v>
      </c>
      <c r="E2916" s="224" t="s">
        <v>256</v>
      </c>
      <c r="F2916" s="224" t="s">
        <v>248</v>
      </c>
      <c r="G2916" s="223" t="str">
        <f>VLOOKUP($B2916,'FRS geographical categories'!$A$2:$C$45,2,FALSE)</f>
        <v>Predominantly Rural</v>
      </c>
      <c r="H2916" s="223" t="str">
        <f>VLOOKUP($B2916,'FRS geographical categories'!$A$2:$C$45,3,FALSE)</f>
        <v>Non-metropolitan</v>
      </c>
      <c r="I2916" s="224">
        <v>0</v>
      </c>
    </row>
    <row r="2917" spans="1:9" ht="15.5" x14ac:dyDescent="0.35">
      <c r="A2917" s="224" t="s">
        <v>81</v>
      </c>
      <c r="B2917" s="224" t="s">
        <v>43</v>
      </c>
      <c r="C2917" s="224" t="s">
        <v>89</v>
      </c>
      <c r="D2917" s="224" t="s">
        <v>55</v>
      </c>
      <c r="E2917" s="224" t="s">
        <v>256</v>
      </c>
      <c r="F2917" s="224" t="s">
        <v>249</v>
      </c>
      <c r="G2917" s="223" t="str">
        <f>VLOOKUP($B2917,'FRS geographical categories'!$A$2:$C$45,2,FALSE)</f>
        <v>Predominantly Rural</v>
      </c>
      <c r="H2917" s="223" t="str">
        <f>VLOOKUP($B2917,'FRS geographical categories'!$A$2:$C$45,3,FALSE)</f>
        <v>Non-metropolitan</v>
      </c>
      <c r="I2917" s="224">
        <v>0</v>
      </c>
    </row>
    <row r="2918" spans="1:9" ht="15.5" x14ac:dyDescent="0.35">
      <c r="A2918" s="224" t="s">
        <v>81</v>
      </c>
      <c r="B2918" s="224" t="s">
        <v>43</v>
      </c>
      <c r="C2918" s="224" t="s">
        <v>89</v>
      </c>
      <c r="D2918" s="224" t="s">
        <v>55</v>
      </c>
      <c r="E2918" s="224" t="s">
        <v>256</v>
      </c>
      <c r="F2918" s="224" t="s">
        <v>250</v>
      </c>
      <c r="G2918" s="223" t="str">
        <f>VLOOKUP($B2918,'FRS geographical categories'!$A$2:$C$45,2,FALSE)</f>
        <v>Predominantly Rural</v>
      </c>
      <c r="H2918" s="223" t="str">
        <f>VLOOKUP($B2918,'FRS geographical categories'!$A$2:$C$45,3,FALSE)</f>
        <v>Non-metropolitan</v>
      </c>
      <c r="I2918" s="224">
        <v>0</v>
      </c>
    </row>
    <row r="2919" spans="1:9" ht="15.5" x14ac:dyDescent="0.35">
      <c r="A2919" s="224" t="s">
        <v>81</v>
      </c>
      <c r="B2919" s="224" t="s">
        <v>43</v>
      </c>
      <c r="C2919" s="224" t="s">
        <v>89</v>
      </c>
      <c r="D2919" s="224" t="s">
        <v>55</v>
      </c>
      <c r="E2919" s="224" t="s">
        <v>256</v>
      </c>
      <c r="F2919" s="224" t="s">
        <v>10</v>
      </c>
      <c r="G2919" s="223" t="str">
        <f>VLOOKUP($B2919,'FRS geographical categories'!$A$2:$C$45,2,FALSE)</f>
        <v>Predominantly Rural</v>
      </c>
      <c r="H2919" s="223" t="str">
        <f>VLOOKUP($B2919,'FRS geographical categories'!$A$2:$C$45,3,FALSE)</f>
        <v>Non-metropolitan</v>
      </c>
      <c r="I2919" s="224">
        <v>0</v>
      </c>
    </row>
    <row r="2920" spans="1:9" ht="15.5" x14ac:dyDescent="0.35">
      <c r="A2920" s="224" t="s">
        <v>81</v>
      </c>
      <c r="B2920" s="224" t="s">
        <v>44</v>
      </c>
      <c r="C2920" s="224" t="s">
        <v>86</v>
      </c>
      <c r="D2920" s="224" t="s">
        <v>9</v>
      </c>
      <c r="E2920" s="224" t="s">
        <v>256</v>
      </c>
      <c r="F2920" s="224" t="s">
        <v>248</v>
      </c>
      <c r="G2920" s="223" t="str">
        <f>VLOOKUP($B2920,'FRS geographical categories'!$A$2:$C$45,2,FALSE)</f>
        <v>Predominantly Urban</v>
      </c>
      <c r="H2920" s="223" t="str">
        <f>VLOOKUP($B2920,'FRS geographical categories'!$A$2:$C$45,3,FALSE)</f>
        <v>Metropolitan</v>
      </c>
      <c r="I2920" s="224">
        <v>1182</v>
      </c>
    </row>
    <row r="2921" spans="1:9" ht="15.5" x14ac:dyDescent="0.35">
      <c r="A2921" s="224" t="s">
        <v>81</v>
      </c>
      <c r="B2921" s="224" t="s">
        <v>44</v>
      </c>
      <c r="C2921" s="224" t="s">
        <v>86</v>
      </c>
      <c r="D2921" s="224" t="s">
        <v>9</v>
      </c>
      <c r="E2921" s="224" t="s">
        <v>256</v>
      </c>
      <c r="F2921" s="224" t="s">
        <v>249</v>
      </c>
      <c r="G2921" s="223" t="str">
        <f>VLOOKUP($B2921,'FRS geographical categories'!$A$2:$C$45,2,FALSE)</f>
        <v>Predominantly Urban</v>
      </c>
      <c r="H2921" s="223" t="str">
        <f>VLOOKUP($B2921,'FRS geographical categories'!$A$2:$C$45,3,FALSE)</f>
        <v>Metropolitan</v>
      </c>
      <c r="I2921" s="224">
        <v>3060</v>
      </c>
    </row>
    <row r="2922" spans="1:9" ht="15.5" x14ac:dyDescent="0.35">
      <c r="A2922" s="224" t="s">
        <v>81</v>
      </c>
      <c r="B2922" s="224" t="s">
        <v>44</v>
      </c>
      <c r="C2922" s="224" t="s">
        <v>86</v>
      </c>
      <c r="D2922" s="224" t="s">
        <v>9</v>
      </c>
      <c r="E2922" s="224" t="s">
        <v>256</v>
      </c>
      <c r="F2922" s="224" t="s">
        <v>250</v>
      </c>
      <c r="G2922" s="223" t="str">
        <f>VLOOKUP($B2922,'FRS geographical categories'!$A$2:$C$45,2,FALSE)</f>
        <v>Predominantly Urban</v>
      </c>
      <c r="H2922" s="223" t="str">
        <f>VLOOKUP($B2922,'FRS geographical categories'!$A$2:$C$45,3,FALSE)</f>
        <v>Metropolitan</v>
      </c>
      <c r="I2922" s="224">
        <v>6130</v>
      </c>
    </row>
    <row r="2923" spans="1:9" ht="15.5" x14ac:dyDescent="0.35">
      <c r="A2923" s="224" t="s">
        <v>81</v>
      </c>
      <c r="B2923" s="224" t="s">
        <v>44</v>
      </c>
      <c r="C2923" s="224" t="s">
        <v>86</v>
      </c>
      <c r="D2923" s="224" t="s">
        <v>9</v>
      </c>
      <c r="E2923" s="224" t="s">
        <v>256</v>
      </c>
      <c r="F2923" s="224" t="s">
        <v>111</v>
      </c>
      <c r="G2923" s="223" t="str">
        <f>VLOOKUP($B2923,'FRS geographical categories'!$A$2:$C$45,2,FALSE)</f>
        <v>Predominantly Urban</v>
      </c>
      <c r="H2923" s="223" t="str">
        <f>VLOOKUP($B2923,'FRS geographical categories'!$A$2:$C$45,3,FALSE)</f>
        <v>Metropolitan</v>
      </c>
      <c r="I2923" s="224">
        <v>10372</v>
      </c>
    </row>
    <row r="2924" spans="1:9" ht="15.5" x14ac:dyDescent="0.35">
      <c r="A2924" s="224" t="s">
        <v>81</v>
      </c>
      <c r="B2924" s="224" t="s">
        <v>44</v>
      </c>
      <c r="C2924" s="224" t="s">
        <v>86</v>
      </c>
      <c r="D2924" s="224" t="s">
        <v>9</v>
      </c>
      <c r="E2924" s="224" t="s">
        <v>256</v>
      </c>
      <c r="F2924" s="224" t="s">
        <v>10</v>
      </c>
      <c r="G2924" s="223" t="str">
        <f>VLOOKUP($B2924,'FRS geographical categories'!$A$2:$C$45,2,FALSE)</f>
        <v>Predominantly Urban</v>
      </c>
      <c r="H2924" s="223" t="str">
        <f>VLOOKUP($B2924,'FRS geographical categories'!$A$2:$C$45,3,FALSE)</f>
        <v>Metropolitan</v>
      </c>
      <c r="I2924" s="224">
        <v>19317</v>
      </c>
    </row>
    <row r="2925" spans="1:9" ht="15.5" x14ac:dyDescent="0.35">
      <c r="A2925" s="224" t="s">
        <v>81</v>
      </c>
      <c r="B2925" s="224" t="s">
        <v>44</v>
      </c>
      <c r="C2925" s="224" t="s">
        <v>86</v>
      </c>
      <c r="D2925" s="224" t="s">
        <v>55</v>
      </c>
      <c r="E2925" s="224" t="s">
        <v>256</v>
      </c>
      <c r="F2925" s="224" t="s">
        <v>248</v>
      </c>
      <c r="G2925" s="223" t="str">
        <f>VLOOKUP($B2925,'FRS geographical categories'!$A$2:$C$45,2,FALSE)</f>
        <v>Predominantly Urban</v>
      </c>
      <c r="H2925" s="223" t="str">
        <f>VLOOKUP($B2925,'FRS geographical categories'!$A$2:$C$45,3,FALSE)</f>
        <v>Metropolitan</v>
      </c>
      <c r="I2925" s="224">
        <v>29</v>
      </c>
    </row>
    <row r="2926" spans="1:9" ht="15.5" x14ac:dyDescent="0.35">
      <c r="A2926" s="224" t="s">
        <v>81</v>
      </c>
      <c r="B2926" s="224" t="s">
        <v>44</v>
      </c>
      <c r="C2926" s="224" t="s">
        <v>86</v>
      </c>
      <c r="D2926" s="224" t="s">
        <v>55</v>
      </c>
      <c r="E2926" s="224" t="s">
        <v>256</v>
      </c>
      <c r="F2926" s="224" t="s">
        <v>249</v>
      </c>
      <c r="G2926" s="223" t="str">
        <f>VLOOKUP($B2926,'FRS geographical categories'!$A$2:$C$45,2,FALSE)</f>
        <v>Predominantly Urban</v>
      </c>
      <c r="H2926" s="223" t="str">
        <f>VLOOKUP($B2926,'FRS geographical categories'!$A$2:$C$45,3,FALSE)</f>
        <v>Metropolitan</v>
      </c>
      <c r="I2926" s="224">
        <v>36</v>
      </c>
    </row>
    <row r="2927" spans="1:9" ht="15.5" x14ac:dyDescent="0.35">
      <c r="A2927" s="224" t="s">
        <v>81</v>
      </c>
      <c r="B2927" s="224" t="s">
        <v>44</v>
      </c>
      <c r="C2927" s="224" t="s">
        <v>86</v>
      </c>
      <c r="D2927" s="224" t="s">
        <v>55</v>
      </c>
      <c r="E2927" s="224" t="s">
        <v>256</v>
      </c>
      <c r="F2927" s="224" t="s">
        <v>250</v>
      </c>
      <c r="G2927" s="223" t="str">
        <f>VLOOKUP($B2927,'FRS geographical categories'!$A$2:$C$45,2,FALSE)</f>
        <v>Predominantly Urban</v>
      </c>
      <c r="H2927" s="223" t="str">
        <f>VLOOKUP($B2927,'FRS geographical categories'!$A$2:$C$45,3,FALSE)</f>
        <v>Metropolitan</v>
      </c>
      <c r="I2927" s="224">
        <v>124</v>
      </c>
    </row>
    <row r="2928" spans="1:9" ht="15.5" x14ac:dyDescent="0.35">
      <c r="A2928" s="224" t="s">
        <v>81</v>
      </c>
      <c r="B2928" s="224" t="s">
        <v>44</v>
      </c>
      <c r="C2928" s="224" t="s">
        <v>86</v>
      </c>
      <c r="D2928" s="224" t="s">
        <v>55</v>
      </c>
      <c r="E2928" s="224" t="s">
        <v>256</v>
      </c>
      <c r="F2928" s="224" t="s">
        <v>111</v>
      </c>
      <c r="G2928" s="223" t="str">
        <f>VLOOKUP($B2928,'FRS geographical categories'!$A$2:$C$45,2,FALSE)</f>
        <v>Predominantly Urban</v>
      </c>
      <c r="H2928" s="223" t="str">
        <f>VLOOKUP($B2928,'FRS geographical categories'!$A$2:$C$45,3,FALSE)</f>
        <v>Metropolitan</v>
      </c>
      <c r="I2928" s="224">
        <v>189</v>
      </c>
    </row>
    <row r="2929" spans="1:9" ht="15.5" x14ac:dyDescent="0.35">
      <c r="A2929" s="224" t="s">
        <v>81</v>
      </c>
      <c r="B2929" s="224" t="s">
        <v>44</v>
      </c>
      <c r="C2929" s="224" t="s">
        <v>86</v>
      </c>
      <c r="D2929" s="224" t="s">
        <v>55</v>
      </c>
      <c r="E2929" s="224" t="s">
        <v>256</v>
      </c>
      <c r="F2929" s="224" t="s">
        <v>10</v>
      </c>
      <c r="G2929" s="223" t="str">
        <f>VLOOKUP($B2929,'FRS geographical categories'!$A$2:$C$45,2,FALSE)</f>
        <v>Predominantly Urban</v>
      </c>
      <c r="H2929" s="223" t="str">
        <f>VLOOKUP($B2929,'FRS geographical categories'!$A$2:$C$45,3,FALSE)</f>
        <v>Metropolitan</v>
      </c>
      <c r="I2929" s="224">
        <v>620</v>
      </c>
    </row>
    <row r="2930" spans="1:9" ht="15.5" x14ac:dyDescent="0.35">
      <c r="A2930" s="224" t="s">
        <v>81</v>
      </c>
      <c r="B2930" s="224" t="s">
        <v>44</v>
      </c>
      <c r="C2930" s="224" t="s">
        <v>89</v>
      </c>
      <c r="D2930" s="224" t="s">
        <v>9</v>
      </c>
      <c r="E2930" s="224" t="s">
        <v>256</v>
      </c>
      <c r="F2930" s="224" t="s">
        <v>248</v>
      </c>
      <c r="G2930" s="223" t="str">
        <f>VLOOKUP($B2930,'FRS geographical categories'!$A$2:$C$45,2,FALSE)</f>
        <v>Predominantly Urban</v>
      </c>
      <c r="H2930" s="223" t="str">
        <f>VLOOKUP($B2930,'FRS geographical categories'!$A$2:$C$45,3,FALSE)</f>
        <v>Metropolitan</v>
      </c>
      <c r="I2930" s="224">
        <v>0</v>
      </c>
    </row>
    <row r="2931" spans="1:9" ht="15.5" x14ac:dyDescent="0.35">
      <c r="A2931" s="224" t="s">
        <v>81</v>
      </c>
      <c r="B2931" s="224" t="s">
        <v>44</v>
      </c>
      <c r="C2931" s="224" t="s">
        <v>89</v>
      </c>
      <c r="D2931" s="224" t="s">
        <v>9</v>
      </c>
      <c r="E2931" s="224" t="s">
        <v>256</v>
      </c>
      <c r="F2931" s="224" t="s">
        <v>249</v>
      </c>
      <c r="G2931" s="223" t="str">
        <f>VLOOKUP($B2931,'FRS geographical categories'!$A$2:$C$45,2,FALSE)</f>
        <v>Predominantly Urban</v>
      </c>
      <c r="H2931" s="223" t="str">
        <f>VLOOKUP($B2931,'FRS geographical categories'!$A$2:$C$45,3,FALSE)</f>
        <v>Metropolitan</v>
      </c>
      <c r="I2931" s="224">
        <v>0</v>
      </c>
    </row>
    <row r="2932" spans="1:9" ht="15.5" x14ac:dyDescent="0.35">
      <c r="A2932" s="224" t="s">
        <v>81</v>
      </c>
      <c r="B2932" s="224" t="s">
        <v>44</v>
      </c>
      <c r="C2932" s="224" t="s">
        <v>89</v>
      </c>
      <c r="D2932" s="224" t="s">
        <v>9</v>
      </c>
      <c r="E2932" s="224" t="s">
        <v>256</v>
      </c>
      <c r="F2932" s="224" t="s">
        <v>250</v>
      </c>
      <c r="G2932" s="223" t="str">
        <f>VLOOKUP($B2932,'FRS geographical categories'!$A$2:$C$45,2,FALSE)</f>
        <v>Predominantly Urban</v>
      </c>
      <c r="H2932" s="223" t="str">
        <f>VLOOKUP($B2932,'FRS geographical categories'!$A$2:$C$45,3,FALSE)</f>
        <v>Metropolitan</v>
      </c>
      <c r="I2932" s="224">
        <v>0</v>
      </c>
    </row>
    <row r="2933" spans="1:9" ht="15.5" x14ac:dyDescent="0.35">
      <c r="A2933" s="224" t="s">
        <v>81</v>
      </c>
      <c r="B2933" s="224" t="s">
        <v>44</v>
      </c>
      <c r="C2933" s="224" t="s">
        <v>89</v>
      </c>
      <c r="D2933" s="224" t="s">
        <v>9</v>
      </c>
      <c r="E2933" s="224" t="s">
        <v>256</v>
      </c>
      <c r="F2933" s="224" t="s">
        <v>10</v>
      </c>
      <c r="G2933" s="223" t="str">
        <f>VLOOKUP($B2933,'FRS geographical categories'!$A$2:$C$45,2,FALSE)</f>
        <v>Predominantly Urban</v>
      </c>
      <c r="H2933" s="223" t="str">
        <f>VLOOKUP($B2933,'FRS geographical categories'!$A$2:$C$45,3,FALSE)</f>
        <v>Metropolitan</v>
      </c>
      <c r="I2933" s="224">
        <v>0</v>
      </c>
    </row>
    <row r="2934" spans="1:9" ht="15.5" x14ac:dyDescent="0.35">
      <c r="A2934" s="224" t="s">
        <v>81</v>
      </c>
      <c r="B2934" s="224" t="s">
        <v>44</v>
      </c>
      <c r="C2934" s="224" t="s">
        <v>89</v>
      </c>
      <c r="D2934" s="224" t="s">
        <v>55</v>
      </c>
      <c r="E2934" s="224" t="s">
        <v>256</v>
      </c>
      <c r="F2934" s="224" t="s">
        <v>248</v>
      </c>
      <c r="G2934" s="223" t="str">
        <f>VLOOKUP($B2934,'FRS geographical categories'!$A$2:$C$45,2,FALSE)</f>
        <v>Predominantly Urban</v>
      </c>
      <c r="H2934" s="223" t="str">
        <f>VLOOKUP($B2934,'FRS geographical categories'!$A$2:$C$45,3,FALSE)</f>
        <v>Metropolitan</v>
      </c>
      <c r="I2934" s="224">
        <v>0</v>
      </c>
    </row>
    <row r="2935" spans="1:9" ht="15.5" x14ac:dyDescent="0.35">
      <c r="A2935" s="224" t="s">
        <v>81</v>
      </c>
      <c r="B2935" s="224" t="s">
        <v>44</v>
      </c>
      <c r="C2935" s="224" t="s">
        <v>89</v>
      </c>
      <c r="D2935" s="224" t="s">
        <v>55</v>
      </c>
      <c r="E2935" s="224" t="s">
        <v>256</v>
      </c>
      <c r="F2935" s="224" t="s">
        <v>249</v>
      </c>
      <c r="G2935" s="223" t="str">
        <f>VLOOKUP($B2935,'FRS geographical categories'!$A$2:$C$45,2,FALSE)</f>
        <v>Predominantly Urban</v>
      </c>
      <c r="H2935" s="223" t="str">
        <f>VLOOKUP($B2935,'FRS geographical categories'!$A$2:$C$45,3,FALSE)</f>
        <v>Metropolitan</v>
      </c>
      <c r="I2935" s="224">
        <v>0</v>
      </c>
    </row>
    <row r="2936" spans="1:9" ht="15.5" x14ac:dyDescent="0.35">
      <c r="A2936" s="224" t="s">
        <v>81</v>
      </c>
      <c r="B2936" s="224" t="s">
        <v>44</v>
      </c>
      <c r="C2936" s="224" t="s">
        <v>89</v>
      </c>
      <c r="D2936" s="224" t="s">
        <v>55</v>
      </c>
      <c r="E2936" s="224" t="s">
        <v>256</v>
      </c>
      <c r="F2936" s="224" t="s">
        <v>250</v>
      </c>
      <c r="G2936" s="223" t="str">
        <f>VLOOKUP($B2936,'FRS geographical categories'!$A$2:$C$45,2,FALSE)</f>
        <v>Predominantly Urban</v>
      </c>
      <c r="H2936" s="223" t="str">
        <f>VLOOKUP($B2936,'FRS geographical categories'!$A$2:$C$45,3,FALSE)</f>
        <v>Metropolitan</v>
      </c>
      <c r="I2936" s="224">
        <v>0</v>
      </c>
    </row>
    <row r="2937" spans="1:9" ht="15.5" x14ac:dyDescent="0.35">
      <c r="A2937" s="224" t="s">
        <v>81</v>
      </c>
      <c r="B2937" s="224" t="s">
        <v>44</v>
      </c>
      <c r="C2937" s="224" t="s">
        <v>89</v>
      </c>
      <c r="D2937" s="224" t="s">
        <v>55</v>
      </c>
      <c r="E2937" s="224" t="s">
        <v>256</v>
      </c>
      <c r="F2937" s="224" t="s">
        <v>10</v>
      </c>
      <c r="G2937" s="223" t="str">
        <f>VLOOKUP($B2937,'FRS geographical categories'!$A$2:$C$45,2,FALSE)</f>
        <v>Predominantly Urban</v>
      </c>
      <c r="H2937" s="223" t="str">
        <f>VLOOKUP($B2937,'FRS geographical categories'!$A$2:$C$45,3,FALSE)</f>
        <v>Metropolitan</v>
      </c>
      <c r="I2937" s="224">
        <v>0</v>
      </c>
    </row>
    <row r="2938" spans="1:9" ht="15.5" x14ac:dyDescent="0.35">
      <c r="A2938" s="224" t="s">
        <v>81</v>
      </c>
      <c r="B2938" s="224" t="s">
        <v>45</v>
      </c>
      <c r="C2938" s="224" t="s">
        <v>86</v>
      </c>
      <c r="D2938" s="224" t="s">
        <v>9</v>
      </c>
      <c r="E2938" s="224" t="s">
        <v>256</v>
      </c>
      <c r="F2938" s="224" t="s">
        <v>248</v>
      </c>
      <c r="G2938" s="223" t="str">
        <f>VLOOKUP($B2938,'FRS geographical categories'!$A$2:$C$45,2,FALSE)</f>
        <v>Significantly Rural</v>
      </c>
      <c r="H2938" s="223" t="str">
        <f>VLOOKUP($B2938,'FRS geographical categories'!$A$2:$C$45,3,FALSE)</f>
        <v>Non-metropolitan</v>
      </c>
      <c r="I2938" s="224">
        <v>805</v>
      </c>
    </row>
    <row r="2939" spans="1:9" ht="15.5" x14ac:dyDescent="0.35">
      <c r="A2939" s="224" t="s">
        <v>81</v>
      </c>
      <c r="B2939" s="224" t="s">
        <v>45</v>
      </c>
      <c r="C2939" s="224" t="s">
        <v>86</v>
      </c>
      <c r="D2939" s="224" t="s">
        <v>9</v>
      </c>
      <c r="E2939" s="224" t="s">
        <v>256</v>
      </c>
      <c r="F2939" s="224" t="s">
        <v>249</v>
      </c>
      <c r="G2939" s="223" t="str">
        <f>VLOOKUP($B2939,'FRS geographical categories'!$A$2:$C$45,2,FALSE)</f>
        <v>Significantly Rural</v>
      </c>
      <c r="H2939" s="223" t="str">
        <f>VLOOKUP($B2939,'FRS geographical categories'!$A$2:$C$45,3,FALSE)</f>
        <v>Non-metropolitan</v>
      </c>
      <c r="I2939" s="224">
        <v>5780</v>
      </c>
    </row>
    <row r="2940" spans="1:9" ht="15.5" x14ac:dyDescent="0.35">
      <c r="A2940" s="224" t="s">
        <v>81</v>
      </c>
      <c r="B2940" s="224" t="s">
        <v>45</v>
      </c>
      <c r="C2940" s="224" t="s">
        <v>86</v>
      </c>
      <c r="D2940" s="224" t="s">
        <v>9</v>
      </c>
      <c r="E2940" s="224" t="s">
        <v>256</v>
      </c>
      <c r="F2940" s="224" t="s">
        <v>250</v>
      </c>
      <c r="G2940" s="223" t="str">
        <f>VLOOKUP($B2940,'FRS geographical categories'!$A$2:$C$45,2,FALSE)</f>
        <v>Significantly Rural</v>
      </c>
      <c r="H2940" s="223" t="str">
        <f>VLOOKUP($B2940,'FRS geographical categories'!$A$2:$C$45,3,FALSE)</f>
        <v>Non-metropolitan</v>
      </c>
      <c r="I2940" s="224">
        <v>1423</v>
      </c>
    </row>
    <row r="2941" spans="1:9" ht="15.5" x14ac:dyDescent="0.35">
      <c r="A2941" s="224" t="s">
        <v>81</v>
      </c>
      <c r="B2941" s="224" t="s">
        <v>45</v>
      </c>
      <c r="C2941" s="224" t="s">
        <v>86</v>
      </c>
      <c r="D2941" s="224" t="s">
        <v>9</v>
      </c>
      <c r="E2941" s="224" t="s">
        <v>256</v>
      </c>
      <c r="F2941" s="224" t="s">
        <v>111</v>
      </c>
      <c r="G2941" s="223" t="str">
        <f>VLOOKUP($B2941,'FRS geographical categories'!$A$2:$C$45,2,FALSE)</f>
        <v>Significantly Rural</v>
      </c>
      <c r="H2941" s="223" t="str">
        <f>VLOOKUP($B2941,'FRS geographical categories'!$A$2:$C$45,3,FALSE)</f>
        <v>Non-metropolitan</v>
      </c>
      <c r="I2941" s="224">
        <v>7071</v>
      </c>
    </row>
    <row r="2942" spans="1:9" ht="15.5" x14ac:dyDescent="0.35">
      <c r="A2942" s="224" t="s">
        <v>81</v>
      </c>
      <c r="B2942" s="224" t="s">
        <v>45</v>
      </c>
      <c r="C2942" s="224" t="s">
        <v>86</v>
      </c>
      <c r="D2942" s="224" t="s">
        <v>9</v>
      </c>
      <c r="E2942" s="224" t="s">
        <v>256</v>
      </c>
      <c r="F2942" s="224" t="s">
        <v>10</v>
      </c>
      <c r="G2942" s="223" t="str">
        <f>VLOOKUP($B2942,'FRS geographical categories'!$A$2:$C$45,2,FALSE)</f>
        <v>Significantly Rural</v>
      </c>
      <c r="H2942" s="223" t="str">
        <f>VLOOKUP($B2942,'FRS geographical categories'!$A$2:$C$45,3,FALSE)</f>
        <v>Non-metropolitan</v>
      </c>
      <c r="I2942" s="224">
        <v>13063</v>
      </c>
    </row>
    <row r="2943" spans="1:9" ht="15.5" x14ac:dyDescent="0.35">
      <c r="A2943" s="224" t="s">
        <v>81</v>
      </c>
      <c r="B2943" s="224" t="s">
        <v>45</v>
      </c>
      <c r="C2943" s="224" t="s">
        <v>86</v>
      </c>
      <c r="D2943" s="224" t="s">
        <v>55</v>
      </c>
      <c r="E2943" s="224" t="s">
        <v>256</v>
      </c>
      <c r="F2943" s="224" t="s">
        <v>248</v>
      </c>
      <c r="G2943" s="223" t="str">
        <f>VLOOKUP($B2943,'FRS geographical categories'!$A$2:$C$45,2,FALSE)</f>
        <v>Significantly Rural</v>
      </c>
      <c r="H2943" s="223" t="str">
        <f>VLOOKUP($B2943,'FRS geographical categories'!$A$2:$C$45,3,FALSE)</f>
        <v>Non-metropolitan</v>
      </c>
      <c r="I2943" s="224">
        <v>1</v>
      </c>
    </row>
    <row r="2944" spans="1:9" ht="15.5" x14ac:dyDescent="0.35">
      <c r="A2944" s="224" t="s">
        <v>81</v>
      </c>
      <c r="B2944" s="224" t="s">
        <v>45</v>
      </c>
      <c r="C2944" s="224" t="s">
        <v>86</v>
      </c>
      <c r="D2944" s="224" t="s">
        <v>55</v>
      </c>
      <c r="E2944" s="224" t="s">
        <v>256</v>
      </c>
      <c r="F2944" s="224" t="s">
        <v>249</v>
      </c>
      <c r="G2944" s="223" t="str">
        <f>VLOOKUP($B2944,'FRS geographical categories'!$A$2:$C$45,2,FALSE)</f>
        <v>Significantly Rural</v>
      </c>
      <c r="H2944" s="223" t="str">
        <f>VLOOKUP($B2944,'FRS geographical categories'!$A$2:$C$45,3,FALSE)</f>
        <v>Non-metropolitan</v>
      </c>
      <c r="I2944" s="224">
        <v>1</v>
      </c>
    </row>
    <row r="2945" spans="1:9" ht="15.5" x14ac:dyDescent="0.35">
      <c r="A2945" s="224" t="s">
        <v>81</v>
      </c>
      <c r="B2945" s="224" t="s">
        <v>45</v>
      </c>
      <c r="C2945" s="224" t="s">
        <v>86</v>
      </c>
      <c r="D2945" s="224" t="s">
        <v>55</v>
      </c>
      <c r="E2945" s="224" t="s">
        <v>256</v>
      </c>
      <c r="F2945" s="224" t="s">
        <v>250</v>
      </c>
      <c r="G2945" s="223" t="str">
        <f>VLOOKUP($B2945,'FRS geographical categories'!$A$2:$C$45,2,FALSE)</f>
        <v>Significantly Rural</v>
      </c>
      <c r="H2945" s="223" t="str">
        <f>VLOOKUP($B2945,'FRS geographical categories'!$A$2:$C$45,3,FALSE)</f>
        <v>Non-metropolitan</v>
      </c>
      <c r="I2945" s="224">
        <v>5</v>
      </c>
    </row>
    <row r="2946" spans="1:9" ht="15.5" x14ac:dyDescent="0.35">
      <c r="A2946" s="224" t="s">
        <v>81</v>
      </c>
      <c r="B2946" s="224" t="s">
        <v>45</v>
      </c>
      <c r="C2946" s="224" t="s">
        <v>86</v>
      </c>
      <c r="D2946" s="224" t="s">
        <v>55</v>
      </c>
      <c r="E2946" s="224" t="s">
        <v>256</v>
      </c>
      <c r="F2946" s="224" t="s">
        <v>111</v>
      </c>
      <c r="G2946" s="223" t="str">
        <f>VLOOKUP($B2946,'FRS geographical categories'!$A$2:$C$45,2,FALSE)</f>
        <v>Significantly Rural</v>
      </c>
      <c r="H2946" s="223" t="str">
        <f>VLOOKUP($B2946,'FRS geographical categories'!$A$2:$C$45,3,FALSE)</f>
        <v>Non-metropolitan</v>
      </c>
      <c r="I2946" s="224">
        <v>8</v>
      </c>
    </row>
    <row r="2947" spans="1:9" ht="15.5" x14ac:dyDescent="0.35">
      <c r="A2947" s="224" t="s">
        <v>81</v>
      </c>
      <c r="B2947" s="224" t="s">
        <v>45</v>
      </c>
      <c r="C2947" s="224" t="s">
        <v>86</v>
      </c>
      <c r="D2947" s="224" t="s">
        <v>55</v>
      </c>
      <c r="E2947" s="224" t="s">
        <v>256</v>
      </c>
      <c r="F2947" s="224" t="s">
        <v>10</v>
      </c>
      <c r="G2947" s="223" t="str">
        <f>VLOOKUP($B2947,'FRS geographical categories'!$A$2:$C$45,2,FALSE)</f>
        <v>Significantly Rural</v>
      </c>
      <c r="H2947" s="223" t="str">
        <f>VLOOKUP($B2947,'FRS geographical categories'!$A$2:$C$45,3,FALSE)</f>
        <v>Non-metropolitan</v>
      </c>
      <c r="I2947" s="224">
        <v>19</v>
      </c>
    </row>
    <row r="2948" spans="1:9" ht="15.5" x14ac:dyDescent="0.35">
      <c r="A2948" s="224" t="s">
        <v>81</v>
      </c>
      <c r="B2948" s="224" t="s">
        <v>45</v>
      </c>
      <c r="C2948" s="224" t="s">
        <v>89</v>
      </c>
      <c r="D2948" s="224" t="s">
        <v>9</v>
      </c>
      <c r="E2948" s="224" t="s">
        <v>256</v>
      </c>
      <c r="F2948" s="224" t="s">
        <v>248</v>
      </c>
      <c r="G2948" s="223" t="str">
        <f>VLOOKUP($B2948,'FRS geographical categories'!$A$2:$C$45,2,FALSE)</f>
        <v>Significantly Rural</v>
      </c>
      <c r="H2948" s="223" t="str">
        <f>VLOOKUP($B2948,'FRS geographical categories'!$A$2:$C$45,3,FALSE)</f>
        <v>Non-metropolitan</v>
      </c>
      <c r="I2948" s="224">
        <v>0</v>
      </c>
    </row>
    <row r="2949" spans="1:9" ht="15.5" x14ac:dyDescent="0.35">
      <c r="A2949" s="224" t="s">
        <v>81</v>
      </c>
      <c r="B2949" s="224" t="s">
        <v>45</v>
      </c>
      <c r="C2949" s="224" t="s">
        <v>89</v>
      </c>
      <c r="D2949" s="224" t="s">
        <v>9</v>
      </c>
      <c r="E2949" s="224" t="s">
        <v>256</v>
      </c>
      <c r="F2949" s="224" t="s">
        <v>249</v>
      </c>
      <c r="G2949" s="223" t="str">
        <f>VLOOKUP($B2949,'FRS geographical categories'!$A$2:$C$45,2,FALSE)</f>
        <v>Significantly Rural</v>
      </c>
      <c r="H2949" s="223" t="str">
        <f>VLOOKUP($B2949,'FRS geographical categories'!$A$2:$C$45,3,FALSE)</f>
        <v>Non-metropolitan</v>
      </c>
      <c r="I2949" s="224">
        <v>0</v>
      </c>
    </row>
    <row r="2950" spans="1:9" ht="15.5" x14ac:dyDescent="0.35">
      <c r="A2950" s="224" t="s">
        <v>81</v>
      </c>
      <c r="B2950" s="224" t="s">
        <v>45</v>
      </c>
      <c r="C2950" s="224" t="s">
        <v>89</v>
      </c>
      <c r="D2950" s="224" t="s">
        <v>9</v>
      </c>
      <c r="E2950" s="224" t="s">
        <v>256</v>
      </c>
      <c r="F2950" s="224" t="s">
        <v>250</v>
      </c>
      <c r="G2950" s="223" t="str">
        <f>VLOOKUP($B2950,'FRS geographical categories'!$A$2:$C$45,2,FALSE)</f>
        <v>Significantly Rural</v>
      </c>
      <c r="H2950" s="223" t="str">
        <f>VLOOKUP($B2950,'FRS geographical categories'!$A$2:$C$45,3,FALSE)</f>
        <v>Non-metropolitan</v>
      </c>
      <c r="I2950" s="224">
        <v>0</v>
      </c>
    </row>
    <row r="2951" spans="1:9" ht="15.5" x14ac:dyDescent="0.35">
      <c r="A2951" s="224" t="s">
        <v>81</v>
      </c>
      <c r="B2951" s="224" t="s">
        <v>45</v>
      </c>
      <c r="C2951" s="224" t="s">
        <v>89</v>
      </c>
      <c r="D2951" s="224" t="s">
        <v>9</v>
      </c>
      <c r="E2951" s="224" t="s">
        <v>256</v>
      </c>
      <c r="F2951" s="224" t="s">
        <v>10</v>
      </c>
      <c r="G2951" s="223" t="str">
        <f>VLOOKUP($B2951,'FRS geographical categories'!$A$2:$C$45,2,FALSE)</f>
        <v>Significantly Rural</v>
      </c>
      <c r="H2951" s="223" t="str">
        <f>VLOOKUP($B2951,'FRS geographical categories'!$A$2:$C$45,3,FALSE)</f>
        <v>Non-metropolitan</v>
      </c>
      <c r="I2951" s="224">
        <v>0</v>
      </c>
    </row>
    <row r="2952" spans="1:9" ht="15.5" x14ac:dyDescent="0.35">
      <c r="A2952" s="224" t="s">
        <v>81</v>
      </c>
      <c r="B2952" s="224" t="s">
        <v>45</v>
      </c>
      <c r="C2952" s="224" t="s">
        <v>89</v>
      </c>
      <c r="D2952" s="224" t="s">
        <v>55</v>
      </c>
      <c r="E2952" s="224" t="s">
        <v>256</v>
      </c>
      <c r="F2952" s="224" t="s">
        <v>248</v>
      </c>
      <c r="G2952" s="223" t="str">
        <f>VLOOKUP($B2952,'FRS geographical categories'!$A$2:$C$45,2,FALSE)</f>
        <v>Significantly Rural</v>
      </c>
      <c r="H2952" s="223" t="str">
        <f>VLOOKUP($B2952,'FRS geographical categories'!$A$2:$C$45,3,FALSE)</f>
        <v>Non-metropolitan</v>
      </c>
      <c r="I2952" s="224">
        <v>0</v>
      </c>
    </row>
    <row r="2953" spans="1:9" ht="15.5" x14ac:dyDescent="0.35">
      <c r="A2953" s="224" t="s">
        <v>81</v>
      </c>
      <c r="B2953" s="224" t="s">
        <v>45</v>
      </c>
      <c r="C2953" s="224" t="s">
        <v>89</v>
      </c>
      <c r="D2953" s="224" t="s">
        <v>55</v>
      </c>
      <c r="E2953" s="224" t="s">
        <v>256</v>
      </c>
      <c r="F2953" s="224" t="s">
        <v>249</v>
      </c>
      <c r="G2953" s="223" t="str">
        <f>VLOOKUP($B2953,'FRS geographical categories'!$A$2:$C$45,2,FALSE)</f>
        <v>Significantly Rural</v>
      </c>
      <c r="H2953" s="223" t="str">
        <f>VLOOKUP($B2953,'FRS geographical categories'!$A$2:$C$45,3,FALSE)</f>
        <v>Non-metropolitan</v>
      </c>
      <c r="I2953" s="224">
        <v>0</v>
      </c>
    </row>
    <row r="2954" spans="1:9" ht="15.5" x14ac:dyDescent="0.35">
      <c r="A2954" s="224" t="s">
        <v>81</v>
      </c>
      <c r="B2954" s="224" t="s">
        <v>45</v>
      </c>
      <c r="C2954" s="224" t="s">
        <v>89</v>
      </c>
      <c r="D2954" s="224" t="s">
        <v>55</v>
      </c>
      <c r="E2954" s="224" t="s">
        <v>256</v>
      </c>
      <c r="F2954" s="224" t="s">
        <v>250</v>
      </c>
      <c r="G2954" s="223" t="str">
        <f>VLOOKUP($B2954,'FRS geographical categories'!$A$2:$C$45,2,FALSE)</f>
        <v>Significantly Rural</v>
      </c>
      <c r="H2954" s="223" t="str">
        <f>VLOOKUP($B2954,'FRS geographical categories'!$A$2:$C$45,3,FALSE)</f>
        <v>Non-metropolitan</v>
      </c>
      <c r="I2954" s="224">
        <v>0</v>
      </c>
    </row>
    <row r="2955" spans="1:9" ht="15.5" x14ac:dyDescent="0.35">
      <c r="A2955" s="224" t="s">
        <v>81</v>
      </c>
      <c r="B2955" s="224" t="s">
        <v>45</v>
      </c>
      <c r="C2955" s="224" t="s">
        <v>89</v>
      </c>
      <c r="D2955" s="224" t="s">
        <v>55</v>
      </c>
      <c r="E2955" s="224" t="s">
        <v>256</v>
      </c>
      <c r="F2955" s="224" t="s">
        <v>10</v>
      </c>
      <c r="G2955" s="223" t="str">
        <f>VLOOKUP($B2955,'FRS geographical categories'!$A$2:$C$45,2,FALSE)</f>
        <v>Significantly Rural</v>
      </c>
      <c r="H2955" s="223" t="str">
        <f>VLOOKUP($B2955,'FRS geographical categories'!$A$2:$C$45,3,FALSE)</f>
        <v>Non-metropolitan</v>
      </c>
      <c r="I2955" s="224">
        <v>0</v>
      </c>
    </row>
    <row r="2956" spans="1:9" ht="15.5" x14ac:dyDescent="0.35">
      <c r="A2956" s="224" t="s">
        <v>81</v>
      </c>
      <c r="B2956" s="224" t="s">
        <v>46</v>
      </c>
      <c r="C2956" s="224" t="s">
        <v>86</v>
      </c>
      <c r="D2956" s="224" t="s">
        <v>9</v>
      </c>
      <c r="E2956" s="224" t="s">
        <v>256</v>
      </c>
      <c r="F2956" s="224" t="s">
        <v>248</v>
      </c>
      <c r="G2956" s="223" t="str">
        <f>VLOOKUP($B2956,'FRS geographical categories'!$A$2:$C$45,2,FALSE)</f>
        <v>Predominantly Rural</v>
      </c>
      <c r="H2956" s="223" t="str">
        <f>VLOOKUP($B2956,'FRS geographical categories'!$A$2:$C$45,3,FALSE)</f>
        <v>Non-metropolitan</v>
      </c>
      <c r="I2956" s="224">
        <v>177</v>
      </c>
    </row>
    <row r="2957" spans="1:9" ht="15.5" x14ac:dyDescent="0.35">
      <c r="A2957" s="224" t="s">
        <v>81</v>
      </c>
      <c r="B2957" s="224" t="s">
        <v>46</v>
      </c>
      <c r="C2957" s="224" t="s">
        <v>86</v>
      </c>
      <c r="D2957" s="224" t="s">
        <v>9</v>
      </c>
      <c r="E2957" s="224" t="s">
        <v>256</v>
      </c>
      <c r="F2957" s="224" t="s">
        <v>249</v>
      </c>
      <c r="G2957" s="223" t="str">
        <f>VLOOKUP($B2957,'FRS geographical categories'!$A$2:$C$45,2,FALSE)</f>
        <v>Predominantly Rural</v>
      </c>
      <c r="H2957" s="223" t="str">
        <f>VLOOKUP($B2957,'FRS geographical categories'!$A$2:$C$45,3,FALSE)</f>
        <v>Non-metropolitan</v>
      </c>
      <c r="I2957" s="224">
        <v>924</v>
      </c>
    </row>
    <row r="2958" spans="1:9" ht="15.5" x14ac:dyDescent="0.35">
      <c r="A2958" s="224" t="s">
        <v>81</v>
      </c>
      <c r="B2958" s="224" t="s">
        <v>46</v>
      </c>
      <c r="C2958" s="224" t="s">
        <v>86</v>
      </c>
      <c r="D2958" s="224" t="s">
        <v>9</v>
      </c>
      <c r="E2958" s="224" t="s">
        <v>256</v>
      </c>
      <c r="F2958" s="224" t="s">
        <v>250</v>
      </c>
      <c r="G2958" s="223" t="str">
        <f>VLOOKUP($B2958,'FRS geographical categories'!$A$2:$C$45,2,FALSE)</f>
        <v>Predominantly Rural</v>
      </c>
      <c r="H2958" s="223" t="str">
        <f>VLOOKUP($B2958,'FRS geographical categories'!$A$2:$C$45,3,FALSE)</f>
        <v>Non-metropolitan</v>
      </c>
      <c r="I2958" s="224">
        <v>405</v>
      </c>
    </row>
    <row r="2959" spans="1:9" ht="15.5" x14ac:dyDescent="0.35">
      <c r="A2959" s="224" t="s">
        <v>81</v>
      </c>
      <c r="B2959" s="224" t="s">
        <v>46</v>
      </c>
      <c r="C2959" s="224" t="s">
        <v>86</v>
      </c>
      <c r="D2959" s="224" t="s">
        <v>9</v>
      </c>
      <c r="E2959" s="224" t="s">
        <v>256</v>
      </c>
      <c r="F2959" s="224" t="s">
        <v>111</v>
      </c>
      <c r="G2959" s="223" t="str">
        <f>VLOOKUP($B2959,'FRS geographical categories'!$A$2:$C$45,2,FALSE)</f>
        <v>Predominantly Rural</v>
      </c>
      <c r="H2959" s="223" t="str">
        <f>VLOOKUP($B2959,'FRS geographical categories'!$A$2:$C$45,3,FALSE)</f>
        <v>Non-metropolitan</v>
      </c>
      <c r="I2959" s="224">
        <v>1506</v>
      </c>
    </row>
    <row r="2960" spans="1:9" ht="15.5" x14ac:dyDescent="0.35">
      <c r="A2960" s="224" t="s">
        <v>81</v>
      </c>
      <c r="B2960" s="224" t="s">
        <v>46</v>
      </c>
      <c r="C2960" s="224" t="s">
        <v>86</v>
      </c>
      <c r="D2960" s="224" t="s">
        <v>9</v>
      </c>
      <c r="E2960" s="224" t="s">
        <v>256</v>
      </c>
      <c r="F2960" s="224" t="s">
        <v>10</v>
      </c>
      <c r="G2960" s="223" t="str">
        <f>VLOOKUP($B2960,'FRS geographical categories'!$A$2:$C$45,2,FALSE)</f>
        <v>Predominantly Rural</v>
      </c>
      <c r="H2960" s="223" t="str">
        <f>VLOOKUP($B2960,'FRS geographical categories'!$A$2:$C$45,3,FALSE)</f>
        <v>Non-metropolitan</v>
      </c>
      <c r="I2960" s="224">
        <v>2826</v>
      </c>
    </row>
    <row r="2961" spans="1:9" ht="15.5" x14ac:dyDescent="0.35">
      <c r="A2961" s="224" t="s">
        <v>81</v>
      </c>
      <c r="B2961" s="224" t="s">
        <v>46</v>
      </c>
      <c r="C2961" s="224" t="s">
        <v>86</v>
      </c>
      <c r="D2961" s="224" t="s">
        <v>55</v>
      </c>
      <c r="E2961" s="224" t="s">
        <v>256</v>
      </c>
      <c r="F2961" s="224" t="s">
        <v>248</v>
      </c>
      <c r="G2961" s="223" t="str">
        <f>VLOOKUP($B2961,'FRS geographical categories'!$A$2:$C$45,2,FALSE)</f>
        <v>Predominantly Rural</v>
      </c>
      <c r="H2961" s="223" t="str">
        <f>VLOOKUP($B2961,'FRS geographical categories'!$A$2:$C$45,3,FALSE)</f>
        <v>Non-metropolitan</v>
      </c>
      <c r="I2961" s="224">
        <v>0</v>
      </c>
    </row>
    <row r="2962" spans="1:9" ht="15.5" x14ac:dyDescent="0.35">
      <c r="A2962" s="224" t="s">
        <v>81</v>
      </c>
      <c r="B2962" s="224" t="s">
        <v>46</v>
      </c>
      <c r="C2962" s="224" t="s">
        <v>86</v>
      </c>
      <c r="D2962" s="224" t="s">
        <v>55</v>
      </c>
      <c r="E2962" s="224" t="s">
        <v>256</v>
      </c>
      <c r="F2962" s="224" t="s">
        <v>249</v>
      </c>
      <c r="G2962" s="223" t="str">
        <f>VLOOKUP($B2962,'FRS geographical categories'!$A$2:$C$45,2,FALSE)</f>
        <v>Predominantly Rural</v>
      </c>
      <c r="H2962" s="223" t="str">
        <f>VLOOKUP($B2962,'FRS geographical categories'!$A$2:$C$45,3,FALSE)</f>
        <v>Non-metropolitan</v>
      </c>
      <c r="I2962" s="224">
        <v>0</v>
      </c>
    </row>
    <row r="2963" spans="1:9" ht="15.5" x14ac:dyDescent="0.35">
      <c r="A2963" s="224" t="s">
        <v>81</v>
      </c>
      <c r="B2963" s="224" t="s">
        <v>46</v>
      </c>
      <c r="C2963" s="224" t="s">
        <v>86</v>
      </c>
      <c r="D2963" s="224" t="s">
        <v>55</v>
      </c>
      <c r="E2963" s="224" t="s">
        <v>256</v>
      </c>
      <c r="F2963" s="224" t="s">
        <v>250</v>
      </c>
      <c r="G2963" s="223" t="str">
        <f>VLOOKUP($B2963,'FRS geographical categories'!$A$2:$C$45,2,FALSE)</f>
        <v>Predominantly Rural</v>
      </c>
      <c r="H2963" s="223" t="str">
        <f>VLOOKUP($B2963,'FRS geographical categories'!$A$2:$C$45,3,FALSE)</f>
        <v>Non-metropolitan</v>
      </c>
      <c r="I2963" s="224">
        <v>0</v>
      </c>
    </row>
    <row r="2964" spans="1:9" ht="15.5" x14ac:dyDescent="0.35">
      <c r="A2964" s="224" t="s">
        <v>81</v>
      </c>
      <c r="B2964" s="224" t="s">
        <v>46</v>
      </c>
      <c r="C2964" s="224" t="s">
        <v>86</v>
      </c>
      <c r="D2964" s="224" t="s">
        <v>55</v>
      </c>
      <c r="E2964" s="224" t="s">
        <v>256</v>
      </c>
      <c r="F2964" s="224" t="s">
        <v>111</v>
      </c>
      <c r="G2964" s="223" t="str">
        <f>VLOOKUP($B2964,'FRS geographical categories'!$A$2:$C$45,2,FALSE)</f>
        <v>Predominantly Rural</v>
      </c>
      <c r="H2964" s="223" t="str">
        <f>VLOOKUP($B2964,'FRS geographical categories'!$A$2:$C$45,3,FALSE)</f>
        <v>Non-metropolitan</v>
      </c>
      <c r="I2964" s="224">
        <v>0</v>
      </c>
    </row>
    <row r="2965" spans="1:9" ht="15.5" x14ac:dyDescent="0.35">
      <c r="A2965" s="224" t="s">
        <v>81</v>
      </c>
      <c r="B2965" s="224" t="s">
        <v>46</v>
      </c>
      <c r="C2965" s="224" t="s">
        <v>86</v>
      </c>
      <c r="D2965" s="224" t="s">
        <v>55</v>
      </c>
      <c r="E2965" s="224" t="s">
        <v>256</v>
      </c>
      <c r="F2965" s="224" t="s">
        <v>10</v>
      </c>
      <c r="G2965" s="223" t="str">
        <f>VLOOKUP($B2965,'FRS geographical categories'!$A$2:$C$45,2,FALSE)</f>
        <v>Predominantly Rural</v>
      </c>
      <c r="H2965" s="223" t="str">
        <f>VLOOKUP($B2965,'FRS geographical categories'!$A$2:$C$45,3,FALSE)</f>
        <v>Non-metropolitan</v>
      </c>
      <c r="I2965" s="224">
        <v>0</v>
      </c>
    </row>
    <row r="2966" spans="1:9" ht="15.5" x14ac:dyDescent="0.35">
      <c r="A2966" s="224" t="s">
        <v>81</v>
      </c>
      <c r="B2966" s="224" t="s">
        <v>46</v>
      </c>
      <c r="C2966" s="224" t="s">
        <v>89</v>
      </c>
      <c r="D2966" s="224" t="s">
        <v>9</v>
      </c>
      <c r="E2966" s="224" t="s">
        <v>256</v>
      </c>
      <c r="F2966" s="224" t="s">
        <v>248</v>
      </c>
      <c r="G2966" s="223" t="str">
        <f>VLOOKUP($B2966,'FRS geographical categories'!$A$2:$C$45,2,FALSE)</f>
        <v>Predominantly Rural</v>
      </c>
      <c r="H2966" s="223" t="str">
        <f>VLOOKUP($B2966,'FRS geographical categories'!$A$2:$C$45,3,FALSE)</f>
        <v>Non-metropolitan</v>
      </c>
      <c r="I2966" s="224">
        <v>0</v>
      </c>
    </row>
    <row r="2967" spans="1:9" ht="15.5" x14ac:dyDescent="0.35">
      <c r="A2967" s="224" t="s">
        <v>81</v>
      </c>
      <c r="B2967" s="224" t="s">
        <v>46</v>
      </c>
      <c r="C2967" s="224" t="s">
        <v>89</v>
      </c>
      <c r="D2967" s="224" t="s">
        <v>9</v>
      </c>
      <c r="E2967" s="224" t="s">
        <v>256</v>
      </c>
      <c r="F2967" s="224" t="s">
        <v>249</v>
      </c>
      <c r="G2967" s="223" t="str">
        <f>VLOOKUP($B2967,'FRS geographical categories'!$A$2:$C$45,2,FALSE)</f>
        <v>Predominantly Rural</v>
      </c>
      <c r="H2967" s="223" t="str">
        <f>VLOOKUP($B2967,'FRS geographical categories'!$A$2:$C$45,3,FALSE)</f>
        <v>Non-metropolitan</v>
      </c>
      <c r="I2967" s="224">
        <v>0</v>
      </c>
    </row>
    <row r="2968" spans="1:9" ht="15.5" x14ac:dyDescent="0.35">
      <c r="A2968" s="224" t="s">
        <v>81</v>
      </c>
      <c r="B2968" s="224" t="s">
        <v>46</v>
      </c>
      <c r="C2968" s="224" t="s">
        <v>89</v>
      </c>
      <c r="D2968" s="224" t="s">
        <v>9</v>
      </c>
      <c r="E2968" s="224" t="s">
        <v>256</v>
      </c>
      <c r="F2968" s="224" t="s">
        <v>250</v>
      </c>
      <c r="G2968" s="223" t="str">
        <f>VLOOKUP($B2968,'FRS geographical categories'!$A$2:$C$45,2,FALSE)</f>
        <v>Predominantly Rural</v>
      </c>
      <c r="H2968" s="223" t="str">
        <f>VLOOKUP($B2968,'FRS geographical categories'!$A$2:$C$45,3,FALSE)</f>
        <v>Non-metropolitan</v>
      </c>
      <c r="I2968" s="224">
        <v>0</v>
      </c>
    </row>
    <row r="2969" spans="1:9" ht="15.5" x14ac:dyDescent="0.35">
      <c r="A2969" s="224" t="s">
        <v>81</v>
      </c>
      <c r="B2969" s="224" t="s">
        <v>46</v>
      </c>
      <c r="C2969" s="224" t="s">
        <v>89</v>
      </c>
      <c r="D2969" s="224" t="s">
        <v>9</v>
      </c>
      <c r="E2969" s="224" t="s">
        <v>256</v>
      </c>
      <c r="F2969" s="224" t="s">
        <v>10</v>
      </c>
      <c r="G2969" s="223" t="str">
        <f>VLOOKUP($B2969,'FRS geographical categories'!$A$2:$C$45,2,FALSE)</f>
        <v>Predominantly Rural</v>
      </c>
      <c r="H2969" s="223" t="str">
        <f>VLOOKUP($B2969,'FRS geographical categories'!$A$2:$C$45,3,FALSE)</f>
        <v>Non-metropolitan</v>
      </c>
      <c r="I2969" s="224">
        <v>0</v>
      </c>
    </row>
    <row r="2970" spans="1:9" ht="15.5" x14ac:dyDescent="0.35">
      <c r="A2970" s="224" t="s">
        <v>81</v>
      </c>
      <c r="B2970" s="224" t="s">
        <v>46</v>
      </c>
      <c r="C2970" s="224" t="s">
        <v>89</v>
      </c>
      <c r="D2970" s="224" t="s">
        <v>55</v>
      </c>
      <c r="E2970" s="224" t="s">
        <v>256</v>
      </c>
      <c r="F2970" s="224" t="s">
        <v>248</v>
      </c>
      <c r="G2970" s="223" t="str">
        <f>VLOOKUP($B2970,'FRS geographical categories'!$A$2:$C$45,2,FALSE)</f>
        <v>Predominantly Rural</v>
      </c>
      <c r="H2970" s="223" t="str">
        <f>VLOOKUP($B2970,'FRS geographical categories'!$A$2:$C$45,3,FALSE)</f>
        <v>Non-metropolitan</v>
      </c>
      <c r="I2970" s="224">
        <v>0</v>
      </c>
    </row>
    <row r="2971" spans="1:9" ht="15.5" x14ac:dyDescent="0.35">
      <c r="A2971" s="224" t="s">
        <v>81</v>
      </c>
      <c r="B2971" s="224" t="s">
        <v>46</v>
      </c>
      <c r="C2971" s="224" t="s">
        <v>89</v>
      </c>
      <c r="D2971" s="224" t="s">
        <v>55</v>
      </c>
      <c r="E2971" s="224" t="s">
        <v>256</v>
      </c>
      <c r="F2971" s="224" t="s">
        <v>249</v>
      </c>
      <c r="G2971" s="223" t="str">
        <f>VLOOKUP($B2971,'FRS geographical categories'!$A$2:$C$45,2,FALSE)</f>
        <v>Predominantly Rural</v>
      </c>
      <c r="H2971" s="223" t="str">
        <f>VLOOKUP($B2971,'FRS geographical categories'!$A$2:$C$45,3,FALSE)</f>
        <v>Non-metropolitan</v>
      </c>
      <c r="I2971" s="224">
        <v>0</v>
      </c>
    </row>
    <row r="2972" spans="1:9" ht="15.5" x14ac:dyDescent="0.35">
      <c r="A2972" s="224" t="s">
        <v>81</v>
      </c>
      <c r="B2972" s="224" t="s">
        <v>46</v>
      </c>
      <c r="C2972" s="224" t="s">
        <v>89</v>
      </c>
      <c r="D2972" s="224" t="s">
        <v>55</v>
      </c>
      <c r="E2972" s="224" t="s">
        <v>256</v>
      </c>
      <c r="F2972" s="224" t="s">
        <v>250</v>
      </c>
      <c r="G2972" s="223" t="str">
        <f>VLOOKUP($B2972,'FRS geographical categories'!$A$2:$C$45,2,FALSE)</f>
        <v>Predominantly Rural</v>
      </c>
      <c r="H2972" s="223" t="str">
        <f>VLOOKUP($B2972,'FRS geographical categories'!$A$2:$C$45,3,FALSE)</f>
        <v>Non-metropolitan</v>
      </c>
      <c r="I2972" s="224">
        <v>0</v>
      </c>
    </row>
    <row r="2973" spans="1:9" ht="15.5" x14ac:dyDescent="0.35">
      <c r="A2973" s="224" t="s">
        <v>81</v>
      </c>
      <c r="B2973" s="224" t="s">
        <v>46</v>
      </c>
      <c r="C2973" s="224" t="s">
        <v>89</v>
      </c>
      <c r="D2973" s="224" t="s">
        <v>55</v>
      </c>
      <c r="E2973" s="224" t="s">
        <v>256</v>
      </c>
      <c r="F2973" s="224" t="s">
        <v>10</v>
      </c>
      <c r="G2973" s="223" t="str">
        <f>VLOOKUP($B2973,'FRS geographical categories'!$A$2:$C$45,2,FALSE)</f>
        <v>Predominantly Rural</v>
      </c>
      <c r="H2973" s="223" t="str">
        <f>VLOOKUP($B2973,'FRS geographical categories'!$A$2:$C$45,3,FALSE)</f>
        <v>Non-metropolitan</v>
      </c>
      <c r="I2973" s="224">
        <v>0</v>
      </c>
    </row>
    <row r="2974" spans="1:9" ht="15.5" x14ac:dyDescent="0.35">
      <c r="A2974" s="224" t="s">
        <v>81</v>
      </c>
      <c r="B2974" s="224" t="s">
        <v>47</v>
      </c>
      <c r="C2974" s="224" t="s">
        <v>86</v>
      </c>
      <c r="D2974" s="224" t="s">
        <v>9</v>
      </c>
      <c r="E2974" s="224" t="s">
        <v>256</v>
      </c>
      <c r="F2974" s="224" t="s">
        <v>248</v>
      </c>
      <c r="G2974" s="223" t="str">
        <f>VLOOKUP($B2974,'FRS geographical categories'!$A$2:$C$45,2,FALSE)</f>
        <v>Predominantly Urban</v>
      </c>
      <c r="H2974" s="223" t="str">
        <f>VLOOKUP($B2974,'FRS geographical categories'!$A$2:$C$45,3,FALSE)</f>
        <v>Non-metropolitan</v>
      </c>
      <c r="I2974" s="224">
        <v>363</v>
      </c>
    </row>
    <row r="2975" spans="1:9" ht="15.5" x14ac:dyDescent="0.35">
      <c r="A2975" s="224" t="s">
        <v>81</v>
      </c>
      <c r="B2975" s="224" t="s">
        <v>47</v>
      </c>
      <c r="C2975" s="224" t="s">
        <v>86</v>
      </c>
      <c r="D2975" s="224" t="s">
        <v>9</v>
      </c>
      <c r="E2975" s="224" t="s">
        <v>256</v>
      </c>
      <c r="F2975" s="224" t="s">
        <v>249</v>
      </c>
      <c r="G2975" s="223" t="str">
        <f>VLOOKUP($B2975,'FRS geographical categories'!$A$2:$C$45,2,FALSE)</f>
        <v>Predominantly Urban</v>
      </c>
      <c r="H2975" s="223" t="str">
        <f>VLOOKUP($B2975,'FRS geographical categories'!$A$2:$C$45,3,FALSE)</f>
        <v>Non-metropolitan</v>
      </c>
      <c r="I2975" s="224">
        <v>1859</v>
      </c>
    </row>
    <row r="2976" spans="1:9" ht="15.5" x14ac:dyDescent="0.35">
      <c r="A2976" s="224" t="s">
        <v>81</v>
      </c>
      <c r="B2976" s="224" t="s">
        <v>47</v>
      </c>
      <c r="C2976" s="224" t="s">
        <v>86</v>
      </c>
      <c r="D2976" s="224" t="s">
        <v>9</v>
      </c>
      <c r="E2976" s="224" t="s">
        <v>256</v>
      </c>
      <c r="F2976" s="224" t="s">
        <v>250</v>
      </c>
      <c r="G2976" s="223" t="str">
        <f>VLOOKUP($B2976,'FRS geographical categories'!$A$2:$C$45,2,FALSE)</f>
        <v>Predominantly Urban</v>
      </c>
      <c r="H2976" s="223" t="str">
        <f>VLOOKUP($B2976,'FRS geographical categories'!$A$2:$C$45,3,FALSE)</f>
        <v>Non-metropolitan</v>
      </c>
      <c r="I2976" s="224">
        <v>1095</v>
      </c>
    </row>
    <row r="2977" spans="1:9" ht="15.5" x14ac:dyDescent="0.35">
      <c r="A2977" s="224" t="s">
        <v>81</v>
      </c>
      <c r="B2977" s="224" t="s">
        <v>47</v>
      </c>
      <c r="C2977" s="224" t="s">
        <v>86</v>
      </c>
      <c r="D2977" s="224" t="s">
        <v>9</v>
      </c>
      <c r="E2977" s="224" t="s">
        <v>256</v>
      </c>
      <c r="F2977" s="224" t="s">
        <v>111</v>
      </c>
      <c r="G2977" s="223" t="str">
        <f>VLOOKUP($B2977,'FRS geographical categories'!$A$2:$C$45,2,FALSE)</f>
        <v>Predominantly Urban</v>
      </c>
      <c r="H2977" s="223" t="str">
        <f>VLOOKUP($B2977,'FRS geographical categories'!$A$2:$C$45,3,FALSE)</f>
        <v>Non-metropolitan</v>
      </c>
      <c r="I2977" s="224">
        <v>3742</v>
      </c>
    </row>
    <row r="2978" spans="1:9" ht="15.5" x14ac:dyDescent="0.35">
      <c r="A2978" s="224" t="s">
        <v>81</v>
      </c>
      <c r="B2978" s="224" t="s">
        <v>47</v>
      </c>
      <c r="C2978" s="224" t="s">
        <v>86</v>
      </c>
      <c r="D2978" s="224" t="s">
        <v>9</v>
      </c>
      <c r="E2978" s="224" t="s">
        <v>256</v>
      </c>
      <c r="F2978" s="224" t="s">
        <v>10</v>
      </c>
      <c r="G2978" s="223" t="str">
        <f>VLOOKUP($B2978,'FRS geographical categories'!$A$2:$C$45,2,FALSE)</f>
        <v>Predominantly Urban</v>
      </c>
      <c r="H2978" s="223" t="str">
        <f>VLOOKUP($B2978,'FRS geographical categories'!$A$2:$C$45,3,FALSE)</f>
        <v>Non-metropolitan</v>
      </c>
      <c r="I2978" s="224">
        <v>4034</v>
      </c>
    </row>
    <row r="2979" spans="1:9" ht="15.5" x14ac:dyDescent="0.35">
      <c r="A2979" s="224" t="s">
        <v>81</v>
      </c>
      <c r="B2979" s="224" t="s">
        <v>47</v>
      </c>
      <c r="C2979" s="224" t="s">
        <v>86</v>
      </c>
      <c r="D2979" s="224" t="s">
        <v>55</v>
      </c>
      <c r="E2979" s="224" t="s">
        <v>256</v>
      </c>
      <c r="F2979" s="224" t="s">
        <v>248</v>
      </c>
      <c r="G2979" s="223" t="str">
        <f>VLOOKUP($B2979,'FRS geographical categories'!$A$2:$C$45,2,FALSE)</f>
        <v>Predominantly Urban</v>
      </c>
      <c r="H2979" s="223" t="str">
        <f>VLOOKUP($B2979,'FRS geographical categories'!$A$2:$C$45,3,FALSE)</f>
        <v>Non-metropolitan</v>
      </c>
      <c r="I2979" s="224">
        <v>0</v>
      </c>
    </row>
    <row r="2980" spans="1:9" ht="15.5" x14ac:dyDescent="0.35">
      <c r="A2980" s="224" t="s">
        <v>81</v>
      </c>
      <c r="B2980" s="224" t="s">
        <v>47</v>
      </c>
      <c r="C2980" s="224" t="s">
        <v>86</v>
      </c>
      <c r="D2980" s="224" t="s">
        <v>55</v>
      </c>
      <c r="E2980" s="224" t="s">
        <v>256</v>
      </c>
      <c r="F2980" s="224" t="s">
        <v>249</v>
      </c>
      <c r="G2980" s="223" t="str">
        <f>VLOOKUP($B2980,'FRS geographical categories'!$A$2:$C$45,2,FALSE)</f>
        <v>Predominantly Urban</v>
      </c>
      <c r="H2980" s="223" t="str">
        <f>VLOOKUP($B2980,'FRS geographical categories'!$A$2:$C$45,3,FALSE)</f>
        <v>Non-metropolitan</v>
      </c>
      <c r="I2980" s="224">
        <v>1</v>
      </c>
    </row>
    <row r="2981" spans="1:9" ht="15.5" x14ac:dyDescent="0.35">
      <c r="A2981" s="224" t="s">
        <v>81</v>
      </c>
      <c r="B2981" s="224" t="s">
        <v>47</v>
      </c>
      <c r="C2981" s="224" t="s">
        <v>86</v>
      </c>
      <c r="D2981" s="224" t="s">
        <v>55</v>
      </c>
      <c r="E2981" s="224" t="s">
        <v>256</v>
      </c>
      <c r="F2981" s="224" t="s">
        <v>250</v>
      </c>
      <c r="G2981" s="223" t="str">
        <f>VLOOKUP($B2981,'FRS geographical categories'!$A$2:$C$45,2,FALSE)</f>
        <v>Predominantly Urban</v>
      </c>
      <c r="H2981" s="223" t="str">
        <f>VLOOKUP($B2981,'FRS geographical categories'!$A$2:$C$45,3,FALSE)</f>
        <v>Non-metropolitan</v>
      </c>
      <c r="I2981" s="224">
        <v>0</v>
      </c>
    </row>
    <row r="2982" spans="1:9" ht="15.5" x14ac:dyDescent="0.35">
      <c r="A2982" s="224" t="s">
        <v>81</v>
      </c>
      <c r="B2982" s="224" t="s">
        <v>47</v>
      </c>
      <c r="C2982" s="224" t="s">
        <v>86</v>
      </c>
      <c r="D2982" s="224" t="s">
        <v>55</v>
      </c>
      <c r="E2982" s="224" t="s">
        <v>256</v>
      </c>
      <c r="F2982" s="224" t="s">
        <v>111</v>
      </c>
      <c r="G2982" s="223" t="str">
        <f>VLOOKUP($B2982,'FRS geographical categories'!$A$2:$C$45,2,FALSE)</f>
        <v>Predominantly Urban</v>
      </c>
      <c r="H2982" s="223" t="str">
        <f>VLOOKUP($B2982,'FRS geographical categories'!$A$2:$C$45,3,FALSE)</f>
        <v>Non-metropolitan</v>
      </c>
      <c r="I2982" s="224">
        <v>1</v>
      </c>
    </row>
    <row r="2983" spans="1:9" ht="15.5" x14ac:dyDescent="0.35">
      <c r="A2983" s="224" t="s">
        <v>81</v>
      </c>
      <c r="B2983" s="224" t="s">
        <v>47</v>
      </c>
      <c r="C2983" s="224" t="s">
        <v>86</v>
      </c>
      <c r="D2983" s="224" t="s">
        <v>55</v>
      </c>
      <c r="E2983" s="224" t="s">
        <v>256</v>
      </c>
      <c r="F2983" s="224" t="s">
        <v>10</v>
      </c>
      <c r="G2983" s="223" t="str">
        <f>VLOOKUP($B2983,'FRS geographical categories'!$A$2:$C$45,2,FALSE)</f>
        <v>Predominantly Urban</v>
      </c>
      <c r="H2983" s="223" t="str">
        <f>VLOOKUP($B2983,'FRS geographical categories'!$A$2:$C$45,3,FALSE)</f>
        <v>Non-metropolitan</v>
      </c>
      <c r="I2983" s="224">
        <v>4</v>
      </c>
    </row>
    <row r="2984" spans="1:9" ht="15.5" x14ac:dyDescent="0.35">
      <c r="A2984" s="224" t="s">
        <v>81</v>
      </c>
      <c r="B2984" s="224" t="s">
        <v>47</v>
      </c>
      <c r="C2984" s="224" t="s">
        <v>89</v>
      </c>
      <c r="D2984" s="224" t="s">
        <v>9</v>
      </c>
      <c r="E2984" s="224" t="s">
        <v>256</v>
      </c>
      <c r="F2984" s="224" t="s">
        <v>248</v>
      </c>
      <c r="G2984" s="223" t="str">
        <f>VLOOKUP($B2984,'FRS geographical categories'!$A$2:$C$45,2,FALSE)</f>
        <v>Predominantly Urban</v>
      </c>
      <c r="H2984" s="223" t="str">
        <f>VLOOKUP($B2984,'FRS geographical categories'!$A$2:$C$45,3,FALSE)</f>
        <v>Non-metropolitan</v>
      </c>
      <c r="I2984" s="224">
        <v>0</v>
      </c>
    </row>
    <row r="2985" spans="1:9" ht="15.5" x14ac:dyDescent="0.35">
      <c r="A2985" s="224" t="s">
        <v>81</v>
      </c>
      <c r="B2985" s="224" t="s">
        <v>47</v>
      </c>
      <c r="C2985" s="224" t="s">
        <v>89</v>
      </c>
      <c r="D2985" s="224" t="s">
        <v>9</v>
      </c>
      <c r="E2985" s="224" t="s">
        <v>256</v>
      </c>
      <c r="F2985" s="224" t="s">
        <v>249</v>
      </c>
      <c r="G2985" s="223" t="str">
        <f>VLOOKUP($B2985,'FRS geographical categories'!$A$2:$C$45,2,FALSE)</f>
        <v>Predominantly Urban</v>
      </c>
      <c r="H2985" s="223" t="str">
        <f>VLOOKUP($B2985,'FRS geographical categories'!$A$2:$C$45,3,FALSE)</f>
        <v>Non-metropolitan</v>
      </c>
      <c r="I2985" s="224">
        <v>0</v>
      </c>
    </row>
    <row r="2986" spans="1:9" ht="15.5" x14ac:dyDescent="0.35">
      <c r="A2986" s="224" t="s">
        <v>81</v>
      </c>
      <c r="B2986" s="224" t="s">
        <v>47</v>
      </c>
      <c r="C2986" s="224" t="s">
        <v>89</v>
      </c>
      <c r="D2986" s="224" t="s">
        <v>9</v>
      </c>
      <c r="E2986" s="224" t="s">
        <v>256</v>
      </c>
      <c r="F2986" s="224" t="s">
        <v>250</v>
      </c>
      <c r="G2986" s="223" t="str">
        <f>VLOOKUP($B2986,'FRS geographical categories'!$A$2:$C$45,2,FALSE)</f>
        <v>Predominantly Urban</v>
      </c>
      <c r="H2986" s="223" t="str">
        <f>VLOOKUP($B2986,'FRS geographical categories'!$A$2:$C$45,3,FALSE)</f>
        <v>Non-metropolitan</v>
      </c>
      <c r="I2986" s="224">
        <v>0</v>
      </c>
    </row>
    <row r="2987" spans="1:9" ht="15.5" x14ac:dyDescent="0.35">
      <c r="A2987" s="224" t="s">
        <v>81</v>
      </c>
      <c r="B2987" s="224" t="s">
        <v>47</v>
      </c>
      <c r="C2987" s="224" t="s">
        <v>89</v>
      </c>
      <c r="D2987" s="224" t="s">
        <v>9</v>
      </c>
      <c r="E2987" s="224" t="s">
        <v>256</v>
      </c>
      <c r="F2987" s="224" t="s">
        <v>10</v>
      </c>
      <c r="G2987" s="223" t="str">
        <f>VLOOKUP($B2987,'FRS geographical categories'!$A$2:$C$45,2,FALSE)</f>
        <v>Predominantly Urban</v>
      </c>
      <c r="H2987" s="223" t="str">
        <f>VLOOKUP($B2987,'FRS geographical categories'!$A$2:$C$45,3,FALSE)</f>
        <v>Non-metropolitan</v>
      </c>
      <c r="I2987" s="224">
        <v>0</v>
      </c>
    </row>
    <row r="2988" spans="1:9" ht="15.5" x14ac:dyDescent="0.35">
      <c r="A2988" s="224" t="s">
        <v>81</v>
      </c>
      <c r="B2988" s="224" t="s">
        <v>47</v>
      </c>
      <c r="C2988" s="224" t="s">
        <v>89</v>
      </c>
      <c r="D2988" s="224" t="s">
        <v>55</v>
      </c>
      <c r="E2988" s="224" t="s">
        <v>256</v>
      </c>
      <c r="F2988" s="224" t="s">
        <v>248</v>
      </c>
      <c r="G2988" s="223" t="str">
        <f>VLOOKUP($B2988,'FRS geographical categories'!$A$2:$C$45,2,FALSE)</f>
        <v>Predominantly Urban</v>
      </c>
      <c r="H2988" s="223" t="str">
        <f>VLOOKUP($B2988,'FRS geographical categories'!$A$2:$C$45,3,FALSE)</f>
        <v>Non-metropolitan</v>
      </c>
      <c r="I2988" s="224">
        <v>0</v>
      </c>
    </row>
    <row r="2989" spans="1:9" ht="15.5" x14ac:dyDescent="0.35">
      <c r="A2989" s="224" t="s">
        <v>81</v>
      </c>
      <c r="B2989" s="224" t="s">
        <v>47</v>
      </c>
      <c r="C2989" s="224" t="s">
        <v>89</v>
      </c>
      <c r="D2989" s="224" t="s">
        <v>55</v>
      </c>
      <c r="E2989" s="224" t="s">
        <v>256</v>
      </c>
      <c r="F2989" s="224" t="s">
        <v>249</v>
      </c>
      <c r="G2989" s="223" t="str">
        <f>VLOOKUP($B2989,'FRS geographical categories'!$A$2:$C$45,2,FALSE)</f>
        <v>Predominantly Urban</v>
      </c>
      <c r="H2989" s="223" t="str">
        <f>VLOOKUP($B2989,'FRS geographical categories'!$A$2:$C$45,3,FALSE)</f>
        <v>Non-metropolitan</v>
      </c>
      <c r="I2989" s="224">
        <v>0</v>
      </c>
    </row>
    <row r="2990" spans="1:9" ht="15.5" x14ac:dyDescent="0.35">
      <c r="A2990" s="224" t="s">
        <v>81</v>
      </c>
      <c r="B2990" s="224" t="s">
        <v>47</v>
      </c>
      <c r="C2990" s="224" t="s">
        <v>89</v>
      </c>
      <c r="D2990" s="224" t="s">
        <v>55</v>
      </c>
      <c r="E2990" s="224" t="s">
        <v>256</v>
      </c>
      <c r="F2990" s="224" t="s">
        <v>250</v>
      </c>
      <c r="G2990" s="223" t="str">
        <f>VLOOKUP($B2990,'FRS geographical categories'!$A$2:$C$45,2,FALSE)</f>
        <v>Predominantly Urban</v>
      </c>
      <c r="H2990" s="223" t="str">
        <f>VLOOKUP($B2990,'FRS geographical categories'!$A$2:$C$45,3,FALSE)</f>
        <v>Non-metropolitan</v>
      </c>
      <c r="I2990" s="224">
        <v>0</v>
      </c>
    </row>
    <row r="2991" spans="1:9" ht="15.5" x14ac:dyDescent="0.35">
      <c r="A2991" s="224" t="s">
        <v>81</v>
      </c>
      <c r="B2991" s="224" t="s">
        <v>47</v>
      </c>
      <c r="C2991" s="224" t="s">
        <v>89</v>
      </c>
      <c r="D2991" s="224" t="s">
        <v>55</v>
      </c>
      <c r="E2991" s="224" t="s">
        <v>256</v>
      </c>
      <c r="F2991" s="224" t="s">
        <v>10</v>
      </c>
      <c r="G2991" s="223" t="str">
        <f>VLOOKUP($B2991,'FRS geographical categories'!$A$2:$C$45,2,FALSE)</f>
        <v>Predominantly Urban</v>
      </c>
      <c r="H2991" s="223" t="str">
        <f>VLOOKUP($B2991,'FRS geographical categories'!$A$2:$C$45,3,FALSE)</f>
        <v>Non-metropolitan</v>
      </c>
      <c r="I2991" s="224">
        <v>0</v>
      </c>
    </row>
    <row r="2992" spans="1:9" ht="15.5" x14ac:dyDescent="0.35">
      <c r="A2992" s="224" t="s">
        <v>81</v>
      </c>
      <c r="B2992" s="224" t="s">
        <v>48</v>
      </c>
      <c r="C2992" s="224" t="s">
        <v>86</v>
      </c>
      <c r="D2992" s="224" t="s">
        <v>9</v>
      </c>
      <c r="E2992" s="224" t="s">
        <v>256</v>
      </c>
      <c r="F2992" s="224" t="s">
        <v>248</v>
      </c>
      <c r="G2992" s="223" t="str">
        <f>VLOOKUP($B2992,'FRS geographical categories'!$A$2:$C$45,2,FALSE)</f>
        <v>Predominantly Urban</v>
      </c>
      <c r="H2992" s="223" t="str">
        <f>VLOOKUP($B2992,'FRS geographical categories'!$A$2:$C$45,3,FALSE)</f>
        <v>Metropolitan</v>
      </c>
      <c r="I2992" s="224">
        <v>2016</v>
      </c>
    </row>
    <row r="2993" spans="1:9" ht="15.5" x14ac:dyDescent="0.35">
      <c r="A2993" s="224" t="s">
        <v>81</v>
      </c>
      <c r="B2993" s="224" t="s">
        <v>48</v>
      </c>
      <c r="C2993" s="224" t="s">
        <v>86</v>
      </c>
      <c r="D2993" s="224" t="s">
        <v>9</v>
      </c>
      <c r="E2993" s="224" t="s">
        <v>256</v>
      </c>
      <c r="F2993" s="224" t="s">
        <v>249</v>
      </c>
      <c r="G2993" s="223" t="str">
        <f>VLOOKUP($B2993,'FRS geographical categories'!$A$2:$C$45,2,FALSE)</f>
        <v>Predominantly Urban</v>
      </c>
      <c r="H2993" s="223" t="str">
        <f>VLOOKUP($B2993,'FRS geographical categories'!$A$2:$C$45,3,FALSE)</f>
        <v>Metropolitan</v>
      </c>
      <c r="I2993" s="224">
        <v>3575</v>
      </c>
    </row>
    <row r="2994" spans="1:9" ht="15.5" x14ac:dyDescent="0.35">
      <c r="A2994" s="224" t="s">
        <v>81</v>
      </c>
      <c r="B2994" s="224" t="s">
        <v>48</v>
      </c>
      <c r="C2994" s="224" t="s">
        <v>86</v>
      </c>
      <c r="D2994" s="224" t="s">
        <v>9</v>
      </c>
      <c r="E2994" s="224" t="s">
        <v>256</v>
      </c>
      <c r="F2994" s="224" t="s">
        <v>250</v>
      </c>
      <c r="G2994" s="223" t="str">
        <f>VLOOKUP($B2994,'FRS geographical categories'!$A$2:$C$45,2,FALSE)</f>
        <v>Predominantly Urban</v>
      </c>
      <c r="H2994" s="223" t="str">
        <f>VLOOKUP($B2994,'FRS geographical categories'!$A$2:$C$45,3,FALSE)</f>
        <v>Metropolitan</v>
      </c>
      <c r="I2994" s="224">
        <v>4158</v>
      </c>
    </row>
    <row r="2995" spans="1:9" ht="15.5" x14ac:dyDescent="0.35">
      <c r="A2995" s="224" t="s">
        <v>81</v>
      </c>
      <c r="B2995" s="224" t="s">
        <v>48</v>
      </c>
      <c r="C2995" s="224" t="s">
        <v>86</v>
      </c>
      <c r="D2995" s="224" t="s">
        <v>9</v>
      </c>
      <c r="E2995" s="224" t="s">
        <v>256</v>
      </c>
      <c r="F2995" s="224" t="s">
        <v>111</v>
      </c>
      <c r="G2995" s="223" t="str">
        <f>VLOOKUP($B2995,'FRS geographical categories'!$A$2:$C$45,2,FALSE)</f>
        <v>Predominantly Urban</v>
      </c>
      <c r="H2995" s="223" t="str">
        <f>VLOOKUP($B2995,'FRS geographical categories'!$A$2:$C$45,3,FALSE)</f>
        <v>Metropolitan</v>
      </c>
      <c r="I2995" s="224">
        <v>16342</v>
      </c>
    </row>
    <row r="2996" spans="1:9" ht="15.5" x14ac:dyDescent="0.35">
      <c r="A2996" s="224" t="s">
        <v>81</v>
      </c>
      <c r="B2996" s="224" t="s">
        <v>48</v>
      </c>
      <c r="C2996" s="224" t="s">
        <v>86</v>
      </c>
      <c r="D2996" s="224" t="s">
        <v>9</v>
      </c>
      <c r="E2996" s="224" t="s">
        <v>256</v>
      </c>
      <c r="F2996" s="224" t="s">
        <v>10</v>
      </c>
      <c r="G2996" s="223" t="str">
        <f>VLOOKUP($B2996,'FRS geographical categories'!$A$2:$C$45,2,FALSE)</f>
        <v>Predominantly Urban</v>
      </c>
      <c r="H2996" s="223" t="str">
        <f>VLOOKUP($B2996,'FRS geographical categories'!$A$2:$C$45,3,FALSE)</f>
        <v>Metropolitan</v>
      </c>
      <c r="I2996" s="224">
        <v>19778</v>
      </c>
    </row>
    <row r="2997" spans="1:9" ht="15.5" x14ac:dyDescent="0.35">
      <c r="A2997" s="224" t="s">
        <v>81</v>
      </c>
      <c r="B2997" s="224" t="s">
        <v>48</v>
      </c>
      <c r="C2997" s="224" t="s">
        <v>86</v>
      </c>
      <c r="D2997" s="224" t="s">
        <v>55</v>
      </c>
      <c r="E2997" s="224" t="s">
        <v>256</v>
      </c>
      <c r="F2997" s="224" t="s">
        <v>248</v>
      </c>
      <c r="G2997" s="223" t="str">
        <f>VLOOKUP($B2997,'FRS geographical categories'!$A$2:$C$45,2,FALSE)</f>
        <v>Predominantly Urban</v>
      </c>
      <c r="H2997" s="223" t="str">
        <f>VLOOKUP($B2997,'FRS geographical categories'!$A$2:$C$45,3,FALSE)</f>
        <v>Metropolitan</v>
      </c>
      <c r="I2997" s="224">
        <v>0</v>
      </c>
    </row>
    <row r="2998" spans="1:9" ht="15.5" x14ac:dyDescent="0.35">
      <c r="A2998" s="224" t="s">
        <v>81</v>
      </c>
      <c r="B2998" s="224" t="s">
        <v>48</v>
      </c>
      <c r="C2998" s="224" t="s">
        <v>86</v>
      </c>
      <c r="D2998" s="224" t="s">
        <v>55</v>
      </c>
      <c r="E2998" s="224" t="s">
        <v>256</v>
      </c>
      <c r="F2998" s="224" t="s">
        <v>249</v>
      </c>
      <c r="G2998" s="223" t="str">
        <f>VLOOKUP($B2998,'FRS geographical categories'!$A$2:$C$45,2,FALSE)</f>
        <v>Predominantly Urban</v>
      </c>
      <c r="H2998" s="223" t="str">
        <f>VLOOKUP($B2998,'FRS geographical categories'!$A$2:$C$45,3,FALSE)</f>
        <v>Metropolitan</v>
      </c>
      <c r="I2998" s="224">
        <v>0</v>
      </c>
    </row>
    <row r="2999" spans="1:9" ht="15.5" x14ac:dyDescent="0.35">
      <c r="A2999" s="224" t="s">
        <v>81</v>
      </c>
      <c r="B2999" s="224" t="s">
        <v>48</v>
      </c>
      <c r="C2999" s="224" t="s">
        <v>86</v>
      </c>
      <c r="D2999" s="224" t="s">
        <v>55</v>
      </c>
      <c r="E2999" s="224" t="s">
        <v>256</v>
      </c>
      <c r="F2999" s="224" t="s">
        <v>250</v>
      </c>
      <c r="G2999" s="223" t="str">
        <f>VLOOKUP($B2999,'FRS geographical categories'!$A$2:$C$45,2,FALSE)</f>
        <v>Predominantly Urban</v>
      </c>
      <c r="H2999" s="223" t="str">
        <f>VLOOKUP($B2999,'FRS geographical categories'!$A$2:$C$45,3,FALSE)</f>
        <v>Metropolitan</v>
      </c>
      <c r="I2999" s="224">
        <v>0</v>
      </c>
    </row>
    <row r="3000" spans="1:9" ht="15.5" x14ac:dyDescent="0.35">
      <c r="A3000" s="224" t="s">
        <v>81</v>
      </c>
      <c r="B3000" s="224" t="s">
        <v>48</v>
      </c>
      <c r="C3000" s="224" t="s">
        <v>86</v>
      </c>
      <c r="D3000" s="224" t="s">
        <v>55</v>
      </c>
      <c r="E3000" s="224" t="s">
        <v>256</v>
      </c>
      <c r="F3000" s="224" t="s">
        <v>111</v>
      </c>
      <c r="G3000" s="223" t="str">
        <f>VLOOKUP($B3000,'FRS geographical categories'!$A$2:$C$45,2,FALSE)</f>
        <v>Predominantly Urban</v>
      </c>
      <c r="H3000" s="223" t="str">
        <f>VLOOKUP($B3000,'FRS geographical categories'!$A$2:$C$45,3,FALSE)</f>
        <v>Metropolitan</v>
      </c>
      <c r="I3000" s="224">
        <v>0</v>
      </c>
    </row>
    <row r="3001" spans="1:9" ht="15.5" x14ac:dyDescent="0.35">
      <c r="A3001" s="224" t="s">
        <v>81</v>
      </c>
      <c r="B3001" s="224" t="s">
        <v>48</v>
      </c>
      <c r="C3001" s="224" t="s">
        <v>86</v>
      </c>
      <c r="D3001" s="224" t="s">
        <v>55</v>
      </c>
      <c r="E3001" s="224" t="s">
        <v>256</v>
      </c>
      <c r="F3001" s="224" t="s">
        <v>10</v>
      </c>
      <c r="G3001" s="223" t="str">
        <f>VLOOKUP($B3001,'FRS geographical categories'!$A$2:$C$45,2,FALSE)</f>
        <v>Predominantly Urban</v>
      </c>
      <c r="H3001" s="223" t="str">
        <f>VLOOKUP($B3001,'FRS geographical categories'!$A$2:$C$45,3,FALSE)</f>
        <v>Metropolitan</v>
      </c>
      <c r="I3001" s="224">
        <v>0</v>
      </c>
    </row>
    <row r="3002" spans="1:9" ht="15.5" x14ac:dyDescent="0.35">
      <c r="A3002" s="224" t="s">
        <v>81</v>
      </c>
      <c r="B3002" s="224" t="s">
        <v>48</v>
      </c>
      <c r="C3002" s="224" t="s">
        <v>89</v>
      </c>
      <c r="D3002" s="224" t="s">
        <v>9</v>
      </c>
      <c r="E3002" s="224" t="s">
        <v>256</v>
      </c>
      <c r="F3002" s="224" t="s">
        <v>248</v>
      </c>
      <c r="G3002" s="223" t="str">
        <f>VLOOKUP($B3002,'FRS geographical categories'!$A$2:$C$45,2,FALSE)</f>
        <v>Predominantly Urban</v>
      </c>
      <c r="H3002" s="223" t="str">
        <f>VLOOKUP($B3002,'FRS geographical categories'!$A$2:$C$45,3,FALSE)</f>
        <v>Metropolitan</v>
      </c>
      <c r="I3002" s="224">
        <v>263</v>
      </c>
    </row>
    <row r="3003" spans="1:9" ht="15.5" x14ac:dyDescent="0.35">
      <c r="A3003" s="224" t="s">
        <v>81</v>
      </c>
      <c r="B3003" s="224" t="s">
        <v>48</v>
      </c>
      <c r="C3003" s="224" t="s">
        <v>89</v>
      </c>
      <c r="D3003" s="224" t="s">
        <v>9</v>
      </c>
      <c r="E3003" s="224" t="s">
        <v>256</v>
      </c>
      <c r="F3003" s="224" t="s">
        <v>249</v>
      </c>
      <c r="G3003" s="223" t="str">
        <f>VLOOKUP($B3003,'FRS geographical categories'!$A$2:$C$45,2,FALSE)</f>
        <v>Predominantly Urban</v>
      </c>
      <c r="H3003" s="223" t="str">
        <f>VLOOKUP($B3003,'FRS geographical categories'!$A$2:$C$45,3,FALSE)</f>
        <v>Metropolitan</v>
      </c>
      <c r="I3003" s="224">
        <v>701</v>
      </c>
    </row>
    <row r="3004" spans="1:9" ht="15.5" x14ac:dyDescent="0.35">
      <c r="A3004" s="224" t="s">
        <v>81</v>
      </c>
      <c r="B3004" s="224" t="s">
        <v>48</v>
      </c>
      <c r="C3004" s="224" t="s">
        <v>89</v>
      </c>
      <c r="D3004" s="224" t="s">
        <v>9</v>
      </c>
      <c r="E3004" s="224" t="s">
        <v>256</v>
      </c>
      <c r="F3004" s="224" t="s">
        <v>250</v>
      </c>
      <c r="G3004" s="223" t="str">
        <f>VLOOKUP($B3004,'FRS geographical categories'!$A$2:$C$45,2,FALSE)</f>
        <v>Predominantly Urban</v>
      </c>
      <c r="H3004" s="223" t="str">
        <f>VLOOKUP($B3004,'FRS geographical categories'!$A$2:$C$45,3,FALSE)</f>
        <v>Metropolitan</v>
      </c>
      <c r="I3004" s="224">
        <v>448</v>
      </c>
    </row>
    <row r="3005" spans="1:9" ht="15.5" x14ac:dyDescent="0.35">
      <c r="A3005" s="224" t="s">
        <v>81</v>
      </c>
      <c r="B3005" s="224" t="s">
        <v>48</v>
      </c>
      <c r="C3005" s="224" t="s">
        <v>89</v>
      </c>
      <c r="D3005" s="224" t="s">
        <v>9</v>
      </c>
      <c r="E3005" s="224" t="s">
        <v>256</v>
      </c>
      <c r="F3005" s="224" t="s">
        <v>10</v>
      </c>
      <c r="G3005" s="223" t="str">
        <f>VLOOKUP($B3005,'FRS geographical categories'!$A$2:$C$45,2,FALSE)</f>
        <v>Predominantly Urban</v>
      </c>
      <c r="H3005" s="223" t="str">
        <f>VLOOKUP($B3005,'FRS geographical categories'!$A$2:$C$45,3,FALSE)</f>
        <v>Metropolitan</v>
      </c>
      <c r="I3005" s="224">
        <v>1646</v>
      </c>
    </row>
    <row r="3006" spans="1:9" ht="15.5" x14ac:dyDescent="0.35">
      <c r="A3006" s="224" t="s">
        <v>81</v>
      </c>
      <c r="B3006" s="224" t="s">
        <v>48</v>
      </c>
      <c r="C3006" s="224" t="s">
        <v>89</v>
      </c>
      <c r="D3006" s="224" t="s">
        <v>55</v>
      </c>
      <c r="E3006" s="224" t="s">
        <v>256</v>
      </c>
      <c r="F3006" s="224" t="s">
        <v>248</v>
      </c>
      <c r="G3006" s="223" t="str">
        <f>VLOOKUP($B3006,'FRS geographical categories'!$A$2:$C$45,2,FALSE)</f>
        <v>Predominantly Urban</v>
      </c>
      <c r="H3006" s="223" t="str">
        <f>VLOOKUP($B3006,'FRS geographical categories'!$A$2:$C$45,3,FALSE)</f>
        <v>Metropolitan</v>
      </c>
      <c r="I3006" s="224">
        <v>0</v>
      </c>
    </row>
    <row r="3007" spans="1:9" ht="15.5" x14ac:dyDescent="0.35">
      <c r="A3007" s="224" t="s">
        <v>81</v>
      </c>
      <c r="B3007" s="224" t="s">
        <v>48</v>
      </c>
      <c r="C3007" s="224" t="s">
        <v>89</v>
      </c>
      <c r="D3007" s="224" t="s">
        <v>55</v>
      </c>
      <c r="E3007" s="224" t="s">
        <v>256</v>
      </c>
      <c r="F3007" s="224" t="s">
        <v>249</v>
      </c>
      <c r="G3007" s="223" t="str">
        <f>VLOOKUP($B3007,'FRS geographical categories'!$A$2:$C$45,2,FALSE)</f>
        <v>Predominantly Urban</v>
      </c>
      <c r="H3007" s="223" t="str">
        <f>VLOOKUP($B3007,'FRS geographical categories'!$A$2:$C$45,3,FALSE)</f>
        <v>Metropolitan</v>
      </c>
      <c r="I3007" s="224">
        <v>0</v>
      </c>
    </row>
    <row r="3008" spans="1:9" ht="15.5" x14ac:dyDescent="0.35">
      <c r="A3008" s="224" t="s">
        <v>81</v>
      </c>
      <c r="B3008" s="224" t="s">
        <v>48</v>
      </c>
      <c r="C3008" s="224" t="s">
        <v>89</v>
      </c>
      <c r="D3008" s="224" t="s">
        <v>55</v>
      </c>
      <c r="E3008" s="224" t="s">
        <v>256</v>
      </c>
      <c r="F3008" s="224" t="s">
        <v>250</v>
      </c>
      <c r="G3008" s="223" t="str">
        <f>VLOOKUP($B3008,'FRS geographical categories'!$A$2:$C$45,2,FALSE)</f>
        <v>Predominantly Urban</v>
      </c>
      <c r="H3008" s="223" t="str">
        <f>VLOOKUP($B3008,'FRS geographical categories'!$A$2:$C$45,3,FALSE)</f>
        <v>Metropolitan</v>
      </c>
      <c r="I3008" s="224">
        <v>0</v>
      </c>
    </row>
    <row r="3009" spans="1:9" ht="15.5" x14ac:dyDescent="0.35">
      <c r="A3009" s="224" t="s">
        <v>81</v>
      </c>
      <c r="B3009" s="224" t="s">
        <v>48</v>
      </c>
      <c r="C3009" s="224" t="s">
        <v>89</v>
      </c>
      <c r="D3009" s="224" t="s">
        <v>55</v>
      </c>
      <c r="E3009" s="224" t="s">
        <v>256</v>
      </c>
      <c r="F3009" s="224" t="s">
        <v>10</v>
      </c>
      <c r="G3009" s="223" t="str">
        <f>VLOOKUP($B3009,'FRS geographical categories'!$A$2:$C$45,2,FALSE)</f>
        <v>Predominantly Urban</v>
      </c>
      <c r="H3009" s="223" t="str">
        <f>VLOOKUP($B3009,'FRS geographical categories'!$A$2:$C$45,3,FALSE)</f>
        <v>Metropolitan</v>
      </c>
      <c r="I3009" s="224">
        <v>0</v>
      </c>
    </row>
    <row r="3010" spans="1:9" ht="15.5" x14ac:dyDescent="0.35">
      <c r="A3010" s="224" t="s">
        <v>81</v>
      </c>
      <c r="B3010" s="224" t="s">
        <v>49</v>
      </c>
      <c r="C3010" s="224" t="s">
        <v>86</v>
      </c>
      <c r="D3010" s="224" t="s">
        <v>9</v>
      </c>
      <c r="E3010" s="224" t="s">
        <v>256</v>
      </c>
      <c r="F3010" s="224" t="s">
        <v>248</v>
      </c>
      <c r="G3010" s="223" t="str">
        <f>VLOOKUP($B3010,'FRS geographical categories'!$A$2:$C$45,2,FALSE)</f>
        <v>Significantly Rural</v>
      </c>
      <c r="H3010" s="223" t="str">
        <f>VLOOKUP($B3010,'FRS geographical categories'!$A$2:$C$45,3,FALSE)</f>
        <v>Non-metropolitan</v>
      </c>
      <c r="I3010" s="224">
        <v>0</v>
      </c>
    </row>
    <row r="3011" spans="1:9" ht="15.5" x14ac:dyDescent="0.35">
      <c r="A3011" s="224" t="s">
        <v>81</v>
      </c>
      <c r="B3011" s="224" t="s">
        <v>49</v>
      </c>
      <c r="C3011" s="224" t="s">
        <v>86</v>
      </c>
      <c r="D3011" s="224" t="s">
        <v>9</v>
      </c>
      <c r="E3011" s="224" t="s">
        <v>256</v>
      </c>
      <c r="F3011" s="224" t="s">
        <v>249</v>
      </c>
      <c r="G3011" s="223" t="str">
        <f>VLOOKUP($B3011,'FRS geographical categories'!$A$2:$C$45,2,FALSE)</f>
        <v>Significantly Rural</v>
      </c>
      <c r="H3011" s="223" t="str">
        <f>VLOOKUP($B3011,'FRS geographical categories'!$A$2:$C$45,3,FALSE)</f>
        <v>Non-metropolitan</v>
      </c>
      <c r="I3011" s="224">
        <v>0</v>
      </c>
    </row>
    <row r="3012" spans="1:9" ht="15.5" x14ac:dyDescent="0.35">
      <c r="A3012" s="224" t="s">
        <v>81</v>
      </c>
      <c r="B3012" s="224" t="s">
        <v>49</v>
      </c>
      <c r="C3012" s="224" t="s">
        <v>86</v>
      </c>
      <c r="D3012" s="224" t="s">
        <v>9</v>
      </c>
      <c r="E3012" s="224" t="s">
        <v>256</v>
      </c>
      <c r="F3012" s="224" t="s">
        <v>250</v>
      </c>
      <c r="G3012" s="223" t="str">
        <f>VLOOKUP($B3012,'FRS geographical categories'!$A$2:$C$45,2,FALSE)</f>
        <v>Significantly Rural</v>
      </c>
      <c r="H3012" s="223" t="str">
        <f>VLOOKUP($B3012,'FRS geographical categories'!$A$2:$C$45,3,FALSE)</f>
        <v>Non-metropolitan</v>
      </c>
      <c r="I3012" s="224">
        <v>0</v>
      </c>
    </row>
    <row r="3013" spans="1:9" ht="15.5" x14ac:dyDescent="0.35">
      <c r="A3013" s="224" t="s">
        <v>81</v>
      </c>
      <c r="B3013" s="224" t="s">
        <v>49</v>
      </c>
      <c r="C3013" s="224" t="s">
        <v>86</v>
      </c>
      <c r="D3013" s="224" t="s">
        <v>9</v>
      </c>
      <c r="E3013" s="224" t="s">
        <v>256</v>
      </c>
      <c r="F3013" s="224" t="s">
        <v>111</v>
      </c>
      <c r="G3013" s="223" t="str">
        <f>VLOOKUP($B3013,'FRS geographical categories'!$A$2:$C$45,2,FALSE)</f>
        <v>Significantly Rural</v>
      </c>
      <c r="H3013" s="223" t="str">
        <f>VLOOKUP($B3013,'FRS geographical categories'!$A$2:$C$45,3,FALSE)</f>
        <v>Non-metropolitan</v>
      </c>
      <c r="I3013" s="224">
        <v>0</v>
      </c>
    </row>
    <row r="3014" spans="1:9" ht="15.5" x14ac:dyDescent="0.35">
      <c r="A3014" s="224" t="s">
        <v>81</v>
      </c>
      <c r="B3014" s="224" t="s">
        <v>49</v>
      </c>
      <c r="C3014" s="224" t="s">
        <v>86</v>
      </c>
      <c r="D3014" s="224" t="s">
        <v>9</v>
      </c>
      <c r="E3014" s="224" t="s">
        <v>256</v>
      </c>
      <c r="F3014" s="224" t="s">
        <v>10</v>
      </c>
      <c r="G3014" s="223" t="str">
        <f>VLOOKUP($B3014,'FRS geographical categories'!$A$2:$C$45,2,FALSE)</f>
        <v>Significantly Rural</v>
      </c>
      <c r="H3014" s="223" t="str">
        <f>VLOOKUP($B3014,'FRS geographical categories'!$A$2:$C$45,3,FALSE)</f>
        <v>Non-metropolitan</v>
      </c>
      <c r="I3014" s="224">
        <v>5526</v>
      </c>
    </row>
    <row r="3015" spans="1:9" ht="15.5" x14ac:dyDescent="0.35">
      <c r="A3015" s="224" t="s">
        <v>81</v>
      </c>
      <c r="B3015" s="224" t="s">
        <v>49</v>
      </c>
      <c r="C3015" s="224" t="s">
        <v>86</v>
      </c>
      <c r="D3015" s="224" t="s">
        <v>55</v>
      </c>
      <c r="E3015" s="224" t="s">
        <v>256</v>
      </c>
      <c r="F3015" s="224" t="s">
        <v>248</v>
      </c>
      <c r="G3015" s="223" t="str">
        <f>VLOOKUP($B3015,'FRS geographical categories'!$A$2:$C$45,2,FALSE)</f>
        <v>Significantly Rural</v>
      </c>
      <c r="H3015" s="223" t="str">
        <f>VLOOKUP($B3015,'FRS geographical categories'!$A$2:$C$45,3,FALSE)</f>
        <v>Non-metropolitan</v>
      </c>
      <c r="I3015" s="224">
        <v>0</v>
      </c>
    </row>
    <row r="3016" spans="1:9" ht="15.5" x14ac:dyDescent="0.35">
      <c r="A3016" s="224" t="s">
        <v>81</v>
      </c>
      <c r="B3016" s="224" t="s">
        <v>49</v>
      </c>
      <c r="C3016" s="224" t="s">
        <v>86</v>
      </c>
      <c r="D3016" s="224" t="s">
        <v>55</v>
      </c>
      <c r="E3016" s="224" t="s">
        <v>256</v>
      </c>
      <c r="F3016" s="224" t="s">
        <v>249</v>
      </c>
      <c r="G3016" s="223" t="str">
        <f>VLOOKUP($B3016,'FRS geographical categories'!$A$2:$C$45,2,FALSE)</f>
        <v>Significantly Rural</v>
      </c>
      <c r="H3016" s="223" t="str">
        <f>VLOOKUP($B3016,'FRS geographical categories'!$A$2:$C$45,3,FALSE)</f>
        <v>Non-metropolitan</v>
      </c>
      <c r="I3016" s="224">
        <v>0</v>
      </c>
    </row>
    <row r="3017" spans="1:9" ht="15.5" x14ac:dyDescent="0.35">
      <c r="A3017" s="224" t="s">
        <v>81</v>
      </c>
      <c r="B3017" s="224" t="s">
        <v>49</v>
      </c>
      <c r="C3017" s="224" t="s">
        <v>86</v>
      </c>
      <c r="D3017" s="224" t="s">
        <v>55</v>
      </c>
      <c r="E3017" s="224" t="s">
        <v>256</v>
      </c>
      <c r="F3017" s="224" t="s">
        <v>250</v>
      </c>
      <c r="G3017" s="223" t="str">
        <f>VLOOKUP($B3017,'FRS geographical categories'!$A$2:$C$45,2,FALSE)</f>
        <v>Significantly Rural</v>
      </c>
      <c r="H3017" s="223" t="str">
        <f>VLOOKUP($B3017,'FRS geographical categories'!$A$2:$C$45,3,FALSE)</f>
        <v>Non-metropolitan</v>
      </c>
      <c r="I3017" s="224">
        <v>0</v>
      </c>
    </row>
    <row r="3018" spans="1:9" ht="15.5" x14ac:dyDescent="0.35">
      <c r="A3018" s="224" t="s">
        <v>81</v>
      </c>
      <c r="B3018" s="224" t="s">
        <v>49</v>
      </c>
      <c r="C3018" s="224" t="s">
        <v>86</v>
      </c>
      <c r="D3018" s="224" t="s">
        <v>55</v>
      </c>
      <c r="E3018" s="224" t="s">
        <v>256</v>
      </c>
      <c r="F3018" s="224" t="s">
        <v>111</v>
      </c>
      <c r="G3018" s="223" t="str">
        <f>VLOOKUP($B3018,'FRS geographical categories'!$A$2:$C$45,2,FALSE)</f>
        <v>Significantly Rural</v>
      </c>
      <c r="H3018" s="223" t="str">
        <f>VLOOKUP($B3018,'FRS geographical categories'!$A$2:$C$45,3,FALSE)</f>
        <v>Non-metropolitan</v>
      </c>
      <c r="I3018" s="224">
        <v>0</v>
      </c>
    </row>
    <row r="3019" spans="1:9" ht="15.5" x14ac:dyDescent="0.35">
      <c r="A3019" s="224" t="s">
        <v>81</v>
      </c>
      <c r="B3019" s="224" t="s">
        <v>49</v>
      </c>
      <c r="C3019" s="224" t="s">
        <v>86</v>
      </c>
      <c r="D3019" s="224" t="s">
        <v>55</v>
      </c>
      <c r="E3019" s="224" t="s">
        <v>256</v>
      </c>
      <c r="F3019" s="224" t="s">
        <v>10</v>
      </c>
      <c r="G3019" s="223" t="str">
        <f>VLOOKUP($B3019,'FRS geographical categories'!$A$2:$C$45,2,FALSE)</f>
        <v>Significantly Rural</v>
      </c>
      <c r="H3019" s="223" t="str">
        <f>VLOOKUP($B3019,'FRS geographical categories'!$A$2:$C$45,3,FALSE)</f>
        <v>Non-metropolitan</v>
      </c>
      <c r="I3019" s="224">
        <v>0</v>
      </c>
    </row>
    <row r="3020" spans="1:9" ht="15.5" x14ac:dyDescent="0.35">
      <c r="A3020" s="224" t="s">
        <v>81</v>
      </c>
      <c r="B3020" s="224" t="s">
        <v>49</v>
      </c>
      <c r="C3020" s="224" t="s">
        <v>89</v>
      </c>
      <c r="D3020" s="224" t="s">
        <v>9</v>
      </c>
      <c r="E3020" s="224" t="s">
        <v>256</v>
      </c>
      <c r="F3020" s="224" t="s">
        <v>248</v>
      </c>
      <c r="G3020" s="223" t="str">
        <f>VLOOKUP($B3020,'FRS geographical categories'!$A$2:$C$45,2,FALSE)</f>
        <v>Significantly Rural</v>
      </c>
      <c r="H3020" s="223" t="str">
        <f>VLOOKUP($B3020,'FRS geographical categories'!$A$2:$C$45,3,FALSE)</f>
        <v>Non-metropolitan</v>
      </c>
      <c r="I3020" s="224">
        <v>0</v>
      </c>
    </row>
    <row r="3021" spans="1:9" ht="15.5" x14ac:dyDescent="0.35">
      <c r="A3021" s="224" t="s">
        <v>81</v>
      </c>
      <c r="B3021" s="224" t="s">
        <v>49</v>
      </c>
      <c r="C3021" s="224" t="s">
        <v>89</v>
      </c>
      <c r="D3021" s="224" t="s">
        <v>9</v>
      </c>
      <c r="E3021" s="224" t="s">
        <v>256</v>
      </c>
      <c r="F3021" s="224" t="s">
        <v>249</v>
      </c>
      <c r="G3021" s="223" t="str">
        <f>VLOOKUP($B3021,'FRS geographical categories'!$A$2:$C$45,2,FALSE)</f>
        <v>Significantly Rural</v>
      </c>
      <c r="H3021" s="223" t="str">
        <f>VLOOKUP($B3021,'FRS geographical categories'!$A$2:$C$45,3,FALSE)</f>
        <v>Non-metropolitan</v>
      </c>
      <c r="I3021" s="224">
        <v>0</v>
      </c>
    </row>
    <row r="3022" spans="1:9" ht="15.5" x14ac:dyDescent="0.35">
      <c r="A3022" s="224" t="s">
        <v>81</v>
      </c>
      <c r="B3022" s="224" t="s">
        <v>49</v>
      </c>
      <c r="C3022" s="224" t="s">
        <v>89</v>
      </c>
      <c r="D3022" s="224" t="s">
        <v>9</v>
      </c>
      <c r="E3022" s="224" t="s">
        <v>256</v>
      </c>
      <c r="F3022" s="224" t="s">
        <v>250</v>
      </c>
      <c r="G3022" s="223" t="str">
        <f>VLOOKUP($B3022,'FRS geographical categories'!$A$2:$C$45,2,FALSE)</f>
        <v>Significantly Rural</v>
      </c>
      <c r="H3022" s="223" t="str">
        <f>VLOOKUP($B3022,'FRS geographical categories'!$A$2:$C$45,3,FALSE)</f>
        <v>Non-metropolitan</v>
      </c>
      <c r="I3022" s="224">
        <v>0</v>
      </c>
    </row>
    <row r="3023" spans="1:9" ht="15.5" x14ac:dyDescent="0.35">
      <c r="A3023" s="224" t="s">
        <v>81</v>
      </c>
      <c r="B3023" s="224" t="s">
        <v>49</v>
      </c>
      <c r="C3023" s="224" t="s">
        <v>89</v>
      </c>
      <c r="D3023" s="224" t="s">
        <v>9</v>
      </c>
      <c r="E3023" s="224" t="s">
        <v>256</v>
      </c>
      <c r="F3023" s="224" t="s">
        <v>10</v>
      </c>
      <c r="G3023" s="223" t="str">
        <f>VLOOKUP($B3023,'FRS geographical categories'!$A$2:$C$45,2,FALSE)</f>
        <v>Significantly Rural</v>
      </c>
      <c r="H3023" s="223" t="str">
        <f>VLOOKUP($B3023,'FRS geographical categories'!$A$2:$C$45,3,FALSE)</f>
        <v>Non-metropolitan</v>
      </c>
      <c r="I3023" s="224">
        <v>0</v>
      </c>
    </row>
    <row r="3024" spans="1:9" ht="15.5" x14ac:dyDescent="0.35">
      <c r="A3024" s="224" t="s">
        <v>81</v>
      </c>
      <c r="B3024" s="224" t="s">
        <v>49</v>
      </c>
      <c r="C3024" s="224" t="s">
        <v>89</v>
      </c>
      <c r="D3024" s="224" t="s">
        <v>55</v>
      </c>
      <c r="E3024" s="224" t="s">
        <v>256</v>
      </c>
      <c r="F3024" s="224" t="s">
        <v>248</v>
      </c>
      <c r="G3024" s="223" t="str">
        <f>VLOOKUP($B3024,'FRS geographical categories'!$A$2:$C$45,2,FALSE)</f>
        <v>Significantly Rural</v>
      </c>
      <c r="H3024" s="223" t="str">
        <f>VLOOKUP($B3024,'FRS geographical categories'!$A$2:$C$45,3,FALSE)</f>
        <v>Non-metropolitan</v>
      </c>
      <c r="I3024" s="224">
        <v>0</v>
      </c>
    </row>
    <row r="3025" spans="1:9" ht="15.5" x14ac:dyDescent="0.35">
      <c r="A3025" s="224" t="s">
        <v>81</v>
      </c>
      <c r="B3025" s="224" t="s">
        <v>49</v>
      </c>
      <c r="C3025" s="224" t="s">
        <v>89</v>
      </c>
      <c r="D3025" s="224" t="s">
        <v>55</v>
      </c>
      <c r="E3025" s="224" t="s">
        <v>256</v>
      </c>
      <c r="F3025" s="224" t="s">
        <v>249</v>
      </c>
      <c r="G3025" s="223" t="str">
        <f>VLOOKUP($B3025,'FRS geographical categories'!$A$2:$C$45,2,FALSE)</f>
        <v>Significantly Rural</v>
      </c>
      <c r="H3025" s="223" t="str">
        <f>VLOOKUP($B3025,'FRS geographical categories'!$A$2:$C$45,3,FALSE)</f>
        <v>Non-metropolitan</v>
      </c>
      <c r="I3025" s="224">
        <v>0</v>
      </c>
    </row>
    <row r="3026" spans="1:9" ht="15.5" x14ac:dyDescent="0.35">
      <c r="A3026" s="224" t="s">
        <v>81</v>
      </c>
      <c r="B3026" s="224" t="s">
        <v>49</v>
      </c>
      <c r="C3026" s="224" t="s">
        <v>89</v>
      </c>
      <c r="D3026" s="224" t="s">
        <v>55</v>
      </c>
      <c r="E3026" s="224" t="s">
        <v>256</v>
      </c>
      <c r="F3026" s="224" t="s">
        <v>250</v>
      </c>
      <c r="G3026" s="223" t="str">
        <f>VLOOKUP($B3026,'FRS geographical categories'!$A$2:$C$45,2,FALSE)</f>
        <v>Significantly Rural</v>
      </c>
      <c r="H3026" s="223" t="str">
        <f>VLOOKUP($B3026,'FRS geographical categories'!$A$2:$C$45,3,FALSE)</f>
        <v>Non-metropolitan</v>
      </c>
      <c r="I3026" s="224">
        <v>0</v>
      </c>
    </row>
    <row r="3027" spans="1:9" ht="15.5" x14ac:dyDescent="0.35">
      <c r="A3027" s="224" t="s">
        <v>81</v>
      </c>
      <c r="B3027" s="224" t="s">
        <v>49</v>
      </c>
      <c r="C3027" s="224" t="s">
        <v>89</v>
      </c>
      <c r="D3027" s="224" t="s">
        <v>55</v>
      </c>
      <c r="E3027" s="224" t="s">
        <v>256</v>
      </c>
      <c r="F3027" s="224" t="s">
        <v>10</v>
      </c>
      <c r="G3027" s="223" t="str">
        <f>VLOOKUP($B3027,'FRS geographical categories'!$A$2:$C$45,2,FALSE)</f>
        <v>Significantly Rural</v>
      </c>
      <c r="H3027" s="223" t="str">
        <f>VLOOKUP($B3027,'FRS geographical categories'!$A$2:$C$45,3,FALSE)</f>
        <v>Non-metropolitan</v>
      </c>
      <c r="I3027" s="224">
        <v>0</v>
      </c>
    </row>
    <row r="3028" spans="1:9" ht="15.5" x14ac:dyDescent="0.35">
      <c r="A3028" s="224" t="s">
        <v>81</v>
      </c>
      <c r="B3028" s="224" t="s">
        <v>50</v>
      </c>
      <c r="C3028" s="224" t="s">
        <v>86</v>
      </c>
      <c r="D3028" s="224" t="s">
        <v>9</v>
      </c>
      <c r="E3028" s="224" t="s">
        <v>256</v>
      </c>
      <c r="F3028" s="224" t="s">
        <v>248</v>
      </c>
      <c r="G3028" s="223" t="str">
        <f>VLOOKUP($B3028,'FRS geographical categories'!$A$2:$C$45,2,FALSE)</f>
        <v>Predominantly Urban</v>
      </c>
      <c r="H3028" s="223" t="str">
        <f>VLOOKUP($B3028,'FRS geographical categories'!$A$2:$C$45,3,FALSE)</f>
        <v>Metropolitan</v>
      </c>
      <c r="I3028" s="224">
        <v>5282</v>
      </c>
    </row>
    <row r="3029" spans="1:9" ht="15.5" x14ac:dyDescent="0.35">
      <c r="A3029" s="224" t="s">
        <v>81</v>
      </c>
      <c r="B3029" s="224" t="s">
        <v>50</v>
      </c>
      <c r="C3029" s="224" t="s">
        <v>86</v>
      </c>
      <c r="D3029" s="224" t="s">
        <v>9</v>
      </c>
      <c r="E3029" s="224" t="s">
        <v>256</v>
      </c>
      <c r="F3029" s="224" t="s">
        <v>249</v>
      </c>
      <c r="G3029" s="223" t="str">
        <f>VLOOKUP($B3029,'FRS geographical categories'!$A$2:$C$45,2,FALSE)</f>
        <v>Predominantly Urban</v>
      </c>
      <c r="H3029" s="223" t="str">
        <f>VLOOKUP($B3029,'FRS geographical categories'!$A$2:$C$45,3,FALSE)</f>
        <v>Metropolitan</v>
      </c>
      <c r="I3029" s="224">
        <v>13214</v>
      </c>
    </row>
    <row r="3030" spans="1:9" ht="15.5" x14ac:dyDescent="0.35">
      <c r="A3030" s="224" t="s">
        <v>81</v>
      </c>
      <c r="B3030" s="224" t="s">
        <v>50</v>
      </c>
      <c r="C3030" s="224" t="s">
        <v>86</v>
      </c>
      <c r="D3030" s="224" t="s">
        <v>9</v>
      </c>
      <c r="E3030" s="224" t="s">
        <v>256</v>
      </c>
      <c r="F3030" s="224" t="s">
        <v>250</v>
      </c>
      <c r="G3030" s="223" t="str">
        <f>VLOOKUP($B3030,'FRS geographical categories'!$A$2:$C$45,2,FALSE)</f>
        <v>Predominantly Urban</v>
      </c>
      <c r="H3030" s="223" t="str">
        <f>VLOOKUP($B3030,'FRS geographical categories'!$A$2:$C$45,3,FALSE)</f>
        <v>Metropolitan</v>
      </c>
      <c r="I3030" s="224">
        <v>729</v>
      </c>
    </row>
    <row r="3031" spans="1:9" ht="15.5" x14ac:dyDescent="0.35">
      <c r="A3031" s="224" t="s">
        <v>81</v>
      </c>
      <c r="B3031" s="224" t="s">
        <v>50</v>
      </c>
      <c r="C3031" s="224" t="s">
        <v>86</v>
      </c>
      <c r="D3031" s="224" t="s">
        <v>9</v>
      </c>
      <c r="E3031" s="224" t="s">
        <v>256</v>
      </c>
      <c r="F3031" s="224" t="s">
        <v>111</v>
      </c>
      <c r="G3031" s="223" t="str">
        <f>VLOOKUP($B3031,'FRS geographical categories'!$A$2:$C$45,2,FALSE)</f>
        <v>Predominantly Urban</v>
      </c>
      <c r="H3031" s="223" t="str">
        <f>VLOOKUP($B3031,'FRS geographical categories'!$A$2:$C$45,3,FALSE)</f>
        <v>Metropolitan</v>
      </c>
      <c r="I3031" s="224">
        <v>31259</v>
      </c>
    </row>
    <row r="3032" spans="1:9" ht="15.5" x14ac:dyDescent="0.35">
      <c r="A3032" s="224" t="s">
        <v>81</v>
      </c>
      <c r="B3032" s="224" t="s">
        <v>50</v>
      </c>
      <c r="C3032" s="224" t="s">
        <v>86</v>
      </c>
      <c r="D3032" s="224" t="s">
        <v>9</v>
      </c>
      <c r="E3032" s="224" t="s">
        <v>256</v>
      </c>
      <c r="F3032" s="224" t="s">
        <v>10</v>
      </c>
      <c r="G3032" s="223" t="str">
        <f>VLOOKUP($B3032,'FRS geographical categories'!$A$2:$C$45,2,FALSE)</f>
        <v>Predominantly Urban</v>
      </c>
      <c r="H3032" s="223" t="str">
        <f>VLOOKUP($B3032,'FRS geographical categories'!$A$2:$C$45,3,FALSE)</f>
        <v>Metropolitan</v>
      </c>
      <c r="I3032" s="224">
        <v>32766</v>
      </c>
    </row>
    <row r="3033" spans="1:9" ht="15.5" x14ac:dyDescent="0.35">
      <c r="A3033" s="224" t="s">
        <v>81</v>
      </c>
      <c r="B3033" s="224" t="s">
        <v>50</v>
      </c>
      <c r="C3033" s="224" t="s">
        <v>86</v>
      </c>
      <c r="D3033" s="224" t="s">
        <v>55</v>
      </c>
      <c r="E3033" s="224" t="s">
        <v>256</v>
      </c>
      <c r="F3033" s="224" t="s">
        <v>248</v>
      </c>
      <c r="G3033" s="223" t="str">
        <f>VLOOKUP($B3033,'FRS geographical categories'!$A$2:$C$45,2,FALSE)</f>
        <v>Predominantly Urban</v>
      </c>
      <c r="H3033" s="223" t="str">
        <f>VLOOKUP($B3033,'FRS geographical categories'!$A$2:$C$45,3,FALSE)</f>
        <v>Metropolitan</v>
      </c>
      <c r="I3033" s="224">
        <v>0</v>
      </c>
    </row>
    <row r="3034" spans="1:9" ht="15.5" x14ac:dyDescent="0.35">
      <c r="A3034" s="224" t="s">
        <v>81</v>
      </c>
      <c r="B3034" s="224" t="s">
        <v>50</v>
      </c>
      <c r="C3034" s="224" t="s">
        <v>86</v>
      </c>
      <c r="D3034" s="224" t="s">
        <v>55</v>
      </c>
      <c r="E3034" s="224" t="s">
        <v>256</v>
      </c>
      <c r="F3034" s="224" t="s">
        <v>249</v>
      </c>
      <c r="G3034" s="223" t="str">
        <f>VLOOKUP($B3034,'FRS geographical categories'!$A$2:$C$45,2,FALSE)</f>
        <v>Predominantly Urban</v>
      </c>
      <c r="H3034" s="223" t="str">
        <f>VLOOKUP($B3034,'FRS geographical categories'!$A$2:$C$45,3,FALSE)</f>
        <v>Metropolitan</v>
      </c>
      <c r="I3034" s="224">
        <v>0</v>
      </c>
    </row>
    <row r="3035" spans="1:9" ht="15.5" x14ac:dyDescent="0.35">
      <c r="A3035" s="224" t="s">
        <v>81</v>
      </c>
      <c r="B3035" s="224" t="s">
        <v>50</v>
      </c>
      <c r="C3035" s="224" t="s">
        <v>86</v>
      </c>
      <c r="D3035" s="224" t="s">
        <v>55</v>
      </c>
      <c r="E3035" s="224" t="s">
        <v>256</v>
      </c>
      <c r="F3035" s="224" t="s">
        <v>250</v>
      </c>
      <c r="G3035" s="223" t="str">
        <f>VLOOKUP($B3035,'FRS geographical categories'!$A$2:$C$45,2,FALSE)</f>
        <v>Predominantly Urban</v>
      </c>
      <c r="H3035" s="223" t="str">
        <f>VLOOKUP($B3035,'FRS geographical categories'!$A$2:$C$45,3,FALSE)</f>
        <v>Metropolitan</v>
      </c>
      <c r="I3035" s="224">
        <v>0</v>
      </c>
    </row>
    <row r="3036" spans="1:9" ht="15.5" x14ac:dyDescent="0.35">
      <c r="A3036" s="224" t="s">
        <v>81</v>
      </c>
      <c r="B3036" s="224" t="s">
        <v>50</v>
      </c>
      <c r="C3036" s="224" t="s">
        <v>86</v>
      </c>
      <c r="D3036" s="224" t="s">
        <v>55</v>
      </c>
      <c r="E3036" s="224" t="s">
        <v>256</v>
      </c>
      <c r="F3036" s="224" t="s">
        <v>111</v>
      </c>
      <c r="G3036" s="223" t="str">
        <f>VLOOKUP($B3036,'FRS geographical categories'!$A$2:$C$45,2,FALSE)</f>
        <v>Predominantly Urban</v>
      </c>
      <c r="H3036" s="223" t="str">
        <f>VLOOKUP($B3036,'FRS geographical categories'!$A$2:$C$45,3,FALSE)</f>
        <v>Metropolitan</v>
      </c>
      <c r="I3036" s="224">
        <v>33</v>
      </c>
    </row>
    <row r="3037" spans="1:9" ht="15.5" x14ac:dyDescent="0.35">
      <c r="A3037" s="224" t="s">
        <v>81</v>
      </c>
      <c r="B3037" s="224" t="s">
        <v>50</v>
      </c>
      <c r="C3037" s="224" t="s">
        <v>86</v>
      </c>
      <c r="D3037" s="224" t="s">
        <v>55</v>
      </c>
      <c r="E3037" s="224" t="s">
        <v>256</v>
      </c>
      <c r="F3037" s="224" t="s">
        <v>10</v>
      </c>
      <c r="G3037" s="223" t="str">
        <f>VLOOKUP($B3037,'FRS geographical categories'!$A$2:$C$45,2,FALSE)</f>
        <v>Predominantly Urban</v>
      </c>
      <c r="H3037" s="223" t="str">
        <f>VLOOKUP($B3037,'FRS geographical categories'!$A$2:$C$45,3,FALSE)</f>
        <v>Metropolitan</v>
      </c>
      <c r="I3037" s="224">
        <v>61</v>
      </c>
    </row>
    <row r="3038" spans="1:9" ht="15.5" x14ac:dyDescent="0.35">
      <c r="A3038" s="224" t="s">
        <v>81</v>
      </c>
      <c r="B3038" s="224" t="s">
        <v>50</v>
      </c>
      <c r="C3038" s="224" t="s">
        <v>89</v>
      </c>
      <c r="D3038" s="224" t="s">
        <v>9</v>
      </c>
      <c r="E3038" s="224" t="s">
        <v>256</v>
      </c>
      <c r="F3038" s="224" t="s">
        <v>248</v>
      </c>
      <c r="G3038" s="223" t="str">
        <f>VLOOKUP($B3038,'FRS geographical categories'!$A$2:$C$45,2,FALSE)</f>
        <v>Predominantly Urban</v>
      </c>
      <c r="H3038" s="223" t="str">
        <f>VLOOKUP($B3038,'FRS geographical categories'!$A$2:$C$45,3,FALSE)</f>
        <v>Metropolitan</v>
      </c>
      <c r="I3038" s="224">
        <v>0</v>
      </c>
    </row>
    <row r="3039" spans="1:9" ht="15.5" x14ac:dyDescent="0.35">
      <c r="A3039" s="224" t="s">
        <v>81</v>
      </c>
      <c r="B3039" s="224" t="s">
        <v>50</v>
      </c>
      <c r="C3039" s="224" t="s">
        <v>89</v>
      </c>
      <c r="D3039" s="224" t="s">
        <v>9</v>
      </c>
      <c r="E3039" s="224" t="s">
        <v>256</v>
      </c>
      <c r="F3039" s="224" t="s">
        <v>249</v>
      </c>
      <c r="G3039" s="223" t="str">
        <f>VLOOKUP($B3039,'FRS geographical categories'!$A$2:$C$45,2,FALSE)</f>
        <v>Predominantly Urban</v>
      </c>
      <c r="H3039" s="223" t="str">
        <f>VLOOKUP($B3039,'FRS geographical categories'!$A$2:$C$45,3,FALSE)</f>
        <v>Metropolitan</v>
      </c>
      <c r="I3039" s="224">
        <v>0</v>
      </c>
    </row>
    <row r="3040" spans="1:9" ht="15.5" x14ac:dyDescent="0.35">
      <c r="A3040" s="224" t="s">
        <v>81</v>
      </c>
      <c r="B3040" s="224" t="s">
        <v>50</v>
      </c>
      <c r="C3040" s="224" t="s">
        <v>89</v>
      </c>
      <c r="D3040" s="224" t="s">
        <v>9</v>
      </c>
      <c r="E3040" s="224" t="s">
        <v>256</v>
      </c>
      <c r="F3040" s="224" t="s">
        <v>250</v>
      </c>
      <c r="G3040" s="223" t="str">
        <f>VLOOKUP($B3040,'FRS geographical categories'!$A$2:$C$45,2,FALSE)</f>
        <v>Predominantly Urban</v>
      </c>
      <c r="H3040" s="223" t="str">
        <f>VLOOKUP($B3040,'FRS geographical categories'!$A$2:$C$45,3,FALSE)</f>
        <v>Metropolitan</v>
      </c>
      <c r="I3040" s="224">
        <v>0</v>
      </c>
    </row>
    <row r="3041" spans="1:9" ht="15.5" x14ac:dyDescent="0.35">
      <c r="A3041" s="224" t="s">
        <v>81</v>
      </c>
      <c r="B3041" s="224" t="s">
        <v>50</v>
      </c>
      <c r="C3041" s="224" t="s">
        <v>89</v>
      </c>
      <c r="D3041" s="224" t="s">
        <v>9</v>
      </c>
      <c r="E3041" s="224" t="s">
        <v>256</v>
      </c>
      <c r="F3041" s="224" t="s">
        <v>10</v>
      </c>
      <c r="G3041" s="223" t="str">
        <f>VLOOKUP($B3041,'FRS geographical categories'!$A$2:$C$45,2,FALSE)</f>
        <v>Predominantly Urban</v>
      </c>
      <c r="H3041" s="223" t="str">
        <f>VLOOKUP($B3041,'FRS geographical categories'!$A$2:$C$45,3,FALSE)</f>
        <v>Metropolitan</v>
      </c>
      <c r="I3041" s="224">
        <v>0</v>
      </c>
    </row>
    <row r="3042" spans="1:9" ht="15.5" x14ac:dyDescent="0.35">
      <c r="A3042" s="224" t="s">
        <v>81</v>
      </c>
      <c r="B3042" s="224" t="s">
        <v>50</v>
      </c>
      <c r="C3042" s="224" t="s">
        <v>89</v>
      </c>
      <c r="D3042" s="224" t="s">
        <v>55</v>
      </c>
      <c r="E3042" s="224" t="s">
        <v>256</v>
      </c>
      <c r="F3042" s="224" t="s">
        <v>248</v>
      </c>
      <c r="G3042" s="223" t="str">
        <f>VLOOKUP($B3042,'FRS geographical categories'!$A$2:$C$45,2,FALSE)</f>
        <v>Predominantly Urban</v>
      </c>
      <c r="H3042" s="223" t="str">
        <f>VLOOKUP($B3042,'FRS geographical categories'!$A$2:$C$45,3,FALSE)</f>
        <v>Metropolitan</v>
      </c>
      <c r="I3042" s="224">
        <v>0</v>
      </c>
    </row>
    <row r="3043" spans="1:9" ht="15.5" x14ac:dyDescent="0.35">
      <c r="A3043" s="224" t="s">
        <v>81</v>
      </c>
      <c r="B3043" s="224" t="s">
        <v>50</v>
      </c>
      <c r="C3043" s="224" t="s">
        <v>89</v>
      </c>
      <c r="D3043" s="224" t="s">
        <v>55</v>
      </c>
      <c r="E3043" s="224" t="s">
        <v>256</v>
      </c>
      <c r="F3043" s="224" t="s">
        <v>249</v>
      </c>
      <c r="G3043" s="223" t="str">
        <f>VLOOKUP($B3043,'FRS geographical categories'!$A$2:$C$45,2,FALSE)</f>
        <v>Predominantly Urban</v>
      </c>
      <c r="H3043" s="223" t="str">
        <f>VLOOKUP($B3043,'FRS geographical categories'!$A$2:$C$45,3,FALSE)</f>
        <v>Metropolitan</v>
      </c>
      <c r="I3043" s="224">
        <v>0</v>
      </c>
    </row>
    <row r="3044" spans="1:9" ht="15.5" x14ac:dyDescent="0.35">
      <c r="A3044" s="224" t="s">
        <v>81</v>
      </c>
      <c r="B3044" s="224" t="s">
        <v>50</v>
      </c>
      <c r="C3044" s="224" t="s">
        <v>89</v>
      </c>
      <c r="D3044" s="224" t="s">
        <v>55</v>
      </c>
      <c r="E3044" s="224" t="s">
        <v>256</v>
      </c>
      <c r="F3044" s="224" t="s">
        <v>250</v>
      </c>
      <c r="G3044" s="223" t="str">
        <f>VLOOKUP($B3044,'FRS geographical categories'!$A$2:$C$45,2,FALSE)</f>
        <v>Predominantly Urban</v>
      </c>
      <c r="H3044" s="223" t="str">
        <f>VLOOKUP($B3044,'FRS geographical categories'!$A$2:$C$45,3,FALSE)</f>
        <v>Metropolitan</v>
      </c>
      <c r="I3044" s="224">
        <v>0</v>
      </c>
    </row>
    <row r="3045" spans="1:9" ht="15.5" x14ac:dyDescent="0.35">
      <c r="A3045" s="224" t="s">
        <v>81</v>
      </c>
      <c r="B3045" s="224" t="s">
        <v>50</v>
      </c>
      <c r="C3045" s="224" t="s">
        <v>89</v>
      </c>
      <c r="D3045" s="224" t="s">
        <v>55</v>
      </c>
      <c r="E3045" s="224" t="s">
        <v>256</v>
      </c>
      <c r="F3045" s="224" t="s">
        <v>10</v>
      </c>
      <c r="G3045" s="223" t="str">
        <f>VLOOKUP($B3045,'FRS geographical categories'!$A$2:$C$45,2,FALSE)</f>
        <v>Predominantly Urban</v>
      </c>
      <c r="H3045" s="223" t="str">
        <f>VLOOKUP($B3045,'FRS geographical categories'!$A$2:$C$45,3,FALSE)</f>
        <v>Metropolitan</v>
      </c>
      <c r="I3045" s="224">
        <v>0</v>
      </c>
    </row>
    <row r="3046" spans="1:9" ht="15.5" x14ac:dyDescent="0.35">
      <c r="A3046" s="224" t="s">
        <v>81</v>
      </c>
      <c r="B3046" s="224" t="s">
        <v>51</v>
      </c>
      <c r="C3046" s="224" t="s">
        <v>86</v>
      </c>
      <c r="D3046" s="224" t="s">
        <v>9</v>
      </c>
      <c r="E3046" s="224" t="s">
        <v>256</v>
      </c>
      <c r="F3046" s="224" t="s">
        <v>248</v>
      </c>
      <c r="G3046" s="223" t="str">
        <f>VLOOKUP($B3046,'FRS geographical categories'!$A$2:$C$45,2,FALSE)</f>
        <v>Significantly Rural</v>
      </c>
      <c r="H3046" s="223" t="str">
        <f>VLOOKUP($B3046,'FRS geographical categories'!$A$2:$C$45,3,FALSE)</f>
        <v>Non-metropolitan</v>
      </c>
      <c r="I3046" s="224">
        <v>496</v>
      </c>
    </row>
    <row r="3047" spans="1:9" ht="15.5" x14ac:dyDescent="0.35">
      <c r="A3047" s="224" t="s">
        <v>81</v>
      </c>
      <c r="B3047" s="224" t="s">
        <v>51</v>
      </c>
      <c r="C3047" s="224" t="s">
        <v>86</v>
      </c>
      <c r="D3047" s="224" t="s">
        <v>9</v>
      </c>
      <c r="E3047" s="224" t="s">
        <v>256</v>
      </c>
      <c r="F3047" s="224" t="s">
        <v>249</v>
      </c>
      <c r="G3047" s="223" t="str">
        <f>VLOOKUP($B3047,'FRS geographical categories'!$A$2:$C$45,2,FALSE)</f>
        <v>Significantly Rural</v>
      </c>
      <c r="H3047" s="223" t="str">
        <f>VLOOKUP($B3047,'FRS geographical categories'!$A$2:$C$45,3,FALSE)</f>
        <v>Non-metropolitan</v>
      </c>
      <c r="I3047" s="224">
        <v>2957</v>
      </c>
    </row>
    <row r="3048" spans="1:9" ht="15.5" x14ac:dyDescent="0.35">
      <c r="A3048" s="224" t="s">
        <v>81</v>
      </c>
      <c r="B3048" s="224" t="s">
        <v>51</v>
      </c>
      <c r="C3048" s="224" t="s">
        <v>86</v>
      </c>
      <c r="D3048" s="224" t="s">
        <v>9</v>
      </c>
      <c r="E3048" s="224" t="s">
        <v>256</v>
      </c>
      <c r="F3048" s="224" t="s">
        <v>250</v>
      </c>
      <c r="G3048" s="223" t="str">
        <f>VLOOKUP($B3048,'FRS geographical categories'!$A$2:$C$45,2,FALSE)</f>
        <v>Significantly Rural</v>
      </c>
      <c r="H3048" s="223" t="str">
        <f>VLOOKUP($B3048,'FRS geographical categories'!$A$2:$C$45,3,FALSE)</f>
        <v>Non-metropolitan</v>
      </c>
      <c r="I3048" s="224">
        <v>885</v>
      </c>
    </row>
    <row r="3049" spans="1:9" ht="15.5" x14ac:dyDescent="0.35">
      <c r="A3049" s="224" t="s">
        <v>81</v>
      </c>
      <c r="B3049" s="224" t="s">
        <v>51</v>
      </c>
      <c r="C3049" s="224" t="s">
        <v>86</v>
      </c>
      <c r="D3049" s="224" t="s">
        <v>9</v>
      </c>
      <c r="E3049" s="224" t="s">
        <v>256</v>
      </c>
      <c r="F3049" s="224" t="s">
        <v>111</v>
      </c>
      <c r="G3049" s="223" t="str">
        <f>VLOOKUP($B3049,'FRS geographical categories'!$A$2:$C$45,2,FALSE)</f>
        <v>Significantly Rural</v>
      </c>
      <c r="H3049" s="223" t="str">
        <f>VLOOKUP($B3049,'FRS geographical categories'!$A$2:$C$45,3,FALSE)</f>
        <v>Non-metropolitan</v>
      </c>
      <c r="I3049" s="224">
        <v>4669</v>
      </c>
    </row>
    <row r="3050" spans="1:9" ht="15.5" x14ac:dyDescent="0.35">
      <c r="A3050" s="224" t="s">
        <v>81</v>
      </c>
      <c r="B3050" s="224" t="s">
        <v>51</v>
      </c>
      <c r="C3050" s="224" t="s">
        <v>86</v>
      </c>
      <c r="D3050" s="224" t="s">
        <v>9</v>
      </c>
      <c r="E3050" s="224" t="s">
        <v>256</v>
      </c>
      <c r="F3050" s="224" t="s">
        <v>10</v>
      </c>
      <c r="G3050" s="223" t="str">
        <f>VLOOKUP($B3050,'FRS geographical categories'!$A$2:$C$45,2,FALSE)</f>
        <v>Significantly Rural</v>
      </c>
      <c r="H3050" s="223" t="str">
        <f>VLOOKUP($B3050,'FRS geographical categories'!$A$2:$C$45,3,FALSE)</f>
        <v>Non-metropolitan</v>
      </c>
      <c r="I3050" s="224">
        <v>5406</v>
      </c>
    </row>
    <row r="3051" spans="1:9" ht="15.5" x14ac:dyDescent="0.35">
      <c r="A3051" s="224" t="s">
        <v>81</v>
      </c>
      <c r="B3051" s="224" t="s">
        <v>51</v>
      </c>
      <c r="C3051" s="224" t="s">
        <v>86</v>
      </c>
      <c r="D3051" s="224" t="s">
        <v>55</v>
      </c>
      <c r="E3051" s="224" t="s">
        <v>256</v>
      </c>
      <c r="F3051" s="224" t="s">
        <v>248</v>
      </c>
      <c r="G3051" s="223" t="str">
        <f>VLOOKUP($B3051,'FRS geographical categories'!$A$2:$C$45,2,FALSE)</f>
        <v>Significantly Rural</v>
      </c>
      <c r="H3051" s="223" t="str">
        <f>VLOOKUP($B3051,'FRS geographical categories'!$A$2:$C$45,3,FALSE)</f>
        <v>Non-metropolitan</v>
      </c>
      <c r="I3051" s="224">
        <v>4</v>
      </c>
    </row>
    <row r="3052" spans="1:9" ht="15.5" x14ac:dyDescent="0.35">
      <c r="A3052" s="224" t="s">
        <v>81</v>
      </c>
      <c r="B3052" s="224" t="s">
        <v>51</v>
      </c>
      <c r="C3052" s="224" t="s">
        <v>86</v>
      </c>
      <c r="D3052" s="224" t="s">
        <v>55</v>
      </c>
      <c r="E3052" s="224" t="s">
        <v>256</v>
      </c>
      <c r="F3052" s="224" t="s">
        <v>249</v>
      </c>
      <c r="G3052" s="223" t="str">
        <f>VLOOKUP($B3052,'FRS geographical categories'!$A$2:$C$45,2,FALSE)</f>
        <v>Significantly Rural</v>
      </c>
      <c r="H3052" s="223" t="str">
        <f>VLOOKUP($B3052,'FRS geographical categories'!$A$2:$C$45,3,FALSE)</f>
        <v>Non-metropolitan</v>
      </c>
      <c r="I3052" s="224">
        <v>4</v>
      </c>
    </row>
    <row r="3053" spans="1:9" ht="15.5" x14ac:dyDescent="0.35">
      <c r="A3053" s="224" t="s">
        <v>81</v>
      </c>
      <c r="B3053" s="224" t="s">
        <v>51</v>
      </c>
      <c r="C3053" s="224" t="s">
        <v>86</v>
      </c>
      <c r="D3053" s="224" t="s">
        <v>55</v>
      </c>
      <c r="E3053" s="224" t="s">
        <v>256</v>
      </c>
      <c r="F3053" s="224" t="s">
        <v>250</v>
      </c>
      <c r="G3053" s="223" t="str">
        <f>VLOOKUP($B3053,'FRS geographical categories'!$A$2:$C$45,2,FALSE)</f>
        <v>Significantly Rural</v>
      </c>
      <c r="H3053" s="223" t="str">
        <f>VLOOKUP($B3053,'FRS geographical categories'!$A$2:$C$45,3,FALSE)</f>
        <v>Non-metropolitan</v>
      </c>
      <c r="I3053" s="224">
        <v>2</v>
      </c>
    </row>
    <row r="3054" spans="1:9" ht="15.5" x14ac:dyDescent="0.35">
      <c r="A3054" s="224" t="s">
        <v>81</v>
      </c>
      <c r="B3054" s="224" t="s">
        <v>51</v>
      </c>
      <c r="C3054" s="224" t="s">
        <v>86</v>
      </c>
      <c r="D3054" s="224" t="s">
        <v>55</v>
      </c>
      <c r="E3054" s="224" t="s">
        <v>256</v>
      </c>
      <c r="F3054" s="224" t="s">
        <v>111</v>
      </c>
      <c r="G3054" s="223" t="str">
        <f>VLOOKUP($B3054,'FRS geographical categories'!$A$2:$C$45,2,FALSE)</f>
        <v>Significantly Rural</v>
      </c>
      <c r="H3054" s="223" t="str">
        <f>VLOOKUP($B3054,'FRS geographical categories'!$A$2:$C$45,3,FALSE)</f>
        <v>Non-metropolitan</v>
      </c>
      <c r="I3054" s="224">
        <v>11</v>
      </c>
    </row>
    <row r="3055" spans="1:9" ht="15.5" x14ac:dyDescent="0.35">
      <c r="A3055" s="224" t="s">
        <v>81</v>
      </c>
      <c r="B3055" s="224" t="s">
        <v>51</v>
      </c>
      <c r="C3055" s="224" t="s">
        <v>86</v>
      </c>
      <c r="D3055" s="224" t="s">
        <v>55</v>
      </c>
      <c r="E3055" s="224" t="s">
        <v>256</v>
      </c>
      <c r="F3055" s="224" t="s">
        <v>10</v>
      </c>
      <c r="G3055" s="223" t="str">
        <f>VLOOKUP($B3055,'FRS geographical categories'!$A$2:$C$45,2,FALSE)</f>
        <v>Significantly Rural</v>
      </c>
      <c r="H3055" s="223" t="str">
        <f>VLOOKUP($B3055,'FRS geographical categories'!$A$2:$C$45,3,FALSE)</f>
        <v>Non-metropolitan</v>
      </c>
      <c r="I3055" s="224">
        <v>11</v>
      </c>
    </row>
    <row r="3056" spans="1:9" ht="15.5" x14ac:dyDescent="0.35">
      <c r="A3056" s="224" t="s">
        <v>81</v>
      </c>
      <c r="B3056" s="224" t="s">
        <v>51</v>
      </c>
      <c r="C3056" s="224" t="s">
        <v>89</v>
      </c>
      <c r="D3056" s="224" t="s">
        <v>9</v>
      </c>
      <c r="E3056" s="224" t="s">
        <v>256</v>
      </c>
      <c r="F3056" s="224" t="s">
        <v>248</v>
      </c>
      <c r="G3056" s="223" t="str">
        <f>VLOOKUP($B3056,'FRS geographical categories'!$A$2:$C$45,2,FALSE)</f>
        <v>Significantly Rural</v>
      </c>
      <c r="H3056" s="223" t="str">
        <f>VLOOKUP($B3056,'FRS geographical categories'!$A$2:$C$45,3,FALSE)</f>
        <v>Non-metropolitan</v>
      </c>
      <c r="I3056" s="224">
        <v>0</v>
      </c>
    </row>
    <row r="3057" spans="1:9" ht="15.5" x14ac:dyDescent="0.35">
      <c r="A3057" s="224" t="s">
        <v>81</v>
      </c>
      <c r="B3057" s="224" t="s">
        <v>51</v>
      </c>
      <c r="C3057" s="224" t="s">
        <v>89</v>
      </c>
      <c r="D3057" s="224" t="s">
        <v>9</v>
      </c>
      <c r="E3057" s="224" t="s">
        <v>256</v>
      </c>
      <c r="F3057" s="224" t="s">
        <v>249</v>
      </c>
      <c r="G3057" s="223" t="str">
        <f>VLOOKUP($B3057,'FRS geographical categories'!$A$2:$C$45,2,FALSE)</f>
        <v>Significantly Rural</v>
      </c>
      <c r="H3057" s="223" t="str">
        <f>VLOOKUP($B3057,'FRS geographical categories'!$A$2:$C$45,3,FALSE)</f>
        <v>Non-metropolitan</v>
      </c>
      <c r="I3057" s="224">
        <v>0</v>
      </c>
    </row>
    <row r="3058" spans="1:9" ht="15.5" x14ac:dyDescent="0.35">
      <c r="A3058" s="224" t="s">
        <v>81</v>
      </c>
      <c r="B3058" s="224" t="s">
        <v>51</v>
      </c>
      <c r="C3058" s="224" t="s">
        <v>89</v>
      </c>
      <c r="D3058" s="224" t="s">
        <v>9</v>
      </c>
      <c r="E3058" s="224" t="s">
        <v>256</v>
      </c>
      <c r="F3058" s="224" t="s">
        <v>250</v>
      </c>
      <c r="G3058" s="223" t="str">
        <f>VLOOKUP($B3058,'FRS geographical categories'!$A$2:$C$45,2,FALSE)</f>
        <v>Significantly Rural</v>
      </c>
      <c r="H3058" s="223" t="str">
        <f>VLOOKUP($B3058,'FRS geographical categories'!$A$2:$C$45,3,FALSE)</f>
        <v>Non-metropolitan</v>
      </c>
      <c r="I3058" s="224">
        <v>0</v>
      </c>
    </row>
    <row r="3059" spans="1:9" ht="15.5" x14ac:dyDescent="0.35">
      <c r="A3059" s="224" t="s">
        <v>81</v>
      </c>
      <c r="B3059" s="224" t="s">
        <v>51</v>
      </c>
      <c r="C3059" s="224" t="s">
        <v>89</v>
      </c>
      <c r="D3059" s="224" t="s">
        <v>9</v>
      </c>
      <c r="E3059" s="224" t="s">
        <v>256</v>
      </c>
      <c r="F3059" s="224" t="s">
        <v>10</v>
      </c>
      <c r="G3059" s="223" t="str">
        <f>VLOOKUP($B3059,'FRS geographical categories'!$A$2:$C$45,2,FALSE)</f>
        <v>Significantly Rural</v>
      </c>
      <c r="H3059" s="223" t="str">
        <f>VLOOKUP($B3059,'FRS geographical categories'!$A$2:$C$45,3,FALSE)</f>
        <v>Non-metropolitan</v>
      </c>
      <c r="I3059" s="224">
        <v>0</v>
      </c>
    </row>
    <row r="3060" spans="1:9" ht="15.5" x14ac:dyDescent="0.35">
      <c r="A3060" s="224" t="s">
        <v>81</v>
      </c>
      <c r="B3060" s="224" t="s">
        <v>51</v>
      </c>
      <c r="C3060" s="224" t="s">
        <v>89</v>
      </c>
      <c r="D3060" s="224" t="s">
        <v>55</v>
      </c>
      <c r="E3060" s="224" t="s">
        <v>256</v>
      </c>
      <c r="F3060" s="224" t="s">
        <v>248</v>
      </c>
      <c r="G3060" s="223" t="str">
        <f>VLOOKUP($B3060,'FRS geographical categories'!$A$2:$C$45,2,FALSE)</f>
        <v>Significantly Rural</v>
      </c>
      <c r="H3060" s="223" t="str">
        <f>VLOOKUP($B3060,'FRS geographical categories'!$A$2:$C$45,3,FALSE)</f>
        <v>Non-metropolitan</v>
      </c>
      <c r="I3060" s="224">
        <v>0</v>
      </c>
    </row>
    <row r="3061" spans="1:9" ht="15.5" x14ac:dyDescent="0.35">
      <c r="A3061" s="224" t="s">
        <v>81</v>
      </c>
      <c r="B3061" s="224" t="s">
        <v>51</v>
      </c>
      <c r="C3061" s="224" t="s">
        <v>89</v>
      </c>
      <c r="D3061" s="224" t="s">
        <v>55</v>
      </c>
      <c r="E3061" s="224" t="s">
        <v>256</v>
      </c>
      <c r="F3061" s="224" t="s">
        <v>249</v>
      </c>
      <c r="G3061" s="223" t="str">
        <f>VLOOKUP($B3061,'FRS geographical categories'!$A$2:$C$45,2,FALSE)</f>
        <v>Significantly Rural</v>
      </c>
      <c r="H3061" s="223" t="str">
        <f>VLOOKUP($B3061,'FRS geographical categories'!$A$2:$C$45,3,FALSE)</f>
        <v>Non-metropolitan</v>
      </c>
      <c r="I3061" s="224">
        <v>0</v>
      </c>
    </row>
    <row r="3062" spans="1:9" ht="15.5" x14ac:dyDescent="0.35">
      <c r="A3062" s="224" t="s">
        <v>81</v>
      </c>
      <c r="B3062" s="224" t="s">
        <v>51</v>
      </c>
      <c r="C3062" s="224" t="s">
        <v>89</v>
      </c>
      <c r="D3062" s="224" t="s">
        <v>55</v>
      </c>
      <c r="E3062" s="224" t="s">
        <v>256</v>
      </c>
      <c r="F3062" s="224" t="s">
        <v>250</v>
      </c>
      <c r="G3062" s="223" t="str">
        <f>VLOOKUP($B3062,'FRS geographical categories'!$A$2:$C$45,2,FALSE)</f>
        <v>Significantly Rural</v>
      </c>
      <c r="H3062" s="223" t="str">
        <f>VLOOKUP($B3062,'FRS geographical categories'!$A$2:$C$45,3,FALSE)</f>
        <v>Non-metropolitan</v>
      </c>
      <c r="I3062" s="224">
        <v>0</v>
      </c>
    </row>
    <row r="3063" spans="1:9" ht="15.5" x14ac:dyDescent="0.35">
      <c r="A3063" s="224" t="s">
        <v>81</v>
      </c>
      <c r="B3063" s="224" t="s">
        <v>51</v>
      </c>
      <c r="C3063" s="224" t="s">
        <v>89</v>
      </c>
      <c r="D3063" s="224" t="s">
        <v>55</v>
      </c>
      <c r="E3063" s="224" t="s">
        <v>256</v>
      </c>
      <c r="F3063" s="224" t="s">
        <v>10</v>
      </c>
      <c r="G3063" s="223" t="str">
        <f>VLOOKUP($B3063,'FRS geographical categories'!$A$2:$C$45,2,FALSE)</f>
        <v>Significantly Rural</v>
      </c>
      <c r="H3063" s="223" t="str">
        <f>VLOOKUP($B3063,'FRS geographical categories'!$A$2:$C$45,3,FALSE)</f>
        <v>Non-metropolitan</v>
      </c>
      <c r="I3063" s="224">
        <v>0</v>
      </c>
    </row>
    <row r="3064" spans="1:9" ht="15.5" x14ac:dyDescent="0.35">
      <c r="A3064" s="224" t="s">
        <v>81</v>
      </c>
      <c r="B3064" s="224" t="s">
        <v>52</v>
      </c>
      <c r="C3064" s="224" t="s">
        <v>86</v>
      </c>
      <c r="D3064" s="224" t="s">
        <v>9</v>
      </c>
      <c r="E3064" s="224" t="s">
        <v>256</v>
      </c>
      <c r="F3064" s="224" t="s">
        <v>248</v>
      </c>
      <c r="G3064" s="223" t="str">
        <f>VLOOKUP($B3064,'FRS geographical categories'!$A$2:$C$45,2,FALSE)</f>
        <v>Predominantly Urban</v>
      </c>
      <c r="H3064" s="223" t="str">
        <f>VLOOKUP($B3064,'FRS geographical categories'!$A$2:$C$45,3,FALSE)</f>
        <v>Metropolitan</v>
      </c>
      <c r="I3064" s="224">
        <v>1133</v>
      </c>
    </row>
    <row r="3065" spans="1:9" ht="15.5" x14ac:dyDescent="0.35">
      <c r="A3065" s="224" t="s">
        <v>81</v>
      </c>
      <c r="B3065" s="224" t="s">
        <v>52</v>
      </c>
      <c r="C3065" s="224" t="s">
        <v>86</v>
      </c>
      <c r="D3065" s="224" t="s">
        <v>9</v>
      </c>
      <c r="E3065" s="224" t="s">
        <v>256</v>
      </c>
      <c r="F3065" s="224" t="s">
        <v>249</v>
      </c>
      <c r="G3065" s="223" t="str">
        <f>VLOOKUP($B3065,'FRS geographical categories'!$A$2:$C$45,2,FALSE)</f>
        <v>Predominantly Urban</v>
      </c>
      <c r="H3065" s="223" t="str">
        <f>VLOOKUP($B3065,'FRS geographical categories'!$A$2:$C$45,3,FALSE)</f>
        <v>Metropolitan</v>
      </c>
      <c r="I3065" s="224">
        <v>3576</v>
      </c>
    </row>
    <row r="3066" spans="1:9" ht="15.5" x14ac:dyDescent="0.35">
      <c r="A3066" s="224" t="s">
        <v>81</v>
      </c>
      <c r="B3066" s="224" t="s">
        <v>52</v>
      </c>
      <c r="C3066" s="224" t="s">
        <v>86</v>
      </c>
      <c r="D3066" s="224" t="s">
        <v>9</v>
      </c>
      <c r="E3066" s="224" t="s">
        <v>256</v>
      </c>
      <c r="F3066" s="224" t="s">
        <v>250</v>
      </c>
      <c r="G3066" s="223" t="str">
        <f>VLOOKUP($B3066,'FRS geographical categories'!$A$2:$C$45,2,FALSE)</f>
        <v>Predominantly Urban</v>
      </c>
      <c r="H3066" s="223" t="str">
        <f>VLOOKUP($B3066,'FRS geographical categories'!$A$2:$C$45,3,FALSE)</f>
        <v>Metropolitan</v>
      </c>
      <c r="I3066" s="224">
        <v>3606</v>
      </c>
    </row>
    <row r="3067" spans="1:9" ht="15.5" x14ac:dyDescent="0.35">
      <c r="A3067" s="224" t="s">
        <v>81</v>
      </c>
      <c r="B3067" s="224" t="s">
        <v>52</v>
      </c>
      <c r="C3067" s="224" t="s">
        <v>86</v>
      </c>
      <c r="D3067" s="224" t="s">
        <v>9</v>
      </c>
      <c r="E3067" s="224" t="s">
        <v>256</v>
      </c>
      <c r="F3067" s="224" t="s">
        <v>111</v>
      </c>
      <c r="G3067" s="223" t="str">
        <f>VLOOKUP($B3067,'FRS geographical categories'!$A$2:$C$45,2,FALSE)</f>
        <v>Predominantly Urban</v>
      </c>
      <c r="H3067" s="223" t="str">
        <f>VLOOKUP($B3067,'FRS geographical categories'!$A$2:$C$45,3,FALSE)</f>
        <v>Metropolitan</v>
      </c>
      <c r="I3067" s="224">
        <v>12336</v>
      </c>
    </row>
    <row r="3068" spans="1:9" ht="15.5" x14ac:dyDescent="0.35">
      <c r="A3068" s="224" t="s">
        <v>81</v>
      </c>
      <c r="B3068" s="224" t="s">
        <v>52</v>
      </c>
      <c r="C3068" s="224" t="s">
        <v>86</v>
      </c>
      <c r="D3068" s="224" t="s">
        <v>9</v>
      </c>
      <c r="E3068" s="224" t="s">
        <v>256</v>
      </c>
      <c r="F3068" s="224" t="s">
        <v>10</v>
      </c>
      <c r="G3068" s="223" t="str">
        <f>VLOOKUP($B3068,'FRS geographical categories'!$A$2:$C$45,2,FALSE)</f>
        <v>Predominantly Urban</v>
      </c>
      <c r="H3068" s="223" t="str">
        <f>VLOOKUP($B3068,'FRS geographical categories'!$A$2:$C$45,3,FALSE)</f>
        <v>Metropolitan</v>
      </c>
      <c r="I3068" s="224">
        <v>12336</v>
      </c>
    </row>
    <row r="3069" spans="1:9" ht="15.5" x14ac:dyDescent="0.35">
      <c r="A3069" s="224" t="s">
        <v>81</v>
      </c>
      <c r="B3069" s="224" t="s">
        <v>52</v>
      </c>
      <c r="C3069" s="224" t="s">
        <v>86</v>
      </c>
      <c r="D3069" s="224" t="s">
        <v>55</v>
      </c>
      <c r="E3069" s="224" t="s">
        <v>256</v>
      </c>
      <c r="F3069" s="224" t="s">
        <v>248</v>
      </c>
      <c r="G3069" s="223" t="str">
        <f>VLOOKUP($B3069,'FRS geographical categories'!$A$2:$C$45,2,FALSE)</f>
        <v>Predominantly Urban</v>
      </c>
      <c r="H3069" s="223" t="str">
        <f>VLOOKUP($B3069,'FRS geographical categories'!$A$2:$C$45,3,FALSE)</f>
        <v>Metropolitan</v>
      </c>
      <c r="I3069" s="224">
        <v>0</v>
      </c>
    </row>
    <row r="3070" spans="1:9" ht="15.5" x14ac:dyDescent="0.35">
      <c r="A3070" s="224" t="s">
        <v>81</v>
      </c>
      <c r="B3070" s="224" t="s">
        <v>52</v>
      </c>
      <c r="C3070" s="224" t="s">
        <v>86</v>
      </c>
      <c r="D3070" s="224" t="s">
        <v>55</v>
      </c>
      <c r="E3070" s="224" t="s">
        <v>256</v>
      </c>
      <c r="F3070" s="224" t="s">
        <v>249</v>
      </c>
      <c r="G3070" s="223" t="str">
        <f>VLOOKUP($B3070,'FRS geographical categories'!$A$2:$C$45,2,FALSE)</f>
        <v>Predominantly Urban</v>
      </c>
      <c r="H3070" s="223" t="str">
        <f>VLOOKUP($B3070,'FRS geographical categories'!$A$2:$C$45,3,FALSE)</f>
        <v>Metropolitan</v>
      </c>
      <c r="I3070" s="224">
        <v>0</v>
      </c>
    </row>
    <row r="3071" spans="1:9" ht="15.5" x14ac:dyDescent="0.35">
      <c r="A3071" s="224" t="s">
        <v>81</v>
      </c>
      <c r="B3071" s="224" t="s">
        <v>52</v>
      </c>
      <c r="C3071" s="224" t="s">
        <v>86</v>
      </c>
      <c r="D3071" s="224" t="s">
        <v>55</v>
      </c>
      <c r="E3071" s="224" t="s">
        <v>256</v>
      </c>
      <c r="F3071" s="224" t="s">
        <v>250</v>
      </c>
      <c r="G3071" s="223" t="str">
        <f>VLOOKUP($B3071,'FRS geographical categories'!$A$2:$C$45,2,FALSE)</f>
        <v>Predominantly Urban</v>
      </c>
      <c r="H3071" s="223" t="str">
        <f>VLOOKUP($B3071,'FRS geographical categories'!$A$2:$C$45,3,FALSE)</f>
        <v>Metropolitan</v>
      </c>
      <c r="I3071" s="224">
        <v>0</v>
      </c>
    </row>
    <row r="3072" spans="1:9" ht="15.5" x14ac:dyDescent="0.35">
      <c r="A3072" s="224" t="s">
        <v>81</v>
      </c>
      <c r="B3072" s="224" t="s">
        <v>52</v>
      </c>
      <c r="C3072" s="224" t="s">
        <v>86</v>
      </c>
      <c r="D3072" s="224" t="s">
        <v>55</v>
      </c>
      <c r="E3072" s="224" t="s">
        <v>256</v>
      </c>
      <c r="F3072" s="224" t="s">
        <v>111</v>
      </c>
      <c r="G3072" s="223" t="str">
        <f>VLOOKUP($B3072,'FRS geographical categories'!$A$2:$C$45,2,FALSE)</f>
        <v>Predominantly Urban</v>
      </c>
      <c r="H3072" s="223" t="str">
        <f>VLOOKUP($B3072,'FRS geographical categories'!$A$2:$C$45,3,FALSE)</f>
        <v>Metropolitan</v>
      </c>
      <c r="I3072" s="224">
        <v>0</v>
      </c>
    </row>
    <row r="3073" spans="1:9" ht="15.5" x14ac:dyDescent="0.35">
      <c r="A3073" s="224" t="s">
        <v>81</v>
      </c>
      <c r="B3073" s="224" t="s">
        <v>52</v>
      </c>
      <c r="C3073" s="224" t="s">
        <v>86</v>
      </c>
      <c r="D3073" s="224" t="s">
        <v>55</v>
      </c>
      <c r="E3073" s="224" t="s">
        <v>256</v>
      </c>
      <c r="F3073" s="224" t="s">
        <v>10</v>
      </c>
      <c r="G3073" s="223" t="str">
        <f>VLOOKUP($B3073,'FRS geographical categories'!$A$2:$C$45,2,FALSE)</f>
        <v>Predominantly Urban</v>
      </c>
      <c r="H3073" s="223" t="str">
        <f>VLOOKUP($B3073,'FRS geographical categories'!$A$2:$C$45,3,FALSE)</f>
        <v>Metropolitan</v>
      </c>
      <c r="I3073" s="224">
        <v>0</v>
      </c>
    </row>
    <row r="3074" spans="1:9" ht="15.5" x14ac:dyDescent="0.35">
      <c r="A3074" s="224" t="s">
        <v>81</v>
      </c>
      <c r="B3074" s="224" t="s">
        <v>52</v>
      </c>
      <c r="C3074" s="224" t="s">
        <v>89</v>
      </c>
      <c r="D3074" s="224" t="s">
        <v>9</v>
      </c>
      <c r="E3074" s="224" t="s">
        <v>256</v>
      </c>
      <c r="F3074" s="224" t="s">
        <v>248</v>
      </c>
      <c r="G3074" s="223" t="str">
        <f>VLOOKUP($B3074,'FRS geographical categories'!$A$2:$C$45,2,FALSE)</f>
        <v>Predominantly Urban</v>
      </c>
      <c r="H3074" s="223" t="str">
        <f>VLOOKUP($B3074,'FRS geographical categories'!$A$2:$C$45,3,FALSE)</f>
        <v>Metropolitan</v>
      </c>
      <c r="I3074" s="224">
        <v>0</v>
      </c>
    </row>
    <row r="3075" spans="1:9" ht="15.5" x14ac:dyDescent="0.35">
      <c r="A3075" s="224" t="s">
        <v>81</v>
      </c>
      <c r="B3075" s="224" t="s">
        <v>52</v>
      </c>
      <c r="C3075" s="224" t="s">
        <v>89</v>
      </c>
      <c r="D3075" s="224" t="s">
        <v>9</v>
      </c>
      <c r="E3075" s="224" t="s">
        <v>256</v>
      </c>
      <c r="F3075" s="224" t="s">
        <v>249</v>
      </c>
      <c r="G3075" s="223" t="str">
        <f>VLOOKUP($B3075,'FRS geographical categories'!$A$2:$C$45,2,FALSE)</f>
        <v>Predominantly Urban</v>
      </c>
      <c r="H3075" s="223" t="str">
        <f>VLOOKUP($B3075,'FRS geographical categories'!$A$2:$C$45,3,FALSE)</f>
        <v>Metropolitan</v>
      </c>
      <c r="I3075" s="224">
        <v>0</v>
      </c>
    </row>
    <row r="3076" spans="1:9" ht="15.5" x14ac:dyDescent="0.35">
      <c r="A3076" s="224" t="s">
        <v>81</v>
      </c>
      <c r="B3076" s="224" t="s">
        <v>52</v>
      </c>
      <c r="C3076" s="224" t="s">
        <v>89</v>
      </c>
      <c r="D3076" s="224" t="s">
        <v>9</v>
      </c>
      <c r="E3076" s="224" t="s">
        <v>256</v>
      </c>
      <c r="F3076" s="224" t="s">
        <v>250</v>
      </c>
      <c r="G3076" s="223" t="str">
        <f>VLOOKUP($B3076,'FRS geographical categories'!$A$2:$C$45,2,FALSE)</f>
        <v>Predominantly Urban</v>
      </c>
      <c r="H3076" s="223" t="str">
        <f>VLOOKUP($B3076,'FRS geographical categories'!$A$2:$C$45,3,FALSE)</f>
        <v>Metropolitan</v>
      </c>
      <c r="I3076" s="224">
        <v>0</v>
      </c>
    </row>
    <row r="3077" spans="1:9" ht="15.5" x14ac:dyDescent="0.35">
      <c r="A3077" s="224" t="s">
        <v>81</v>
      </c>
      <c r="B3077" s="224" t="s">
        <v>52</v>
      </c>
      <c r="C3077" s="224" t="s">
        <v>89</v>
      </c>
      <c r="D3077" s="224" t="s">
        <v>9</v>
      </c>
      <c r="E3077" s="224" t="s">
        <v>256</v>
      </c>
      <c r="F3077" s="224" t="s">
        <v>10</v>
      </c>
      <c r="G3077" s="223" t="str">
        <f>VLOOKUP($B3077,'FRS geographical categories'!$A$2:$C$45,2,FALSE)</f>
        <v>Predominantly Urban</v>
      </c>
      <c r="H3077" s="223" t="str">
        <f>VLOOKUP($B3077,'FRS geographical categories'!$A$2:$C$45,3,FALSE)</f>
        <v>Metropolitan</v>
      </c>
      <c r="I3077" s="224">
        <v>0</v>
      </c>
    </row>
    <row r="3078" spans="1:9" ht="15.5" x14ac:dyDescent="0.35">
      <c r="A3078" s="224" t="s">
        <v>81</v>
      </c>
      <c r="B3078" s="224" t="s">
        <v>52</v>
      </c>
      <c r="C3078" s="224" t="s">
        <v>89</v>
      </c>
      <c r="D3078" s="224" t="s">
        <v>55</v>
      </c>
      <c r="E3078" s="224" t="s">
        <v>256</v>
      </c>
      <c r="F3078" s="224" t="s">
        <v>248</v>
      </c>
      <c r="G3078" s="223" t="str">
        <f>VLOOKUP($B3078,'FRS geographical categories'!$A$2:$C$45,2,FALSE)</f>
        <v>Predominantly Urban</v>
      </c>
      <c r="H3078" s="223" t="str">
        <f>VLOOKUP($B3078,'FRS geographical categories'!$A$2:$C$45,3,FALSE)</f>
        <v>Metropolitan</v>
      </c>
      <c r="I3078" s="224">
        <v>0</v>
      </c>
    </row>
    <row r="3079" spans="1:9" ht="15.5" x14ac:dyDescent="0.35">
      <c r="A3079" s="224" t="s">
        <v>81</v>
      </c>
      <c r="B3079" s="224" t="s">
        <v>52</v>
      </c>
      <c r="C3079" s="224" t="s">
        <v>89</v>
      </c>
      <c r="D3079" s="224" t="s">
        <v>55</v>
      </c>
      <c r="E3079" s="224" t="s">
        <v>256</v>
      </c>
      <c r="F3079" s="224" t="s">
        <v>249</v>
      </c>
      <c r="G3079" s="223" t="str">
        <f>VLOOKUP($B3079,'FRS geographical categories'!$A$2:$C$45,2,FALSE)</f>
        <v>Predominantly Urban</v>
      </c>
      <c r="H3079" s="223" t="str">
        <f>VLOOKUP($B3079,'FRS geographical categories'!$A$2:$C$45,3,FALSE)</f>
        <v>Metropolitan</v>
      </c>
      <c r="I3079" s="224">
        <v>0</v>
      </c>
    </row>
    <row r="3080" spans="1:9" ht="15.5" x14ac:dyDescent="0.35">
      <c r="A3080" s="224" t="s">
        <v>81</v>
      </c>
      <c r="B3080" s="224" t="s">
        <v>52</v>
      </c>
      <c r="C3080" s="224" t="s">
        <v>89</v>
      </c>
      <c r="D3080" s="224" t="s">
        <v>55</v>
      </c>
      <c r="E3080" s="224" t="s">
        <v>256</v>
      </c>
      <c r="F3080" s="224" t="s">
        <v>250</v>
      </c>
      <c r="G3080" s="223" t="str">
        <f>VLOOKUP($B3080,'FRS geographical categories'!$A$2:$C$45,2,FALSE)</f>
        <v>Predominantly Urban</v>
      </c>
      <c r="H3080" s="223" t="str">
        <f>VLOOKUP($B3080,'FRS geographical categories'!$A$2:$C$45,3,FALSE)</f>
        <v>Metropolitan</v>
      </c>
      <c r="I3080" s="224">
        <v>0</v>
      </c>
    </row>
    <row r="3081" spans="1:9" ht="15.5" x14ac:dyDescent="0.35">
      <c r="A3081" s="224" t="s">
        <v>81</v>
      </c>
      <c r="B3081" s="224" t="s">
        <v>52</v>
      </c>
      <c r="C3081" s="224" t="s">
        <v>89</v>
      </c>
      <c r="D3081" s="224" t="s">
        <v>55</v>
      </c>
      <c r="E3081" s="224" t="s">
        <v>256</v>
      </c>
      <c r="F3081" s="224" t="s">
        <v>10</v>
      </c>
      <c r="G3081" s="223" t="str">
        <f>VLOOKUP($B3081,'FRS geographical categories'!$A$2:$C$45,2,FALSE)</f>
        <v>Predominantly Urban</v>
      </c>
      <c r="H3081" s="223" t="str">
        <f>VLOOKUP($B3081,'FRS geographical categories'!$A$2:$C$45,3,FALSE)</f>
        <v>Metropolitan</v>
      </c>
      <c r="I3081" s="224">
        <v>0</v>
      </c>
    </row>
    <row r="3082" spans="1:9" ht="15.5" x14ac:dyDescent="0.35">
      <c r="A3082" s="224" t="s">
        <v>247</v>
      </c>
      <c r="B3082" s="224" t="s">
        <v>8</v>
      </c>
      <c r="C3082" s="224" t="s">
        <v>86</v>
      </c>
      <c r="D3082" s="224" t="s">
        <v>9</v>
      </c>
      <c r="E3082" s="224" t="s">
        <v>256</v>
      </c>
      <c r="F3082" s="224" t="s">
        <v>248</v>
      </c>
      <c r="G3082" s="223" t="str">
        <f>VLOOKUP($B3082,'FRS geographical categories'!$A$2:$C$45,2,FALSE)</f>
        <v>Predominantly Urban</v>
      </c>
      <c r="H3082" s="223" t="str">
        <f>VLOOKUP($B3082,'FRS geographical categories'!$A$2:$C$45,3,FALSE)</f>
        <v>Non-metropolitan</v>
      </c>
      <c r="I3082" s="224">
        <v>672</v>
      </c>
    </row>
    <row r="3083" spans="1:9" ht="15.5" x14ac:dyDescent="0.35">
      <c r="A3083" s="224" t="s">
        <v>247</v>
      </c>
      <c r="B3083" s="224" t="s">
        <v>8</v>
      </c>
      <c r="C3083" s="224" t="s">
        <v>86</v>
      </c>
      <c r="D3083" s="224" t="s">
        <v>9</v>
      </c>
      <c r="E3083" s="224" t="s">
        <v>256</v>
      </c>
      <c r="F3083" s="224" t="s">
        <v>249</v>
      </c>
      <c r="G3083" s="223" t="str">
        <f>VLOOKUP($B3083,'FRS geographical categories'!$A$2:$C$45,2,FALSE)</f>
        <v>Predominantly Urban</v>
      </c>
      <c r="H3083" s="223" t="str">
        <f>VLOOKUP($B3083,'FRS geographical categories'!$A$2:$C$45,3,FALSE)</f>
        <v>Non-metropolitan</v>
      </c>
      <c r="I3083" s="224">
        <v>2524</v>
      </c>
    </row>
    <row r="3084" spans="1:9" ht="15.5" x14ac:dyDescent="0.35">
      <c r="A3084" s="224" t="s">
        <v>247</v>
      </c>
      <c r="B3084" s="224" t="s">
        <v>8</v>
      </c>
      <c r="C3084" s="224" t="s">
        <v>86</v>
      </c>
      <c r="D3084" s="224" t="s">
        <v>9</v>
      </c>
      <c r="E3084" s="224" t="s">
        <v>256</v>
      </c>
      <c r="F3084" s="224" t="s">
        <v>250</v>
      </c>
      <c r="G3084" s="223" t="str">
        <f>VLOOKUP($B3084,'FRS geographical categories'!$A$2:$C$45,2,FALSE)</f>
        <v>Predominantly Urban</v>
      </c>
      <c r="H3084" s="223" t="str">
        <f>VLOOKUP($B3084,'FRS geographical categories'!$A$2:$C$45,3,FALSE)</f>
        <v>Non-metropolitan</v>
      </c>
      <c r="I3084" s="224">
        <v>1061</v>
      </c>
    </row>
    <row r="3085" spans="1:9" ht="15.5" x14ac:dyDescent="0.35">
      <c r="A3085" s="224" t="s">
        <v>247</v>
      </c>
      <c r="B3085" s="224" t="s">
        <v>8</v>
      </c>
      <c r="C3085" s="224" t="s">
        <v>86</v>
      </c>
      <c r="D3085" s="224" t="s">
        <v>9</v>
      </c>
      <c r="E3085" s="224" t="s">
        <v>256</v>
      </c>
      <c r="F3085" s="224" t="s">
        <v>111</v>
      </c>
      <c r="G3085" s="223" t="str">
        <f>VLOOKUP($B3085,'FRS geographical categories'!$A$2:$C$45,2,FALSE)</f>
        <v>Predominantly Urban</v>
      </c>
      <c r="H3085" s="223" t="str">
        <f>VLOOKUP($B3085,'FRS geographical categories'!$A$2:$C$45,3,FALSE)</f>
        <v>Non-metropolitan</v>
      </c>
      <c r="I3085" s="224">
        <v>4929</v>
      </c>
    </row>
    <row r="3086" spans="1:9" ht="15.5" x14ac:dyDescent="0.35">
      <c r="A3086" s="224" t="s">
        <v>247</v>
      </c>
      <c r="B3086" s="224" t="s">
        <v>8</v>
      </c>
      <c r="C3086" s="224" t="s">
        <v>86</v>
      </c>
      <c r="D3086" s="224" t="s">
        <v>9</v>
      </c>
      <c r="E3086" s="224" t="s">
        <v>256</v>
      </c>
      <c r="F3086" s="224" t="s">
        <v>10</v>
      </c>
      <c r="G3086" s="223" t="str">
        <f>VLOOKUP($B3086,'FRS geographical categories'!$A$2:$C$45,2,FALSE)</f>
        <v>Predominantly Urban</v>
      </c>
      <c r="H3086" s="223" t="str">
        <f>VLOOKUP($B3086,'FRS geographical categories'!$A$2:$C$45,3,FALSE)</f>
        <v>Non-metropolitan</v>
      </c>
      <c r="I3086" s="224">
        <v>5069</v>
      </c>
    </row>
    <row r="3087" spans="1:9" ht="15.5" x14ac:dyDescent="0.35">
      <c r="A3087" s="224" t="s">
        <v>247</v>
      </c>
      <c r="B3087" s="224" t="s">
        <v>8</v>
      </c>
      <c r="C3087" s="224" t="s">
        <v>86</v>
      </c>
      <c r="D3087" s="224" t="s">
        <v>55</v>
      </c>
      <c r="E3087" s="224" t="s">
        <v>256</v>
      </c>
      <c r="F3087" s="224" t="s">
        <v>248</v>
      </c>
      <c r="G3087" s="223" t="str">
        <f>VLOOKUP($B3087,'FRS geographical categories'!$A$2:$C$45,2,FALSE)</f>
        <v>Predominantly Urban</v>
      </c>
      <c r="H3087" s="223" t="str">
        <f>VLOOKUP($B3087,'FRS geographical categories'!$A$2:$C$45,3,FALSE)</f>
        <v>Non-metropolitan</v>
      </c>
      <c r="I3087" s="224">
        <v>0</v>
      </c>
    </row>
    <row r="3088" spans="1:9" ht="15.5" x14ac:dyDescent="0.35">
      <c r="A3088" s="224" t="s">
        <v>247</v>
      </c>
      <c r="B3088" s="224" t="s">
        <v>8</v>
      </c>
      <c r="C3088" s="224" t="s">
        <v>86</v>
      </c>
      <c r="D3088" s="224" t="s">
        <v>55</v>
      </c>
      <c r="E3088" s="224" t="s">
        <v>256</v>
      </c>
      <c r="F3088" s="224" t="s">
        <v>249</v>
      </c>
      <c r="G3088" s="223" t="str">
        <f>VLOOKUP($B3088,'FRS geographical categories'!$A$2:$C$45,2,FALSE)</f>
        <v>Predominantly Urban</v>
      </c>
      <c r="H3088" s="223" t="str">
        <f>VLOOKUP($B3088,'FRS geographical categories'!$A$2:$C$45,3,FALSE)</f>
        <v>Non-metropolitan</v>
      </c>
      <c r="I3088" s="224">
        <v>0</v>
      </c>
    </row>
    <row r="3089" spans="1:9" ht="15.5" x14ac:dyDescent="0.35">
      <c r="A3089" s="224" t="s">
        <v>247</v>
      </c>
      <c r="B3089" s="224" t="s">
        <v>8</v>
      </c>
      <c r="C3089" s="224" t="s">
        <v>86</v>
      </c>
      <c r="D3089" s="224" t="s">
        <v>55</v>
      </c>
      <c r="E3089" s="224" t="s">
        <v>256</v>
      </c>
      <c r="F3089" s="224" t="s">
        <v>250</v>
      </c>
      <c r="G3089" s="223" t="str">
        <f>VLOOKUP($B3089,'FRS geographical categories'!$A$2:$C$45,2,FALSE)</f>
        <v>Predominantly Urban</v>
      </c>
      <c r="H3089" s="223" t="str">
        <f>VLOOKUP($B3089,'FRS geographical categories'!$A$2:$C$45,3,FALSE)</f>
        <v>Non-metropolitan</v>
      </c>
      <c r="I3089" s="224">
        <v>0</v>
      </c>
    </row>
    <row r="3090" spans="1:9" ht="15.5" x14ac:dyDescent="0.35">
      <c r="A3090" s="224" t="s">
        <v>247</v>
      </c>
      <c r="B3090" s="224" t="s">
        <v>8</v>
      </c>
      <c r="C3090" s="224" t="s">
        <v>86</v>
      </c>
      <c r="D3090" s="224" t="s">
        <v>55</v>
      </c>
      <c r="E3090" s="224" t="s">
        <v>256</v>
      </c>
      <c r="F3090" s="224" t="s">
        <v>111</v>
      </c>
      <c r="G3090" s="223" t="str">
        <f>VLOOKUP($B3090,'FRS geographical categories'!$A$2:$C$45,2,FALSE)</f>
        <v>Predominantly Urban</v>
      </c>
      <c r="H3090" s="223" t="str">
        <f>VLOOKUP($B3090,'FRS geographical categories'!$A$2:$C$45,3,FALSE)</f>
        <v>Non-metropolitan</v>
      </c>
      <c r="I3090" s="224">
        <v>0</v>
      </c>
    </row>
    <row r="3091" spans="1:9" ht="15.5" x14ac:dyDescent="0.35">
      <c r="A3091" s="224" t="s">
        <v>247</v>
      </c>
      <c r="B3091" s="224" t="s">
        <v>8</v>
      </c>
      <c r="C3091" s="224" t="s">
        <v>86</v>
      </c>
      <c r="D3091" s="224" t="s">
        <v>55</v>
      </c>
      <c r="E3091" s="224" t="s">
        <v>256</v>
      </c>
      <c r="F3091" s="224" t="s">
        <v>10</v>
      </c>
      <c r="G3091" s="223" t="str">
        <f>VLOOKUP($B3091,'FRS geographical categories'!$A$2:$C$45,2,FALSE)</f>
        <v>Predominantly Urban</v>
      </c>
      <c r="H3091" s="223" t="str">
        <f>VLOOKUP($B3091,'FRS geographical categories'!$A$2:$C$45,3,FALSE)</f>
        <v>Non-metropolitan</v>
      </c>
      <c r="I3091" s="224">
        <v>0</v>
      </c>
    </row>
    <row r="3092" spans="1:9" ht="15.5" x14ac:dyDescent="0.35">
      <c r="A3092" s="224" t="s">
        <v>247</v>
      </c>
      <c r="B3092" s="224" t="s">
        <v>8</v>
      </c>
      <c r="C3092" s="224" t="s">
        <v>89</v>
      </c>
      <c r="D3092" s="224" t="s">
        <v>9</v>
      </c>
      <c r="E3092" s="224" t="s">
        <v>256</v>
      </c>
      <c r="F3092" s="224" t="s">
        <v>248</v>
      </c>
      <c r="G3092" s="223" t="str">
        <f>VLOOKUP($B3092,'FRS geographical categories'!$A$2:$C$45,2,FALSE)</f>
        <v>Predominantly Urban</v>
      </c>
      <c r="H3092" s="223" t="str">
        <f>VLOOKUP($B3092,'FRS geographical categories'!$A$2:$C$45,3,FALSE)</f>
        <v>Non-metropolitan</v>
      </c>
      <c r="I3092" s="224">
        <v>0</v>
      </c>
    </row>
    <row r="3093" spans="1:9" ht="15.5" x14ac:dyDescent="0.35">
      <c r="A3093" s="224" t="s">
        <v>247</v>
      </c>
      <c r="B3093" s="224" t="s">
        <v>8</v>
      </c>
      <c r="C3093" s="224" t="s">
        <v>89</v>
      </c>
      <c r="D3093" s="224" t="s">
        <v>9</v>
      </c>
      <c r="E3093" s="224" t="s">
        <v>256</v>
      </c>
      <c r="F3093" s="224" t="s">
        <v>249</v>
      </c>
      <c r="G3093" s="223" t="str">
        <f>VLOOKUP($B3093,'FRS geographical categories'!$A$2:$C$45,2,FALSE)</f>
        <v>Predominantly Urban</v>
      </c>
      <c r="H3093" s="223" t="str">
        <f>VLOOKUP($B3093,'FRS geographical categories'!$A$2:$C$45,3,FALSE)</f>
        <v>Non-metropolitan</v>
      </c>
      <c r="I3093" s="224">
        <v>0</v>
      </c>
    </row>
    <row r="3094" spans="1:9" ht="15.5" x14ac:dyDescent="0.35">
      <c r="A3094" s="224" t="s">
        <v>247</v>
      </c>
      <c r="B3094" s="224" t="s">
        <v>8</v>
      </c>
      <c r="C3094" s="224" t="s">
        <v>89</v>
      </c>
      <c r="D3094" s="224" t="s">
        <v>9</v>
      </c>
      <c r="E3094" s="224" t="s">
        <v>256</v>
      </c>
      <c r="F3094" s="224" t="s">
        <v>250</v>
      </c>
      <c r="G3094" s="223" t="str">
        <f>VLOOKUP($B3094,'FRS geographical categories'!$A$2:$C$45,2,FALSE)</f>
        <v>Predominantly Urban</v>
      </c>
      <c r="H3094" s="223" t="str">
        <f>VLOOKUP($B3094,'FRS geographical categories'!$A$2:$C$45,3,FALSE)</f>
        <v>Non-metropolitan</v>
      </c>
      <c r="I3094" s="224">
        <v>0</v>
      </c>
    </row>
    <row r="3095" spans="1:9" ht="15.5" x14ac:dyDescent="0.35">
      <c r="A3095" s="224" t="s">
        <v>247</v>
      </c>
      <c r="B3095" s="224" t="s">
        <v>8</v>
      </c>
      <c r="C3095" s="224" t="s">
        <v>89</v>
      </c>
      <c r="D3095" s="224" t="s">
        <v>9</v>
      </c>
      <c r="E3095" s="224" t="s">
        <v>256</v>
      </c>
      <c r="F3095" s="224" t="s">
        <v>10</v>
      </c>
      <c r="G3095" s="223" t="str">
        <f>VLOOKUP($B3095,'FRS geographical categories'!$A$2:$C$45,2,FALSE)</f>
        <v>Predominantly Urban</v>
      </c>
      <c r="H3095" s="223" t="str">
        <f>VLOOKUP($B3095,'FRS geographical categories'!$A$2:$C$45,3,FALSE)</f>
        <v>Non-metropolitan</v>
      </c>
      <c r="I3095" s="224">
        <v>0</v>
      </c>
    </row>
    <row r="3096" spans="1:9" ht="15.5" x14ac:dyDescent="0.35">
      <c r="A3096" s="224" t="s">
        <v>247</v>
      </c>
      <c r="B3096" s="224" t="s">
        <v>8</v>
      </c>
      <c r="C3096" s="224" t="s">
        <v>89</v>
      </c>
      <c r="D3096" s="224" t="s">
        <v>55</v>
      </c>
      <c r="E3096" s="224" t="s">
        <v>256</v>
      </c>
      <c r="F3096" s="224" t="s">
        <v>248</v>
      </c>
      <c r="G3096" s="223" t="str">
        <f>VLOOKUP($B3096,'FRS geographical categories'!$A$2:$C$45,2,FALSE)</f>
        <v>Predominantly Urban</v>
      </c>
      <c r="H3096" s="223" t="str">
        <f>VLOOKUP($B3096,'FRS geographical categories'!$A$2:$C$45,3,FALSE)</f>
        <v>Non-metropolitan</v>
      </c>
      <c r="I3096" s="224">
        <v>0</v>
      </c>
    </row>
    <row r="3097" spans="1:9" ht="15.5" x14ac:dyDescent="0.35">
      <c r="A3097" s="224" t="s">
        <v>247</v>
      </c>
      <c r="B3097" s="224" t="s">
        <v>8</v>
      </c>
      <c r="C3097" s="224" t="s">
        <v>89</v>
      </c>
      <c r="D3097" s="224" t="s">
        <v>55</v>
      </c>
      <c r="E3097" s="224" t="s">
        <v>256</v>
      </c>
      <c r="F3097" s="224" t="s">
        <v>249</v>
      </c>
      <c r="G3097" s="223" t="str">
        <f>VLOOKUP($B3097,'FRS geographical categories'!$A$2:$C$45,2,FALSE)</f>
        <v>Predominantly Urban</v>
      </c>
      <c r="H3097" s="223" t="str">
        <f>VLOOKUP($B3097,'FRS geographical categories'!$A$2:$C$45,3,FALSE)</f>
        <v>Non-metropolitan</v>
      </c>
      <c r="I3097" s="224">
        <v>0</v>
      </c>
    </row>
    <row r="3098" spans="1:9" ht="15.5" x14ac:dyDescent="0.35">
      <c r="A3098" s="224" t="s">
        <v>247</v>
      </c>
      <c r="B3098" s="224" t="s">
        <v>8</v>
      </c>
      <c r="C3098" s="224" t="s">
        <v>89</v>
      </c>
      <c r="D3098" s="224" t="s">
        <v>55</v>
      </c>
      <c r="E3098" s="224" t="s">
        <v>256</v>
      </c>
      <c r="F3098" s="224" t="s">
        <v>250</v>
      </c>
      <c r="G3098" s="223" t="str">
        <f>VLOOKUP($B3098,'FRS geographical categories'!$A$2:$C$45,2,FALSE)</f>
        <v>Predominantly Urban</v>
      </c>
      <c r="H3098" s="223" t="str">
        <f>VLOOKUP($B3098,'FRS geographical categories'!$A$2:$C$45,3,FALSE)</f>
        <v>Non-metropolitan</v>
      </c>
      <c r="I3098" s="224">
        <v>0</v>
      </c>
    </row>
    <row r="3099" spans="1:9" ht="15.5" x14ac:dyDescent="0.35">
      <c r="A3099" s="224" t="s">
        <v>247</v>
      </c>
      <c r="B3099" s="224" t="s">
        <v>8</v>
      </c>
      <c r="C3099" s="224" t="s">
        <v>89</v>
      </c>
      <c r="D3099" s="224" t="s">
        <v>55</v>
      </c>
      <c r="E3099" s="224" t="s">
        <v>256</v>
      </c>
      <c r="F3099" s="224" t="s">
        <v>10</v>
      </c>
      <c r="G3099" s="223" t="str">
        <f>VLOOKUP($B3099,'FRS geographical categories'!$A$2:$C$45,2,FALSE)</f>
        <v>Predominantly Urban</v>
      </c>
      <c r="H3099" s="223" t="str">
        <f>VLOOKUP($B3099,'FRS geographical categories'!$A$2:$C$45,3,FALSE)</f>
        <v>Non-metropolitan</v>
      </c>
      <c r="I3099" s="224">
        <v>0</v>
      </c>
    </row>
    <row r="3100" spans="1:9" ht="15.5" x14ac:dyDescent="0.35">
      <c r="A3100" s="224" t="s">
        <v>247</v>
      </c>
      <c r="B3100" s="224" t="s">
        <v>11</v>
      </c>
      <c r="C3100" s="224" t="s">
        <v>86</v>
      </c>
      <c r="D3100" s="224" t="s">
        <v>9</v>
      </c>
      <c r="E3100" s="224" t="s">
        <v>256</v>
      </c>
      <c r="F3100" s="224" t="s">
        <v>248</v>
      </c>
      <c r="G3100" s="223" t="str">
        <f>VLOOKUP($B3100,'FRS geographical categories'!$A$2:$C$45,2,FALSE)</f>
        <v>Significantly Rural</v>
      </c>
      <c r="H3100" s="223" t="str">
        <f>VLOOKUP($B3100,'FRS geographical categories'!$A$2:$C$45,3,FALSE)</f>
        <v>Non-metropolitan</v>
      </c>
      <c r="I3100" s="224">
        <v>821</v>
      </c>
    </row>
    <row r="3101" spans="1:9" ht="15.5" x14ac:dyDescent="0.35">
      <c r="A3101" s="224" t="s">
        <v>247</v>
      </c>
      <c r="B3101" s="224" t="s">
        <v>11</v>
      </c>
      <c r="C3101" s="224" t="s">
        <v>86</v>
      </c>
      <c r="D3101" s="224" t="s">
        <v>9</v>
      </c>
      <c r="E3101" s="224" t="s">
        <v>256</v>
      </c>
      <c r="F3101" s="224" t="s">
        <v>249</v>
      </c>
      <c r="G3101" s="223" t="str">
        <f>VLOOKUP($B3101,'FRS geographical categories'!$A$2:$C$45,2,FALSE)</f>
        <v>Significantly Rural</v>
      </c>
      <c r="H3101" s="223" t="str">
        <f>VLOOKUP($B3101,'FRS geographical categories'!$A$2:$C$45,3,FALSE)</f>
        <v>Non-metropolitan</v>
      </c>
      <c r="I3101" s="224">
        <v>2187</v>
      </c>
    </row>
    <row r="3102" spans="1:9" ht="15.5" x14ac:dyDescent="0.35">
      <c r="A3102" s="224" t="s">
        <v>247</v>
      </c>
      <c r="B3102" s="224" t="s">
        <v>11</v>
      </c>
      <c r="C3102" s="224" t="s">
        <v>86</v>
      </c>
      <c r="D3102" s="224" t="s">
        <v>9</v>
      </c>
      <c r="E3102" s="224" t="s">
        <v>256</v>
      </c>
      <c r="F3102" s="224" t="s">
        <v>250</v>
      </c>
      <c r="G3102" s="223" t="str">
        <f>VLOOKUP($B3102,'FRS geographical categories'!$A$2:$C$45,2,FALSE)</f>
        <v>Significantly Rural</v>
      </c>
      <c r="H3102" s="223" t="str">
        <f>VLOOKUP($B3102,'FRS geographical categories'!$A$2:$C$45,3,FALSE)</f>
        <v>Non-metropolitan</v>
      </c>
      <c r="I3102" s="224">
        <v>1308</v>
      </c>
    </row>
    <row r="3103" spans="1:9" ht="15.5" x14ac:dyDescent="0.35">
      <c r="A3103" s="224" t="s">
        <v>247</v>
      </c>
      <c r="B3103" s="224" t="s">
        <v>11</v>
      </c>
      <c r="C3103" s="224" t="s">
        <v>86</v>
      </c>
      <c r="D3103" s="224" t="s">
        <v>9</v>
      </c>
      <c r="E3103" s="224" t="s">
        <v>256</v>
      </c>
      <c r="F3103" s="224" t="s">
        <v>111</v>
      </c>
      <c r="G3103" s="223" t="str">
        <f>VLOOKUP($B3103,'FRS geographical categories'!$A$2:$C$45,2,FALSE)</f>
        <v>Significantly Rural</v>
      </c>
      <c r="H3103" s="223" t="str">
        <f>VLOOKUP($B3103,'FRS geographical categories'!$A$2:$C$45,3,FALSE)</f>
        <v>Non-metropolitan</v>
      </c>
      <c r="I3103" s="224">
        <v>6024</v>
      </c>
    </row>
    <row r="3104" spans="1:9" ht="15.5" x14ac:dyDescent="0.35">
      <c r="A3104" s="224" t="s">
        <v>247</v>
      </c>
      <c r="B3104" s="224" t="s">
        <v>11</v>
      </c>
      <c r="C3104" s="224" t="s">
        <v>86</v>
      </c>
      <c r="D3104" s="224" t="s">
        <v>9</v>
      </c>
      <c r="E3104" s="224" t="s">
        <v>256</v>
      </c>
      <c r="F3104" s="224" t="s">
        <v>10</v>
      </c>
      <c r="G3104" s="223" t="str">
        <f>VLOOKUP($B3104,'FRS geographical categories'!$A$2:$C$45,2,FALSE)</f>
        <v>Significantly Rural</v>
      </c>
      <c r="H3104" s="223" t="str">
        <f>VLOOKUP($B3104,'FRS geographical categories'!$A$2:$C$45,3,FALSE)</f>
        <v>Non-metropolitan</v>
      </c>
      <c r="I3104" s="224">
        <v>6168</v>
      </c>
    </row>
    <row r="3105" spans="1:9" ht="15.5" x14ac:dyDescent="0.35">
      <c r="A3105" s="224" t="s">
        <v>247</v>
      </c>
      <c r="B3105" s="224" t="s">
        <v>11</v>
      </c>
      <c r="C3105" s="224" t="s">
        <v>86</v>
      </c>
      <c r="D3105" s="224" t="s">
        <v>55</v>
      </c>
      <c r="E3105" s="224" t="s">
        <v>256</v>
      </c>
      <c r="F3105" s="224" t="s">
        <v>248</v>
      </c>
      <c r="G3105" s="223" t="str">
        <f>VLOOKUP($B3105,'FRS geographical categories'!$A$2:$C$45,2,FALSE)</f>
        <v>Significantly Rural</v>
      </c>
      <c r="H3105" s="223" t="str">
        <f>VLOOKUP($B3105,'FRS geographical categories'!$A$2:$C$45,3,FALSE)</f>
        <v>Non-metropolitan</v>
      </c>
      <c r="I3105" s="224">
        <v>28</v>
      </c>
    </row>
    <row r="3106" spans="1:9" ht="15.5" x14ac:dyDescent="0.35">
      <c r="A3106" s="224" t="s">
        <v>247</v>
      </c>
      <c r="B3106" s="224" t="s">
        <v>11</v>
      </c>
      <c r="C3106" s="224" t="s">
        <v>86</v>
      </c>
      <c r="D3106" s="224" t="s">
        <v>55</v>
      </c>
      <c r="E3106" s="224" t="s">
        <v>256</v>
      </c>
      <c r="F3106" s="224" t="s">
        <v>249</v>
      </c>
      <c r="G3106" s="223" t="str">
        <f>VLOOKUP($B3106,'FRS geographical categories'!$A$2:$C$45,2,FALSE)</f>
        <v>Significantly Rural</v>
      </c>
      <c r="H3106" s="223" t="str">
        <f>VLOOKUP($B3106,'FRS geographical categories'!$A$2:$C$45,3,FALSE)</f>
        <v>Non-metropolitan</v>
      </c>
      <c r="I3106" s="224">
        <v>49</v>
      </c>
    </row>
    <row r="3107" spans="1:9" ht="15.5" x14ac:dyDescent="0.35">
      <c r="A3107" s="224" t="s">
        <v>247</v>
      </c>
      <c r="B3107" s="224" t="s">
        <v>11</v>
      </c>
      <c r="C3107" s="224" t="s">
        <v>86</v>
      </c>
      <c r="D3107" s="224" t="s">
        <v>55</v>
      </c>
      <c r="E3107" s="224" t="s">
        <v>256</v>
      </c>
      <c r="F3107" s="224" t="s">
        <v>250</v>
      </c>
      <c r="G3107" s="223" t="str">
        <f>VLOOKUP($B3107,'FRS geographical categories'!$A$2:$C$45,2,FALSE)</f>
        <v>Significantly Rural</v>
      </c>
      <c r="H3107" s="223" t="str">
        <f>VLOOKUP($B3107,'FRS geographical categories'!$A$2:$C$45,3,FALSE)</f>
        <v>Non-metropolitan</v>
      </c>
      <c r="I3107" s="224">
        <v>130</v>
      </c>
    </row>
    <row r="3108" spans="1:9" ht="15.5" x14ac:dyDescent="0.35">
      <c r="A3108" s="224" t="s">
        <v>247</v>
      </c>
      <c r="B3108" s="224" t="s">
        <v>11</v>
      </c>
      <c r="C3108" s="224" t="s">
        <v>86</v>
      </c>
      <c r="D3108" s="224" t="s">
        <v>55</v>
      </c>
      <c r="E3108" s="224" t="s">
        <v>256</v>
      </c>
      <c r="F3108" s="224" t="s">
        <v>111</v>
      </c>
      <c r="G3108" s="223" t="str">
        <f>VLOOKUP($B3108,'FRS geographical categories'!$A$2:$C$45,2,FALSE)</f>
        <v>Significantly Rural</v>
      </c>
      <c r="H3108" s="223" t="str">
        <f>VLOOKUP($B3108,'FRS geographical categories'!$A$2:$C$45,3,FALSE)</f>
        <v>Non-metropolitan</v>
      </c>
      <c r="I3108" s="224">
        <v>563</v>
      </c>
    </row>
    <row r="3109" spans="1:9" ht="15.5" x14ac:dyDescent="0.35">
      <c r="A3109" s="224" t="s">
        <v>247</v>
      </c>
      <c r="B3109" s="224" t="s">
        <v>11</v>
      </c>
      <c r="C3109" s="224" t="s">
        <v>86</v>
      </c>
      <c r="D3109" s="224" t="s">
        <v>55</v>
      </c>
      <c r="E3109" s="224" t="s">
        <v>256</v>
      </c>
      <c r="F3109" s="224" t="s">
        <v>10</v>
      </c>
      <c r="G3109" s="223" t="str">
        <f>VLOOKUP($B3109,'FRS geographical categories'!$A$2:$C$45,2,FALSE)</f>
        <v>Significantly Rural</v>
      </c>
      <c r="H3109" s="223" t="str">
        <f>VLOOKUP($B3109,'FRS geographical categories'!$A$2:$C$45,3,FALSE)</f>
        <v>Non-metropolitan</v>
      </c>
      <c r="I3109" s="224">
        <v>601</v>
      </c>
    </row>
    <row r="3110" spans="1:9" ht="15.5" x14ac:dyDescent="0.35">
      <c r="A3110" s="224" t="s">
        <v>247</v>
      </c>
      <c r="B3110" s="224" t="s">
        <v>11</v>
      </c>
      <c r="C3110" s="224" t="s">
        <v>89</v>
      </c>
      <c r="D3110" s="224" t="s">
        <v>9</v>
      </c>
      <c r="E3110" s="224" t="s">
        <v>256</v>
      </c>
      <c r="F3110" s="224" t="s">
        <v>248</v>
      </c>
      <c r="G3110" s="223" t="str">
        <f>VLOOKUP($B3110,'FRS geographical categories'!$A$2:$C$45,2,FALSE)</f>
        <v>Significantly Rural</v>
      </c>
      <c r="H3110" s="223" t="str">
        <f>VLOOKUP($B3110,'FRS geographical categories'!$A$2:$C$45,3,FALSE)</f>
        <v>Non-metropolitan</v>
      </c>
      <c r="I3110" s="224">
        <v>0</v>
      </c>
    </row>
    <row r="3111" spans="1:9" ht="15.5" x14ac:dyDescent="0.35">
      <c r="A3111" s="224" t="s">
        <v>247</v>
      </c>
      <c r="B3111" s="224" t="s">
        <v>11</v>
      </c>
      <c r="C3111" s="224" t="s">
        <v>89</v>
      </c>
      <c r="D3111" s="224" t="s">
        <v>9</v>
      </c>
      <c r="E3111" s="224" t="s">
        <v>256</v>
      </c>
      <c r="F3111" s="224" t="s">
        <v>249</v>
      </c>
      <c r="G3111" s="223" t="str">
        <f>VLOOKUP($B3111,'FRS geographical categories'!$A$2:$C$45,2,FALSE)</f>
        <v>Significantly Rural</v>
      </c>
      <c r="H3111" s="223" t="str">
        <f>VLOOKUP($B3111,'FRS geographical categories'!$A$2:$C$45,3,FALSE)</f>
        <v>Non-metropolitan</v>
      </c>
      <c r="I3111" s="224">
        <v>0</v>
      </c>
    </row>
    <row r="3112" spans="1:9" ht="15.5" x14ac:dyDescent="0.35">
      <c r="A3112" s="224" t="s">
        <v>247</v>
      </c>
      <c r="B3112" s="224" t="s">
        <v>11</v>
      </c>
      <c r="C3112" s="224" t="s">
        <v>89</v>
      </c>
      <c r="D3112" s="224" t="s">
        <v>9</v>
      </c>
      <c r="E3112" s="224" t="s">
        <v>256</v>
      </c>
      <c r="F3112" s="224" t="s">
        <v>250</v>
      </c>
      <c r="G3112" s="223" t="str">
        <f>VLOOKUP($B3112,'FRS geographical categories'!$A$2:$C$45,2,FALSE)</f>
        <v>Significantly Rural</v>
      </c>
      <c r="H3112" s="223" t="str">
        <f>VLOOKUP($B3112,'FRS geographical categories'!$A$2:$C$45,3,FALSE)</f>
        <v>Non-metropolitan</v>
      </c>
      <c r="I3112" s="224">
        <v>0</v>
      </c>
    </row>
    <row r="3113" spans="1:9" ht="15.5" x14ac:dyDescent="0.35">
      <c r="A3113" s="224" t="s">
        <v>247</v>
      </c>
      <c r="B3113" s="224" t="s">
        <v>11</v>
      </c>
      <c r="C3113" s="224" t="s">
        <v>89</v>
      </c>
      <c r="D3113" s="224" t="s">
        <v>9</v>
      </c>
      <c r="E3113" s="224" t="s">
        <v>256</v>
      </c>
      <c r="F3113" s="224" t="s">
        <v>10</v>
      </c>
      <c r="G3113" s="223" t="str">
        <f>VLOOKUP($B3113,'FRS geographical categories'!$A$2:$C$45,2,FALSE)</f>
        <v>Significantly Rural</v>
      </c>
      <c r="H3113" s="223" t="str">
        <f>VLOOKUP($B3113,'FRS geographical categories'!$A$2:$C$45,3,FALSE)</f>
        <v>Non-metropolitan</v>
      </c>
      <c r="I3113" s="224">
        <v>0</v>
      </c>
    </row>
    <row r="3114" spans="1:9" ht="15.5" x14ac:dyDescent="0.35">
      <c r="A3114" s="224" t="s">
        <v>247</v>
      </c>
      <c r="B3114" s="224" t="s">
        <v>11</v>
      </c>
      <c r="C3114" s="224" t="s">
        <v>89</v>
      </c>
      <c r="D3114" s="224" t="s">
        <v>55</v>
      </c>
      <c r="E3114" s="224" t="s">
        <v>256</v>
      </c>
      <c r="F3114" s="224" t="s">
        <v>248</v>
      </c>
      <c r="G3114" s="223" t="str">
        <f>VLOOKUP($B3114,'FRS geographical categories'!$A$2:$C$45,2,FALSE)</f>
        <v>Significantly Rural</v>
      </c>
      <c r="H3114" s="223" t="str">
        <f>VLOOKUP($B3114,'FRS geographical categories'!$A$2:$C$45,3,FALSE)</f>
        <v>Non-metropolitan</v>
      </c>
      <c r="I3114" s="224">
        <v>0</v>
      </c>
    </row>
    <row r="3115" spans="1:9" ht="15.5" x14ac:dyDescent="0.35">
      <c r="A3115" s="224" t="s">
        <v>247</v>
      </c>
      <c r="B3115" s="224" t="s">
        <v>11</v>
      </c>
      <c r="C3115" s="224" t="s">
        <v>89</v>
      </c>
      <c r="D3115" s="224" t="s">
        <v>55</v>
      </c>
      <c r="E3115" s="224" t="s">
        <v>256</v>
      </c>
      <c r="F3115" s="224" t="s">
        <v>249</v>
      </c>
      <c r="G3115" s="223" t="str">
        <f>VLOOKUP($B3115,'FRS geographical categories'!$A$2:$C$45,2,FALSE)</f>
        <v>Significantly Rural</v>
      </c>
      <c r="H3115" s="223" t="str">
        <f>VLOOKUP($B3115,'FRS geographical categories'!$A$2:$C$45,3,FALSE)</f>
        <v>Non-metropolitan</v>
      </c>
      <c r="I3115" s="224">
        <v>0</v>
      </c>
    </row>
    <row r="3116" spans="1:9" ht="15.5" x14ac:dyDescent="0.35">
      <c r="A3116" s="224" t="s">
        <v>247</v>
      </c>
      <c r="B3116" s="224" t="s">
        <v>11</v>
      </c>
      <c r="C3116" s="224" t="s">
        <v>89</v>
      </c>
      <c r="D3116" s="224" t="s">
        <v>55</v>
      </c>
      <c r="E3116" s="224" t="s">
        <v>256</v>
      </c>
      <c r="F3116" s="224" t="s">
        <v>250</v>
      </c>
      <c r="G3116" s="223" t="str">
        <f>VLOOKUP($B3116,'FRS geographical categories'!$A$2:$C$45,2,FALSE)</f>
        <v>Significantly Rural</v>
      </c>
      <c r="H3116" s="223" t="str">
        <f>VLOOKUP($B3116,'FRS geographical categories'!$A$2:$C$45,3,FALSE)</f>
        <v>Non-metropolitan</v>
      </c>
      <c r="I3116" s="224">
        <v>0</v>
      </c>
    </row>
    <row r="3117" spans="1:9" ht="15.5" x14ac:dyDescent="0.35">
      <c r="A3117" s="224" t="s">
        <v>247</v>
      </c>
      <c r="B3117" s="224" t="s">
        <v>11</v>
      </c>
      <c r="C3117" s="224" t="s">
        <v>89</v>
      </c>
      <c r="D3117" s="224" t="s">
        <v>55</v>
      </c>
      <c r="E3117" s="224" t="s">
        <v>256</v>
      </c>
      <c r="F3117" s="224" t="s">
        <v>10</v>
      </c>
      <c r="G3117" s="223" t="str">
        <f>VLOOKUP($B3117,'FRS geographical categories'!$A$2:$C$45,2,FALSE)</f>
        <v>Significantly Rural</v>
      </c>
      <c r="H3117" s="223" t="str">
        <f>VLOOKUP($B3117,'FRS geographical categories'!$A$2:$C$45,3,FALSE)</f>
        <v>Non-metropolitan</v>
      </c>
      <c r="I3117" s="224">
        <v>0</v>
      </c>
    </row>
    <row r="3118" spans="1:9" ht="15.5" x14ac:dyDescent="0.35">
      <c r="A3118" s="224" t="s">
        <v>247</v>
      </c>
      <c r="B3118" s="224" t="s">
        <v>12</v>
      </c>
      <c r="C3118" s="224" t="s">
        <v>86</v>
      </c>
      <c r="D3118" s="224" t="s">
        <v>9</v>
      </c>
      <c r="E3118" s="224" t="s">
        <v>256</v>
      </c>
      <c r="F3118" s="224" t="s">
        <v>248</v>
      </c>
      <c r="G3118" s="223" t="str">
        <f>VLOOKUP($B3118,'FRS geographical categories'!$A$2:$C$45,2,FALSE)</f>
        <v>Predominantly Urban</v>
      </c>
      <c r="H3118" s="223" t="str">
        <f>VLOOKUP($B3118,'FRS geographical categories'!$A$2:$C$45,3,FALSE)</f>
        <v>Non-metropolitan</v>
      </c>
      <c r="I3118" s="224">
        <v>206</v>
      </c>
    </row>
    <row r="3119" spans="1:9" ht="15.5" x14ac:dyDescent="0.35">
      <c r="A3119" s="224" t="s">
        <v>247</v>
      </c>
      <c r="B3119" s="224" t="s">
        <v>12</v>
      </c>
      <c r="C3119" s="224" t="s">
        <v>86</v>
      </c>
      <c r="D3119" s="224" t="s">
        <v>9</v>
      </c>
      <c r="E3119" s="224" t="s">
        <v>256</v>
      </c>
      <c r="F3119" s="224" t="s">
        <v>249</v>
      </c>
      <c r="G3119" s="223" t="str">
        <f>VLOOKUP($B3119,'FRS geographical categories'!$A$2:$C$45,2,FALSE)</f>
        <v>Predominantly Urban</v>
      </c>
      <c r="H3119" s="223" t="str">
        <f>VLOOKUP($B3119,'FRS geographical categories'!$A$2:$C$45,3,FALSE)</f>
        <v>Non-metropolitan</v>
      </c>
      <c r="I3119" s="224">
        <v>678</v>
      </c>
    </row>
    <row r="3120" spans="1:9" ht="15.5" x14ac:dyDescent="0.35">
      <c r="A3120" s="224" t="s">
        <v>247</v>
      </c>
      <c r="B3120" s="224" t="s">
        <v>12</v>
      </c>
      <c r="C3120" s="224" t="s">
        <v>86</v>
      </c>
      <c r="D3120" s="224" t="s">
        <v>9</v>
      </c>
      <c r="E3120" s="224" t="s">
        <v>256</v>
      </c>
      <c r="F3120" s="224" t="s">
        <v>250</v>
      </c>
      <c r="G3120" s="223" t="str">
        <f>VLOOKUP($B3120,'FRS geographical categories'!$A$2:$C$45,2,FALSE)</f>
        <v>Predominantly Urban</v>
      </c>
      <c r="H3120" s="223" t="str">
        <f>VLOOKUP($B3120,'FRS geographical categories'!$A$2:$C$45,3,FALSE)</f>
        <v>Non-metropolitan</v>
      </c>
      <c r="I3120" s="224">
        <v>3103</v>
      </c>
    </row>
    <row r="3121" spans="1:9" ht="15.5" x14ac:dyDescent="0.35">
      <c r="A3121" s="224" t="s">
        <v>247</v>
      </c>
      <c r="B3121" s="224" t="s">
        <v>12</v>
      </c>
      <c r="C3121" s="224" t="s">
        <v>86</v>
      </c>
      <c r="D3121" s="224" t="s">
        <v>9</v>
      </c>
      <c r="E3121" s="224" t="s">
        <v>256</v>
      </c>
      <c r="F3121" s="224" t="s">
        <v>111</v>
      </c>
      <c r="G3121" s="223" t="str">
        <f>VLOOKUP($B3121,'FRS geographical categories'!$A$2:$C$45,2,FALSE)</f>
        <v>Predominantly Urban</v>
      </c>
      <c r="H3121" s="223" t="str">
        <f>VLOOKUP($B3121,'FRS geographical categories'!$A$2:$C$45,3,FALSE)</f>
        <v>Non-metropolitan</v>
      </c>
      <c r="I3121" s="224">
        <v>4560</v>
      </c>
    </row>
    <row r="3122" spans="1:9" ht="15.5" x14ac:dyDescent="0.35">
      <c r="A3122" s="224" t="s">
        <v>247</v>
      </c>
      <c r="B3122" s="224" t="s">
        <v>12</v>
      </c>
      <c r="C3122" s="224" t="s">
        <v>86</v>
      </c>
      <c r="D3122" s="224" t="s">
        <v>9</v>
      </c>
      <c r="E3122" s="224" t="s">
        <v>256</v>
      </c>
      <c r="F3122" s="224" t="s">
        <v>10</v>
      </c>
      <c r="G3122" s="223" t="str">
        <f>VLOOKUP($B3122,'FRS geographical categories'!$A$2:$C$45,2,FALSE)</f>
        <v>Predominantly Urban</v>
      </c>
      <c r="H3122" s="223" t="str">
        <f>VLOOKUP($B3122,'FRS geographical categories'!$A$2:$C$45,3,FALSE)</f>
        <v>Non-metropolitan</v>
      </c>
      <c r="I3122" s="224">
        <v>5260</v>
      </c>
    </row>
    <row r="3123" spans="1:9" ht="15.5" x14ac:dyDescent="0.35">
      <c r="A3123" s="224" t="s">
        <v>247</v>
      </c>
      <c r="B3123" s="224" t="s">
        <v>12</v>
      </c>
      <c r="C3123" s="224" t="s">
        <v>86</v>
      </c>
      <c r="D3123" s="224" t="s">
        <v>55</v>
      </c>
      <c r="E3123" s="224" t="s">
        <v>256</v>
      </c>
      <c r="F3123" s="224" t="s">
        <v>248</v>
      </c>
      <c r="G3123" s="223" t="str">
        <f>VLOOKUP($B3123,'FRS geographical categories'!$A$2:$C$45,2,FALSE)</f>
        <v>Predominantly Urban</v>
      </c>
      <c r="H3123" s="223" t="str">
        <f>VLOOKUP($B3123,'FRS geographical categories'!$A$2:$C$45,3,FALSE)</f>
        <v>Non-metropolitan</v>
      </c>
      <c r="I3123" s="224">
        <v>0</v>
      </c>
    </row>
    <row r="3124" spans="1:9" ht="15.5" x14ac:dyDescent="0.35">
      <c r="A3124" s="224" t="s">
        <v>247</v>
      </c>
      <c r="B3124" s="224" t="s">
        <v>12</v>
      </c>
      <c r="C3124" s="224" t="s">
        <v>86</v>
      </c>
      <c r="D3124" s="224" t="s">
        <v>55</v>
      </c>
      <c r="E3124" s="224" t="s">
        <v>256</v>
      </c>
      <c r="F3124" s="224" t="s">
        <v>249</v>
      </c>
      <c r="G3124" s="223" t="str">
        <f>VLOOKUP($B3124,'FRS geographical categories'!$A$2:$C$45,2,FALSE)</f>
        <v>Predominantly Urban</v>
      </c>
      <c r="H3124" s="223" t="str">
        <f>VLOOKUP($B3124,'FRS geographical categories'!$A$2:$C$45,3,FALSE)</f>
        <v>Non-metropolitan</v>
      </c>
      <c r="I3124" s="224">
        <v>0</v>
      </c>
    </row>
    <row r="3125" spans="1:9" ht="15.5" x14ac:dyDescent="0.35">
      <c r="A3125" s="224" t="s">
        <v>247</v>
      </c>
      <c r="B3125" s="224" t="s">
        <v>12</v>
      </c>
      <c r="C3125" s="224" t="s">
        <v>86</v>
      </c>
      <c r="D3125" s="224" t="s">
        <v>55</v>
      </c>
      <c r="E3125" s="224" t="s">
        <v>256</v>
      </c>
      <c r="F3125" s="224" t="s">
        <v>250</v>
      </c>
      <c r="G3125" s="223" t="str">
        <f>VLOOKUP($B3125,'FRS geographical categories'!$A$2:$C$45,2,FALSE)</f>
        <v>Predominantly Urban</v>
      </c>
      <c r="H3125" s="223" t="str">
        <f>VLOOKUP($B3125,'FRS geographical categories'!$A$2:$C$45,3,FALSE)</f>
        <v>Non-metropolitan</v>
      </c>
      <c r="I3125" s="224">
        <v>0</v>
      </c>
    </row>
    <row r="3126" spans="1:9" ht="15.5" x14ac:dyDescent="0.35">
      <c r="A3126" s="224" t="s">
        <v>247</v>
      </c>
      <c r="B3126" s="224" t="s">
        <v>12</v>
      </c>
      <c r="C3126" s="224" t="s">
        <v>86</v>
      </c>
      <c r="D3126" s="224" t="s">
        <v>55</v>
      </c>
      <c r="E3126" s="224" t="s">
        <v>256</v>
      </c>
      <c r="F3126" s="224" t="s">
        <v>111</v>
      </c>
      <c r="G3126" s="223" t="str">
        <f>VLOOKUP($B3126,'FRS geographical categories'!$A$2:$C$45,2,FALSE)</f>
        <v>Predominantly Urban</v>
      </c>
      <c r="H3126" s="223" t="str">
        <f>VLOOKUP($B3126,'FRS geographical categories'!$A$2:$C$45,3,FALSE)</f>
        <v>Non-metropolitan</v>
      </c>
      <c r="I3126" s="224">
        <v>0</v>
      </c>
    </row>
    <row r="3127" spans="1:9" ht="15.5" x14ac:dyDescent="0.35">
      <c r="A3127" s="224" t="s">
        <v>247</v>
      </c>
      <c r="B3127" s="224" t="s">
        <v>12</v>
      </c>
      <c r="C3127" s="224" t="s">
        <v>86</v>
      </c>
      <c r="D3127" s="224" t="s">
        <v>55</v>
      </c>
      <c r="E3127" s="224" t="s">
        <v>256</v>
      </c>
      <c r="F3127" s="224" t="s">
        <v>10</v>
      </c>
      <c r="G3127" s="223" t="str">
        <f>VLOOKUP($B3127,'FRS geographical categories'!$A$2:$C$45,2,FALSE)</f>
        <v>Predominantly Urban</v>
      </c>
      <c r="H3127" s="223" t="str">
        <f>VLOOKUP($B3127,'FRS geographical categories'!$A$2:$C$45,3,FALSE)</f>
        <v>Non-metropolitan</v>
      </c>
      <c r="I3127" s="224">
        <v>0</v>
      </c>
    </row>
    <row r="3128" spans="1:9" ht="15.5" x14ac:dyDescent="0.35">
      <c r="A3128" s="224" t="s">
        <v>247</v>
      </c>
      <c r="B3128" s="224" t="s">
        <v>12</v>
      </c>
      <c r="C3128" s="224" t="s">
        <v>89</v>
      </c>
      <c r="D3128" s="224" t="s">
        <v>9</v>
      </c>
      <c r="E3128" s="224" t="s">
        <v>256</v>
      </c>
      <c r="F3128" s="224" t="s">
        <v>248</v>
      </c>
      <c r="G3128" s="223" t="str">
        <f>VLOOKUP($B3128,'FRS geographical categories'!$A$2:$C$45,2,FALSE)</f>
        <v>Predominantly Urban</v>
      </c>
      <c r="H3128" s="223" t="str">
        <f>VLOOKUP($B3128,'FRS geographical categories'!$A$2:$C$45,3,FALSE)</f>
        <v>Non-metropolitan</v>
      </c>
      <c r="I3128" s="224">
        <v>0</v>
      </c>
    </row>
    <row r="3129" spans="1:9" ht="15.5" x14ac:dyDescent="0.35">
      <c r="A3129" s="224" t="s">
        <v>247</v>
      </c>
      <c r="B3129" s="224" t="s">
        <v>12</v>
      </c>
      <c r="C3129" s="224" t="s">
        <v>89</v>
      </c>
      <c r="D3129" s="224" t="s">
        <v>9</v>
      </c>
      <c r="E3129" s="224" t="s">
        <v>256</v>
      </c>
      <c r="F3129" s="224" t="s">
        <v>249</v>
      </c>
      <c r="G3129" s="223" t="str">
        <f>VLOOKUP($B3129,'FRS geographical categories'!$A$2:$C$45,2,FALSE)</f>
        <v>Predominantly Urban</v>
      </c>
      <c r="H3129" s="223" t="str">
        <f>VLOOKUP($B3129,'FRS geographical categories'!$A$2:$C$45,3,FALSE)</f>
        <v>Non-metropolitan</v>
      </c>
      <c r="I3129" s="224">
        <v>0</v>
      </c>
    </row>
    <row r="3130" spans="1:9" ht="15.5" x14ac:dyDescent="0.35">
      <c r="A3130" s="224" t="s">
        <v>247</v>
      </c>
      <c r="B3130" s="224" t="s">
        <v>12</v>
      </c>
      <c r="C3130" s="224" t="s">
        <v>89</v>
      </c>
      <c r="D3130" s="224" t="s">
        <v>9</v>
      </c>
      <c r="E3130" s="224" t="s">
        <v>256</v>
      </c>
      <c r="F3130" s="224" t="s">
        <v>250</v>
      </c>
      <c r="G3130" s="223" t="str">
        <f>VLOOKUP($B3130,'FRS geographical categories'!$A$2:$C$45,2,FALSE)</f>
        <v>Predominantly Urban</v>
      </c>
      <c r="H3130" s="223" t="str">
        <f>VLOOKUP($B3130,'FRS geographical categories'!$A$2:$C$45,3,FALSE)</f>
        <v>Non-metropolitan</v>
      </c>
      <c r="I3130" s="224">
        <v>0</v>
      </c>
    </row>
    <row r="3131" spans="1:9" ht="15.5" x14ac:dyDescent="0.35">
      <c r="A3131" s="224" t="s">
        <v>247</v>
      </c>
      <c r="B3131" s="224" t="s">
        <v>12</v>
      </c>
      <c r="C3131" s="224" t="s">
        <v>89</v>
      </c>
      <c r="D3131" s="224" t="s">
        <v>9</v>
      </c>
      <c r="E3131" s="224" t="s">
        <v>256</v>
      </c>
      <c r="F3131" s="224" t="s">
        <v>10</v>
      </c>
      <c r="G3131" s="223" t="str">
        <f>VLOOKUP($B3131,'FRS geographical categories'!$A$2:$C$45,2,FALSE)</f>
        <v>Predominantly Urban</v>
      </c>
      <c r="H3131" s="223" t="str">
        <f>VLOOKUP($B3131,'FRS geographical categories'!$A$2:$C$45,3,FALSE)</f>
        <v>Non-metropolitan</v>
      </c>
      <c r="I3131" s="224">
        <v>0</v>
      </c>
    </row>
    <row r="3132" spans="1:9" ht="15.5" x14ac:dyDescent="0.35">
      <c r="A3132" s="224" t="s">
        <v>247</v>
      </c>
      <c r="B3132" s="224" t="s">
        <v>12</v>
      </c>
      <c r="C3132" s="224" t="s">
        <v>89</v>
      </c>
      <c r="D3132" s="224" t="s">
        <v>55</v>
      </c>
      <c r="E3132" s="224" t="s">
        <v>256</v>
      </c>
      <c r="F3132" s="224" t="s">
        <v>248</v>
      </c>
      <c r="G3132" s="223" t="str">
        <f>VLOOKUP($B3132,'FRS geographical categories'!$A$2:$C$45,2,FALSE)</f>
        <v>Predominantly Urban</v>
      </c>
      <c r="H3132" s="223" t="str">
        <f>VLOOKUP($B3132,'FRS geographical categories'!$A$2:$C$45,3,FALSE)</f>
        <v>Non-metropolitan</v>
      </c>
      <c r="I3132" s="224">
        <v>0</v>
      </c>
    </row>
    <row r="3133" spans="1:9" ht="15.5" x14ac:dyDescent="0.35">
      <c r="A3133" s="224" t="s">
        <v>247</v>
      </c>
      <c r="B3133" s="224" t="s">
        <v>12</v>
      </c>
      <c r="C3133" s="224" t="s">
        <v>89</v>
      </c>
      <c r="D3133" s="224" t="s">
        <v>55</v>
      </c>
      <c r="E3133" s="224" t="s">
        <v>256</v>
      </c>
      <c r="F3133" s="224" t="s">
        <v>249</v>
      </c>
      <c r="G3133" s="223" t="str">
        <f>VLOOKUP($B3133,'FRS geographical categories'!$A$2:$C$45,2,FALSE)</f>
        <v>Predominantly Urban</v>
      </c>
      <c r="H3133" s="223" t="str">
        <f>VLOOKUP($B3133,'FRS geographical categories'!$A$2:$C$45,3,FALSE)</f>
        <v>Non-metropolitan</v>
      </c>
      <c r="I3133" s="224">
        <v>0</v>
      </c>
    </row>
    <row r="3134" spans="1:9" ht="15.5" x14ac:dyDescent="0.35">
      <c r="A3134" s="224" t="s">
        <v>247</v>
      </c>
      <c r="B3134" s="224" t="s">
        <v>12</v>
      </c>
      <c r="C3134" s="224" t="s">
        <v>89</v>
      </c>
      <c r="D3134" s="224" t="s">
        <v>55</v>
      </c>
      <c r="E3134" s="224" t="s">
        <v>256</v>
      </c>
      <c r="F3134" s="224" t="s">
        <v>250</v>
      </c>
      <c r="G3134" s="223" t="str">
        <f>VLOOKUP($B3134,'FRS geographical categories'!$A$2:$C$45,2,FALSE)</f>
        <v>Predominantly Urban</v>
      </c>
      <c r="H3134" s="223" t="str">
        <f>VLOOKUP($B3134,'FRS geographical categories'!$A$2:$C$45,3,FALSE)</f>
        <v>Non-metropolitan</v>
      </c>
      <c r="I3134" s="224">
        <v>0</v>
      </c>
    </row>
    <row r="3135" spans="1:9" ht="15.5" x14ac:dyDescent="0.35">
      <c r="A3135" s="224" t="s">
        <v>247</v>
      </c>
      <c r="B3135" s="224" t="s">
        <v>12</v>
      </c>
      <c r="C3135" s="224" t="s">
        <v>89</v>
      </c>
      <c r="D3135" s="224" t="s">
        <v>55</v>
      </c>
      <c r="E3135" s="224" t="s">
        <v>256</v>
      </c>
      <c r="F3135" s="224" t="s">
        <v>10</v>
      </c>
      <c r="G3135" s="223" t="str">
        <f>VLOOKUP($B3135,'FRS geographical categories'!$A$2:$C$45,2,FALSE)</f>
        <v>Predominantly Urban</v>
      </c>
      <c r="H3135" s="223" t="str">
        <f>VLOOKUP($B3135,'FRS geographical categories'!$A$2:$C$45,3,FALSE)</f>
        <v>Non-metropolitan</v>
      </c>
      <c r="I3135" s="224">
        <v>0</v>
      </c>
    </row>
    <row r="3136" spans="1:9" ht="15.5" x14ac:dyDescent="0.35">
      <c r="A3136" s="224" t="s">
        <v>247</v>
      </c>
      <c r="B3136" s="224" t="s">
        <v>13</v>
      </c>
      <c r="C3136" s="224" t="s">
        <v>86</v>
      </c>
      <c r="D3136" s="224" t="s">
        <v>9</v>
      </c>
      <c r="E3136" s="224" t="s">
        <v>256</v>
      </c>
      <c r="F3136" s="224" t="s">
        <v>248</v>
      </c>
      <c r="G3136" s="223" t="str">
        <f>VLOOKUP($B3136,'FRS geographical categories'!$A$2:$C$45,2,FALSE)</f>
        <v>Significantly Rural</v>
      </c>
      <c r="H3136" s="223" t="str">
        <f>VLOOKUP($B3136,'FRS geographical categories'!$A$2:$C$45,3,FALSE)</f>
        <v>Non-metropolitan</v>
      </c>
      <c r="I3136" s="224">
        <v>358</v>
      </c>
    </row>
    <row r="3137" spans="1:9" ht="15.5" x14ac:dyDescent="0.35">
      <c r="A3137" s="224" t="s">
        <v>247</v>
      </c>
      <c r="B3137" s="224" t="s">
        <v>13</v>
      </c>
      <c r="C3137" s="224" t="s">
        <v>86</v>
      </c>
      <c r="D3137" s="224" t="s">
        <v>9</v>
      </c>
      <c r="E3137" s="224" t="s">
        <v>256</v>
      </c>
      <c r="F3137" s="224" t="s">
        <v>249</v>
      </c>
      <c r="G3137" s="223" t="str">
        <f>VLOOKUP($B3137,'FRS geographical categories'!$A$2:$C$45,2,FALSE)</f>
        <v>Significantly Rural</v>
      </c>
      <c r="H3137" s="223" t="str">
        <f>VLOOKUP($B3137,'FRS geographical categories'!$A$2:$C$45,3,FALSE)</f>
        <v>Non-metropolitan</v>
      </c>
      <c r="I3137" s="224">
        <v>1891</v>
      </c>
    </row>
    <row r="3138" spans="1:9" ht="15.5" x14ac:dyDescent="0.35">
      <c r="A3138" s="224" t="s">
        <v>247</v>
      </c>
      <c r="B3138" s="224" t="s">
        <v>13</v>
      </c>
      <c r="C3138" s="224" t="s">
        <v>86</v>
      </c>
      <c r="D3138" s="224" t="s">
        <v>9</v>
      </c>
      <c r="E3138" s="224" t="s">
        <v>256</v>
      </c>
      <c r="F3138" s="224" t="s">
        <v>250</v>
      </c>
      <c r="G3138" s="223" t="str">
        <f>VLOOKUP($B3138,'FRS geographical categories'!$A$2:$C$45,2,FALSE)</f>
        <v>Significantly Rural</v>
      </c>
      <c r="H3138" s="223" t="str">
        <f>VLOOKUP($B3138,'FRS geographical categories'!$A$2:$C$45,3,FALSE)</f>
        <v>Non-metropolitan</v>
      </c>
      <c r="I3138" s="224">
        <v>2045</v>
      </c>
    </row>
    <row r="3139" spans="1:9" ht="15.5" x14ac:dyDescent="0.35">
      <c r="A3139" s="224" t="s">
        <v>247</v>
      </c>
      <c r="B3139" s="224" t="s">
        <v>13</v>
      </c>
      <c r="C3139" s="224" t="s">
        <v>86</v>
      </c>
      <c r="D3139" s="224" t="s">
        <v>9</v>
      </c>
      <c r="E3139" s="224" t="s">
        <v>256</v>
      </c>
      <c r="F3139" s="224" t="s">
        <v>111</v>
      </c>
      <c r="G3139" s="223" t="str">
        <f>VLOOKUP($B3139,'FRS geographical categories'!$A$2:$C$45,2,FALSE)</f>
        <v>Significantly Rural</v>
      </c>
      <c r="H3139" s="223" t="str">
        <f>VLOOKUP($B3139,'FRS geographical categories'!$A$2:$C$45,3,FALSE)</f>
        <v>Non-metropolitan</v>
      </c>
      <c r="I3139" s="224">
        <v>4682</v>
      </c>
    </row>
    <row r="3140" spans="1:9" ht="15.5" x14ac:dyDescent="0.35">
      <c r="A3140" s="224" t="s">
        <v>247</v>
      </c>
      <c r="B3140" s="224" t="s">
        <v>13</v>
      </c>
      <c r="C3140" s="224" t="s">
        <v>86</v>
      </c>
      <c r="D3140" s="224" t="s">
        <v>9</v>
      </c>
      <c r="E3140" s="224" t="s">
        <v>256</v>
      </c>
      <c r="F3140" s="224" t="s">
        <v>10</v>
      </c>
      <c r="G3140" s="223" t="str">
        <f>VLOOKUP($B3140,'FRS geographical categories'!$A$2:$C$45,2,FALSE)</f>
        <v>Significantly Rural</v>
      </c>
      <c r="H3140" s="223" t="str">
        <f>VLOOKUP($B3140,'FRS geographical categories'!$A$2:$C$45,3,FALSE)</f>
        <v>Non-metropolitan</v>
      </c>
      <c r="I3140" s="224">
        <v>5024</v>
      </c>
    </row>
    <row r="3141" spans="1:9" ht="15.5" x14ac:dyDescent="0.35">
      <c r="A3141" s="224" t="s">
        <v>247</v>
      </c>
      <c r="B3141" s="224" t="s">
        <v>13</v>
      </c>
      <c r="C3141" s="224" t="s">
        <v>86</v>
      </c>
      <c r="D3141" s="224" t="s">
        <v>55</v>
      </c>
      <c r="E3141" s="224" t="s">
        <v>256</v>
      </c>
      <c r="F3141" s="224" t="s">
        <v>248</v>
      </c>
      <c r="G3141" s="223" t="str">
        <f>VLOOKUP($B3141,'FRS geographical categories'!$A$2:$C$45,2,FALSE)</f>
        <v>Significantly Rural</v>
      </c>
      <c r="H3141" s="223" t="str">
        <f>VLOOKUP($B3141,'FRS geographical categories'!$A$2:$C$45,3,FALSE)</f>
        <v>Non-metropolitan</v>
      </c>
      <c r="I3141" s="224">
        <v>2</v>
      </c>
    </row>
    <row r="3142" spans="1:9" ht="15.5" x14ac:dyDescent="0.35">
      <c r="A3142" s="224" t="s">
        <v>247</v>
      </c>
      <c r="B3142" s="224" t="s">
        <v>13</v>
      </c>
      <c r="C3142" s="224" t="s">
        <v>86</v>
      </c>
      <c r="D3142" s="224" t="s">
        <v>55</v>
      </c>
      <c r="E3142" s="224" t="s">
        <v>256</v>
      </c>
      <c r="F3142" s="224" t="s">
        <v>249</v>
      </c>
      <c r="G3142" s="223" t="str">
        <f>VLOOKUP($B3142,'FRS geographical categories'!$A$2:$C$45,2,FALSE)</f>
        <v>Significantly Rural</v>
      </c>
      <c r="H3142" s="223" t="str">
        <f>VLOOKUP($B3142,'FRS geographical categories'!$A$2:$C$45,3,FALSE)</f>
        <v>Non-metropolitan</v>
      </c>
      <c r="I3142" s="224">
        <v>162</v>
      </c>
    </row>
    <row r="3143" spans="1:9" ht="15.5" x14ac:dyDescent="0.35">
      <c r="A3143" s="224" t="s">
        <v>247</v>
      </c>
      <c r="B3143" s="224" t="s">
        <v>13</v>
      </c>
      <c r="C3143" s="224" t="s">
        <v>86</v>
      </c>
      <c r="D3143" s="224" t="s">
        <v>55</v>
      </c>
      <c r="E3143" s="224" t="s">
        <v>256</v>
      </c>
      <c r="F3143" s="224" t="s">
        <v>250</v>
      </c>
      <c r="G3143" s="223" t="str">
        <f>VLOOKUP($B3143,'FRS geographical categories'!$A$2:$C$45,2,FALSE)</f>
        <v>Significantly Rural</v>
      </c>
      <c r="H3143" s="223" t="str">
        <f>VLOOKUP($B3143,'FRS geographical categories'!$A$2:$C$45,3,FALSE)</f>
        <v>Non-metropolitan</v>
      </c>
      <c r="I3143" s="224">
        <v>87</v>
      </c>
    </row>
    <row r="3144" spans="1:9" ht="15.5" x14ac:dyDescent="0.35">
      <c r="A3144" s="224" t="s">
        <v>247</v>
      </c>
      <c r="B3144" s="224" t="s">
        <v>13</v>
      </c>
      <c r="C3144" s="224" t="s">
        <v>86</v>
      </c>
      <c r="D3144" s="224" t="s">
        <v>55</v>
      </c>
      <c r="E3144" s="224" t="s">
        <v>256</v>
      </c>
      <c r="F3144" s="224" t="s">
        <v>111</v>
      </c>
      <c r="G3144" s="223" t="str">
        <f>VLOOKUP($B3144,'FRS geographical categories'!$A$2:$C$45,2,FALSE)</f>
        <v>Significantly Rural</v>
      </c>
      <c r="H3144" s="223" t="str">
        <f>VLOOKUP($B3144,'FRS geographical categories'!$A$2:$C$45,3,FALSE)</f>
        <v>Non-metropolitan</v>
      </c>
      <c r="I3144" s="224">
        <v>251</v>
      </c>
    </row>
    <row r="3145" spans="1:9" ht="15.5" x14ac:dyDescent="0.35">
      <c r="A3145" s="224" t="s">
        <v>247</v>
      </c>
      <c r="B3145" s="224" t="s">
        <v>13</v>
      </c>
      <c r="C3145" s="224" t="s">
        <v>86</v>
      </c>
      <c r="D3145" s="224" t="s">
        <v>55</v>
      </c>
      <c r="E3145" s="224" t="s">
        <v>256</v>
      </c>
      <c r="F3145" s="224" t="s">
        <v>10</v>
      </c>
      <c r="G3145" s="223" t="str">
        <f>VLOOKUP($B3145,'FRS geographical categories'!$A$2:$C$45,2,FALSE)</f>
        <v>Significantly Rural</v>
      </c>
      <c r="H3145" s="223" t="str">
        <f>VLOOKUP($B3145,'FRS geographical categories'!$A$2:$C$45,3,FALSE)</f>
        <v>Non-metropolitan</v>
      </c>
      <c r="I3145" s="224">
        <v>431</v>
      </c>
    </row>
    <row r="3146" spans="1:9" ht="15.5" x14ac:dyDescent="0.35">
      <c r="A3146" s="224" t="s">
        <v>247</v>
      </c>
      <c r="B3146" s="224" t="s">
        <v>13</v>
      </c>
      <c r="C3146" s="224" t="s">
        <v>89</v>
      </c>
      <c r="D3146" s="224" t="s">
        <v>9</v>
      </c>
      <c r="E3146" s="224" t="s">
        <v>256</v>
      </c>
      <c r="F3146" s="224" t="s">
        <v>248</v>
      </c>
      <c r="G3146" s="223" t="str">
        <f>VLOOKUP($B3146,'FRS geographical categories'!$A$2:$C$45,2,FALSE)</f>
        <v>Significantly Rural</v>
      </c>
      <c r="H3146" s="223" t="str">
        <f>VLOOKUP($B3146,'FRS geographical categories'!$A$2:$C$45,3,FALSE)</f>
        <v>Non-metropolitan</v>
      </c>
      <c r="I3146" s="224">
        <v>0</v>
      </c>
    </row>
    <row r="3147" spans="1:9" ht="15.5" x14ac:dyDescent="0.35">
      <c r="A3147" s="224" t="s">
        <v>247</v>
      </c>
      <c r="B3147" s="224" t="s">
        <v>13</v>
      </c>
      <c r="C3147" s="224" t="s">
        <v>89</v>
      </c>
      <c r="D3147" s="224" t="s">
        <v>9</v>
      </c>
      <c r="E3147" s="224" t="s">
        <v>256</v>
      </c>
      <c r="F3147" s="224" t="s">
        <v>249</v>
      </c>
      <c r="G3147" s="223" t="str">
        <f>VLOOKUP($B3147,'FRS geographical categories'!$A$2:$C$45,2,FALSE)</f>
        <v>Significantly Rural</v>
      </c>
      <c r="H3147" s="223" t="str">
        <f>VLOOKUP($B3147,'FRS geographical categories'!$A$2:$C$45,3,FALSE)</f>
        <v>Non-metropolitan</v>
      </c>
      <c r="I3147" s="224">
        <v>0</v>
      </c>
    </row>
    <row r="3148" spans="1:9" ht="15.5" x14ac:dyDescent="0.35">
      <c r="A3148" s="224" t="s">
        <v>247</v>
      </c>
      <c r="B3148" s="224" t="s">
        <v>13</v>
      </c>
      <c r="C3148" s="224" t="s">
        <v>89</v>
      </c>
      <c r="D3148" s="224" t="s">
        <v>9</v>
      </c>
      <c r="E3148" s="224" t="s">
        <v>256</v>
      </c>
      <c r="F3148" s="224" t="s">
        <v>250</v>
      </c>
      <c r="G3148" s="223" t="str">
        <f>VLOOKUP($B3148,'FRS geographical categories'!$A$2:$C$45,2,FALSE)</f>
        <v>Significantly Rural</v>
      </c>
      <c r="H3148" s="223" t="str">
        <f>VLOOKUP($B3148,'FRS geographical categories'!$A$2:$C$45,3,FALSE)</f>
        <v>Non-metropolitan</v>
      </c>
      <c r="I3148" s="224">
        <v>0</v>
      </c>
    </row>
    <row r="3149" spans="1:9" ht="15.5" x14ac:dyDescent="0.35">
      <c r="A3149" s="224" t="s">
        <v>247</v>
      </c>
      <c r="B3149" s="224" t="s">
        <v>13</v>
      </c>
      <c r="C3149" s="224" t="s">
        <v>89</v>
      </c>
      <c r="D3149" s="224" t="s">
        <v>9</v>
      </c>
      <c r="E3149" s="224" t="s">
        <v>256</v>
      </c>
      <c r="F3149" s="224" t="s">
        <v>10</v>
      </c>
      <c r="G3149" s="223" t="str">
        <f>VLOOKUP($B3149,'FRS geographical categories'!$A$2:$C$45,2,FALSE)</f>
        <v>Significantly Rural</v>
      </c>
      <c r="H3149" s="223" t="str">
        <f>VLOOKUP($B3149,'FRS geographical categories'!$A$2:$C$45,3,FALSE)</f>
        <v>Non-metropolitan</v>
      </c>
      <c r="I3149" s="224">
        <v>0</v>
      </c>
    </row>
    <row r="3150" spans="1:9" ht="15.5" x14ac:dyDescent="0.35">
      <c r="A3150" s="224" t="s">
        <v>247</v>
      </c>
      <c r="B3150" s="224" t="s">
        <v>13</v>
      </c>
      <c r="C3150" s="224" t="s">
        <v>89</v>
      </c>
      <c r="D3150" s="224" t="s">
        <v>55</v>
      </c>
      <c r="E3150" s="224" t="s">
        <v>256</v>
      </c>
      <c r="F3150" s="224" t="s">
        <v>248</v>
      </c>
      <c r="G3150" s="223" t="str">
        <f>VLOOKUP($B3150,'FRS geographical categories'!$A$2:$C$45,2,FALSE)</f>
        <v>Significantly Rural</v>
      </c>
      <c r="H3150" s="223" t="str">
        <f>VLOOKUP($B3150,'FRS geographical categories'!$A$2:$C$45,3,FALSE)</f>
        <v>Non-metropolitan</v>
      </c>
      <c r="I3150" s="224">
        <v>0</v>
      </c>
    </row>
    <row r="3151" spans="1:9" ht="15.5" x14ac:dyDescent="0.35">
      <c r="A3151" s="224" t="s">
        <v>247</v>
      </c>
      <c r="B3151" s="224" t="s">
        <v>13</v>
      </c>
      <c r="C3151" s="224" t="s">
        <v>89</v>
      </c>
      <c r="D3151" s="224" t="s">
        <v>55</v>
      </c>
      <c r="E3151" s="224" t="s">
        <v>256</v>
      </c>
      <c r="F3151" s="224" t="s">
        <v>249</v>
      </c>
      <c r="G3151" s="223" t="str">
        <f>VLOOKUP($B3151,'FRS geographical categories'!$A$2:$C$45,2,FALSE)</f>
        <v>Significantly Rural</v>
      </c>
      <c r="H3151" s="223" t="str">
        <f>VLOOKUP($B3151,'FRS geographical categories'!$A$2:$C$45,3,FALSE)</f>
        <v>Non-metropolitan</v>
      </c>
      <c r="I3151" s="224">
        <v>0</v>
      </c>
    </row>
    <row r="3152" spans="1:9" ht="15.5" x14ac:dyDescent="0.35">
      <c r="A3152" s="224" t="s">
        <v>247</v>
      </c>
      <c r="B3152" s="224" t="s">
        <v>13</v>
      </c>
      <c r="C3152" s="224" t="s">
        <v>89</v>
      </c>
      <c r="D3152" s="224" t="s">
        <v>55</v>
      </c>
      <c r="E3152" s="224" t="s">
        <v>256</v>
      </c>
      <c r="F3152" s="224" t="s">
        <v>250</v>
      </c>
      <c r="G3152" s="223" t="str">
        <f>VLOOKUP($B3152,'FRS geographical categories'!$A$2:$C$45,2,FALSE)</f>
        <v>Significantly Rural</v>
      </c>
      <c r="H3152" s="223" t="str">
        <f>VLOOKUP($B3152,'FRS geographical categories'!$A$2:$C$45,3,FALSE)</f>
        <v>Non-metropolitan</v>
      </c>
      <c r="I3152" s="224">
        <v>0</v>
      </c>
    </row>
    <row r="3153" spans="1:9" ht="15.5" x14ac:dyDescent="0.35">
      <c r="A3153" s="224" t="s">
        <v>247</v>
      </c>
      <c r="B3153" s="224" t="s">
        <v>13</v>
      </c>
      <c r="C3153" s="224" t="s">
        <v>89</v>
      </c>
      <c r="D3153" s="224" t="s">
        <v>55</v>
      </c>
      <c r="E3153" s="224" t="s">
        <v>256</v>
      </c>
      <c r="F3153" s="224" t="s">
        <v>10</v>
      </c>
      <c r="G3153" s="223" t="str">
        <f>VLOOKUP($B3153,'FRS geographical categories'!$A$2:$C$45,2,FALSE)</f>
        <v>Significantly Rural</v>
      </c>
      <c r="H3153" s="223" t="str">
        <f>VLOOKUP($B3153,'FRS geographical categories'!$A$2:$C$45,3,FALSE)</f>
        <v>Non-metropolitan</v>
      </c>
      <c r="I3153" s="224">
        <v>0</v>
      </c>
    </row>
    <row r="3154" spans="1:9" ht="15.5" x14ac:dyDescent="0.35">
      <c r="A3154" s="224" t="s">
        <v>247</v>
      </c>
      <c r="B3154" s="224" t="s">
        <v>14</v>
      </c>
      <c r="C3154" s="224" t="s">
        <v>86</v>
      </c>
      <c r="D3154" s="224" t="s">
        <v>9</v>
      </c>
      <c r="E3154" s="224" t="s">
        <v>256</v>
      </c>
      <c r="F3154" s="224" t="s">
        <v>248</v>
      </c>
      <c r="G3154" s="223" t="str">
        <f>VLOOKUP($B3154,'FRS geographical categories'!$A$2:$C$45,2,FALSE)</f>
        <v>Predominantly Rural</v>
      </c>
      <c r="H3154" s="223" t="str">
        <f>VLOOKUP($B3154,'FRS geographical categories'!$A$2:$C$45,3,FALSE)</f>
        <v>Non-metropolitan</v>
      </c>
      <c r="I3154" s="224">
        <v>453</v>
      </c>
    </row>
    <row r="3155" spans="1:9" ht="15.5" x14ac:dyDescent="0.35">
      <c r="A3155" s="224" t="s">
        <v>247</v>
      </c>
      <c r="B3155" s="224" t="s">
        <v>14</v>
      </c>
      <c r="C3155" s="224" t="s">
        <v>86</v>
      </c>
      <c r="D3155" s="224" t="s">
        <v>9</v>
      </c>
      <c r="E3155" s="224" t="s">
        <v>256</v>
      </c>
      <c r="F3155" s="224" t="s">
        <v>249</v>
      </c>
      <c r="G3155" s="223" t="str">
        <f>VLOOKUP($B3155,'FRS geographical categories'!$A$2:$C$45,2,FALSE)</f>
        <v>Predominantly Rural</v>
      </c>
      <c r="H3155" s="223" t="str">
        <f>VLOOKUP($B3155,'FRS geographical categories'!$A$2:$C$45,3,FALSE)</f>
        <v>Non-metropolitan</v>
      </c>
      <c r="I3155" s="224">
        <v>1906</v>
      </c>
    </row>
    <row r="3156" spans="1:9" ht="15.5" x14ac:dyDescent="0.35">
      <c r="A3156" s="224" t="s">
        <v>247</v>
      </c>
      <c r="B3156" s="224" t="s">
        <v>14</v>
      </c>
      <c r="C3156" s="224" t="s">
        <v>86</v>
      </c>
      <c r="D3156" s="224" t="s">
        <v>9</v>
      </c>
      <c r="E3156" s="224" t="s">
        <v>256</v>
      </c>
      <c r="F3156" s="224" t="s">
        <v>250</v>
      </c>
      <c r="G3156" s="223" t="str">
        <f>VLOOKUP($B3156,'FRS geographical categories'!$A$2:$C$45,2,FALSE)</f>
        <v>Predominantly Rural</v>
      </c>
      <c r="H3156" s="223" t="str">
        <f>VLOOKUP($B3156,'FRS geographical categories'!$A$2:$C$45,3,FALSE)</f>
        <v>Non-metropolitan</v>
      </c>
      <c r="I3156" s="224">
        <v>2932</v>
      </c>
    </row>
    <row r="3157" spans="1:9" ht="15.5" x14ac:dyDescent="0.35">
      <c r="A3157" s="224" t="s">
        <v>247</v>
      </c>
      <c r="B3157" s="224" t="s">
        <v>14</v>
      </c>
      <c r="C3157" s="224" t="s">
        <v>86</v>
      </c>
      <c r="D3157" s="224" t="s">
        <v>9</v>
      </c>
      <c r="E3157" s="224" t="s">
        <v>256</v>
      </c>
      <c r="F3157" s="224" t="s">
        <v>111</v>
      </c>
      <c r="G3157" s="223" t="str">
        <f>VLOOKUP($B3157,'FRS geographical categories'!$A$2:$C$45,2,FALSE)</f>
        <v>Predominantly Rural</v>
      </c>
      <c r="H3157" s="223" t="str">
        <f>VLOOKUP($B3157,'FRS geographical categories'!$A$2:$C$45,3,FALSE)</f>
        <v>Non-metropolitan</v>
      </c>
      <c r="I3157" s="224">
        <v>5803</v>
      </c>
    </row>
    <row r="3158" spans="1:9" ht="15.5" x14ac:dyDescent="0.35">
      <c r="A3158" s="224" t="s">
        <v>247</v>
      </c>
      <c r="B3158" s="224" t="s">
        <v>14</v>
      </c>
      <c r="C3158" s="224" t="s">
        <v>86</v>
      </c>
      <c r="D3158" s="224" t="s">
        <v>9</v>
      </c>
      <c r="E3158" s="224" t="s">
        <v>256</v>
      </c>
      <c r="F3158" s="224" t="s">
        <v>10</v>
      </c>
      <c r="G3158" s="223" t="str">
        <f>VLOOKUP($B3158,'FRS geographical categories'!$A$2:$C$45,2,FALSE)</f>
        <v>Predominantly Rural</v>
      </c>
      <c r="H3158" s="223" t="str">
        <f>VLOOKUP($B3158,'FRS geographical categories'!$A$2:$C$45,3,FALSE)</f>
        <v>Non-metropolitan</v>
      </c>
      <c r="I3158" s="224">
        <v>6339</v>
      </c>
    </row>
    <row r="3159" spans="1:9" ht="15.5" x14ac:dyDescent="0.35">
      <c r="A3159" s="224" t="s">
        <v>247</v>
      </c>
      <c r="B3159" s="224" t="s">
        <v>14</v>
      </c>
      <c r="C3159" s="224" t="s">
        <v>86</v>
      </c>
      <c r="D3159" s="224" t="s">
        <v>55</v>
      </c>
      <c r="E3159" s="224" t="s">
        <v>256</v>
      </c>
      <c r="F3159" s="224" t="s">
        <v>248</v>
      </c>
      <c r="G3159" s="223" t="str">
        <f>VLOOKUP($B3159,'FRS geographical categories'!$A$2:$C$45,2,FALSE)</f>
        <v>Predominantly Rural</v>
      </c>
      <c r="H3159" s="223" t="str">
        <f>VLOOKUP($B3159,'FRS geographical categories'!$A$2:$C$45,3,FALSE)</f>
        <v>Non-metropolitan</v>
      </c>
      <c r="I3159" s="224">
        <v>0</v>
      </c>
    </row>
    <row r="3160" spans="1:9" ht="15.5" x14ac:dyDescent="0.35">
      <c r="A3160" s="224" t="s">
        <v>247</v>
      </c>
      <c r="B3160" s="224" t="s">
        <v>14</v>
      </c>
      <c r="C3160" s="224" t="s">
        <v>86</v>
      </c>
      <c r="D3160" s="224" t="s">
        <v>55</v>
      </c>
      <c r="E3160" s="224" t="s">
        <v>256</v>
      </c>
      <c r="F3160" s="224" t="s">
        <v>249</v>
      </c>
      <c r="G3160" s="223" t="str">
        <f>VLOOKUP($B3160,'FRS geographical categories'!$A$2:$C$45,2,FALSE)</f>
        <v>Predominantly Rural</v>
      </c>
      <c r="H3160" s="223" t="str">
        <f>VLOOKUP($B3160,'FRS geographical categories'!$A$2:$C$45,3,FALSE)</f>
        <v>Non-metropolitan</v>
      </c>
      <c r="I3160" s="224">
        <v>0</v>
      </c>
    </row>
    <row r="3161" spans="1:9" ht="15.5" x14ac:dyDescent="0.35">
      <c r="A3161" s="224" t="s">
        <v>247</v>
      </c>
      <c r="B3161" s="224" t="s">
        <v>14</v>
      </c>
      <c r="C3161" s="224" t="s">
        <v>86</v>
      </c>
      <c r="D3161" s="224" t="s">
        <v>55</v>
      </c>
      <c r="E3161" s="224" t="s">
        <v>256</v>
      </c>
      <c r="F3161" s="224" t="s">
        <v>250</v>
      </c>
      <c r="G3161" s="223" t="str">
        <f>VLOOKUP($B3161,'FRS geographical categories'!$A$2:$C$45,2,FALSE)</f>
        <v>Predominantly Rural</v>
      </c>
      <c r="H3161" s="223" t="str">
        <f>VLOOKUP($B3161,'FRS geographical categories'!$A$2:$C$45,3,FALSE)</f>
        <v>Non-metropolitan</v>
      </c>
      <c r="I3161" s="224">
        <v>0</v>
      </c>
    </row>
    <row r="3162" spans="1:9" ht="15.5" x14ac:dyDescent="0.35">
      <c r="A3162" s="224" t="s">
        <v>247</v>
      </c>
      <c r="B3162" s="224" t="s">
        <v>14</v>
      </c>
      <c r="C3162" s="224" t="s">
        <v>86</v>
      </c>
      <c r="D3162" s="224" t="s">
        <v>55</v>
      </c>
      <c r="E3162" s="224" t="s">
        <v>256</v>
      </c>
      <c r="F3162" s="224" t="s">
        <v>111</v>
      </c>
      <c r="G3162" s="223" t="str">
        <f>VLOOKUP($B3162,'FRS geographical categories'!$A$2:$C$45,2,FALSE)</f>
        <v>Predominantly Rural</v>
      </c>
      <c r="H3162" s="223" t="str">
        <f>VLOOKUP($B3162,'FRS geographical categories'!$A$2:$C$45,3,FALSE)</f>
        <v>Non-metropolitan</v>
      </c>
      <c r="I3162" s="224">
        <v>0</v>
      </c>
    </row>
    <row r="3163" spans="1:9" ht="15.5" x14ac:dyDescent="0.35">
      <c r="A3163" s="224" t="s">
        <v>247</v>
      </c>
      <c r="B3163" s="224" t="s">
        <v>14</v>
      </c>
      <c r="C3163" s="224" t="s">
        <v>86</v>
      </c>
      <c r="D3163" s="224" t="s">
        <v>55</v>
      </c>
      <c r="E3163" s="224" t="s">
        <v>256</v>
      </c>
      <c r="F3163" s="224" t="s">
        <v>10</v>
      </c>
      <c r="G3163" s="223" t="str">
        <f>VLOOKUP($B3163,'FRS geographical categories'!$A$2:$C$45,2,FALSE)</f>
        <v>Predominantly Rural</v>
      </c>
      <c r="H3163" s="223" t="str">
        <f>VLOOKUP($B3163,'FRS geographical categories'!$A$2:$C$45,3,FALSE)</f>
        <v>Non-metropolitan</v>
      </c>
      <c r="I3163" s="224">
        <v>0</v>
      </c>
    </row>
    <row r="3164" spans="1:9" ht="15.5" x14ac:dyDescent="0.35">
      <c r="A3164" s="224" t="s">
        <v>247</v>
      </c>
      <c r="B3164" s="224" t="s">
        <v>14</v>
      </c>
      <c r="C3164" s="224" t="s">
        <v>89</v>
      </c>
      <c r="D3164" s="224" t="s">
        <v>9</v>
      </c>
      <c r="E3164" s="224" t="s">
        <v>256</v>
      </c>
      <c r="F3164" s="224" t="s">
        <v>248</v>
      </c>
      <c r="G3164" s="223" t="str">
        <f>VLOOKUP($B3164,'FRS geographical categories'!$A$2:$C$45,2,FALSE)</f>
        <v>Predominantly Rural</v>
      </c>
      <c r="H3164" s="223" t="str">
        <f>VLOOKUP($B3164,'FRS geographical categories'!$A$2:$C$45,3,FALSE)</f>
        <v>Non-metropolitan</v>
      </c>
      <c r="I3164" s="224">
        <v>0</v>
      </c>
    </row>
    <row r="3165" spans="1:9" ht="15.5" x14ac:dyDescent="0.35">
      <c r="A3165" s="224" t="s">
        <v>247</v>
      </c>
      <c r="B3165" s="224" t="s">
        <v>14</v>
      </c>
      <c r="C3165" s="224" t="s">
        <v>89</v>
      </c>
      <c r="D3165" s="224" t="s">
        <v>9</v>
      </c>
      <c r="E3165" s="224" t="s">
        <v>256</v>
      </c>
      <c r="F3165" s="224" t="s">
        <v>249</v>
      </c>
      <c r="G3165" s="223" t="str">
        <f>VLOOKUP($B3165,'FRS geographical categories'!$A$2:$C$45,2,FALSE)</f>
        <v>Predominantly Rural</v>
      </c>
      <c r="H3165" s="223" t="str">
        <f>VLOOKUP($B3165,'FRS geographical categories'!$A$2:$C$45,3,FALSE)</f>
        <v>Non-metropolitan</v>
      </c>
      <c r="I3165" s="224">
        <v>7</v>
      </c>
    </row>
    <row r="3166" spans="1:9" ht="15.5" x14ac:dyDescent="0.35">
      <c r="A3166" s="224" t="s">
        <v>247</v>
      </c>
      <c r="B3166" s="224" t="s">
        <v>14</v>
      </c>
      <c r="C3166" s="224" t="s">
        <v>89</v>
      </c>
      <c r="D3166" s="224" t="s">
        <v>9</v>
      </c>
      <c r="E3166" s="224" t="s">
        <v>256</v>
      </c>
      <c r="F3166" s="224" t="s">
        <v>250</v>
      </c>
      <c r="G3166" s="223" t="str">
        <f>VLOOKUP($B3166,'FRS geographical categories'!$A$2:$C$45,2,FALSE)</f>
        <v>Predominantly Rural</v>
      </c>
      <c r="H3166" s="223" t="str">
        <f>VLOOKUP($B3166,'FRS geographical categories'!$A$2:$C$45,3,FALSE)</f>
        <v>Non-metropolitan</v>
      </c>
      <c r="I3166" s="224">
        <v>92</v>
      </c>
    </row>
    <row r="3167" spans="1:9" ht="15.5" x14ac:dyDescent="0.35">
      <c r="A3167" s="224" t="s">
        <v>247</v>
      </c>
      <c r="B3167" s="224" t="s">
        <v>14</v>
      </c>
      <c r="C3167" s="224" t="s">
        <v>89</v>
      </c>
      <c r="D3167" s="224" t="s">
        <v>9</v>
      </c>
      <c r="E3167" s="224" t="s">
        <v>256</v>
      </c>
      <c r="F3167" s="224" t="s">
        <v>10</v>
      </c>
      <c r="G3167" s="223" t="str">
        <f>VLOOKUP($B3167,'FRS geographical categories'!$A$2:$C$45,2,FALSE)</f>
        <v>Predominantly Rural</v>
      </c>
      <c r="H3167" s="223" t="str">
        <f>VLOOKUP($B3167,'FRS geographical categories'!$A$2:$C$45,3,FALSE)</f>
        <v>Non-metropolitan</v>
      </c>
      <c r="I3167" s="224">
        <v>107</v>
      </c>
    </row>
    <row r="3168" spans="1:9" ht="15.5" x14ac:dyDescent="0.35">
      <c r="A3168" s="224" t="s">
        <v>247</v>
      </c>
      <c r="B3168" s="224" t="s">
        <v>14</v>
      </c>
      <c r="C3168" s="224" t="s">
        <v>89</v>
      </c>
      <c r="D3168" s="224" t="s">
        <v>55</v>
      </c>
      <c r="E3168" s="224" t="s">
        <v>256</v>
      </c>
      <c r="F3168" s="224" t="s">
        <v>248</v>
      </c>
      <c r="G3168" s="223" t="str">
        <f>VLOOKUP($B3168,'FRS geographical categories'!$A$2:$C$45,2,FALSE)</f>
        <v>Predominantly Rural</v>
      </c>
      <c r="H3168" s="223" t="str">
        <f>VLOOKUP($B3168,'FRS geographical categories'!$A$2:$C$45,3,FALSE)</f>
        <v>Non-metropolitan</v>
      </c>
      <c r="I3168" s="224">
        <v>0</v>
      </c>
    </row>
    <row r="3169" spans="1:9" ht="15.5" x14ac:dyDescent="0.35">
      <c r="A3169" s="224" t="s">
        <v>247</v>
      </c>
      <c r="B3169" s="224" t="s">
        <v>14</v>
      </c>
      <c r="C3169" s="224" t="s">
        <v>89</v>
      </c>
      <c r="D3169" s="224" t="s">
        <v>55</v>
      </c>
      <c r="E3169" s="224" t="s">
        <v>256</v>
      </c>
      <c r="F3169" s="224" t="s">
        <v>249</v>
      </c>
      <c r="G3169" s="223" t="str">
        <f>VLOOKUP($B3169,'FRS geographical categories'!$A$2:$C$45,2,FALSE)</f>
        <v>Predominantly Rural</v>
      </c>
      <c r="H3169" s="223" t="str">
        <f>VLOOKUP($B3169,'FRS geographical categories'!$A$2:$C$45,3,FALSE)</f>
        <v>Non-metropolitan</v>
      </c>
      <c r="I3169" s="224">
        <v>0</v>
      </c>
    </row>
    <row r="3170" spans="1:9" ht="15.5" x14ac:dyDescent="0.35">
      <c r="A3170" s="224" t="s">
        <v>247</v>
      </c>
      <c r="B3170" s="224" t="s">
        <v>14</v>
      </c>
      <c r="C3170" s="224" t="s">
        <v>89</v>
      </c>
      <c r="D3170" s="224" t="s">
        <v>55</v>
      </c>
      <c r="E3170" s="224" t="s">
        <v>256</v>
      </c>
      <c r="F3170" s="224" t="s">
        <v>250</v>
      </c>
      <c r="G3170" s="223" t="str">
        <f>VLOOKUP($B3170,'FRS geographical categories'!$A$2:$C$45,2,FALSE)</f>
        <v>Predominantly Rural</v>
      </c>
      <c r="H3170" s="223" t="str">
        <f>VLOOKUP($B3170,'FRS geographical categories'!$A$2:$C$45,3,FALSE)</f>
        <v>Non-metropolitan</v>
      </c>
      <c r="I3170" s="224">
        <v>0</v>
      </c>
    </row>
    <row r="3171" spans="1:9" ht="15.5" x14ac:dyDescent="0.35">
      <c r="A3171" s="224" t="s">
        <v>247</v>
      </c>
      <c r="B3171" s="224" t="s">
        <v>14</v>
      </c>
      <c r="C3171" s="224" t="s">
        <v>89</v>
      </c>
      <c r="D3171" s="224" t="s">
        <v>55</v>
      </c>
      <c r="E3171" s="224" t="s">
        <v>256</v>
      </c>
      <c r="F3171" s="224" t="s">
        <v>10</v>
      </c>
      <c r="G3171" s="223" t="str">
        <f>VLOOKUP($B3171,'FRS geographical categories'!$A$2:$C$45,2,FALSE)</f>
        <v>Predominantly Rural</v>
      </c>
      <c r="H3171" s="223" t="str">
        <f>VLOOKUP($B3171,'FRS geographical categories'!$A$2:$C$45,3,FALSE)</f>
        <v>Non-metropolitan</v>
      </c>
      <c r="I3171" s="224">
        <v>0</v>
      </c>
    </row>
    <row r="3172" spans="1:9" ht="15.5" x14ac:dyDescent="0.35">
      <c r="A3172" s="224" t="s">
        <v>247</v>
      </c>
      <c r="B3172" s="224" t="s">
        <v>15</v>
      </c>
      <c r="C3172" s="224" t="s">
        <v>86</v>
      </c>
      <c r="D3172" s="224" t="s">
        <v>9</v>
      </c>
      <c r="E3172" s="224" t="s">
        <v>256</v>
      </c>
      <c r="F3172" s="224" t="s">
        <v>248</v>
      </c>
      <c r="G3172" s="223" t="str">
        <f>VLOOKUP($B3172,'FRS geographical categories'!$A$2:$C$45,2,FALSE)</f>
        <v>Significantly Rural</v>
      </c>
      <c r="H3172" s="223" t="str">
        <f>VLOOKUP($B3172,'FRS geographical categories'!$A$2:$C$45,3,FALSE)</f>
        <v>Non-metropolitan</v>
      </c>
      <c r="I3172" s="224">
        <v>576</v>
      </c>
    </row>
    <row r="3173" spans="1:9" ht="15.5" x14ac:dyDescent="0.35">
      <c r="A3173" s="224" t="s">
        <v>247</v>
      </c>
      <c r="B3173" s="224" t="s">
        <v>15</v>
      </c>
      <c r="C3173" s="224" t="s">
        <v>86</v>
      </c>
      <c r="D3173" s="224" t="s">
        <v>9</v>
      </c>
      <c r="E3173" s="224" t="s">
        <v>256</v>
      </c>
      <c r="F3173" s="224" t="s">
        <v>249</v>
      </c>
      <c r="G3173" s="223" t="str">
        <f>VLOOKUP($B3173,'FRS geographical categories'!$A$2:$C$45,2,FALSE)</f>
        <v>Significantly Rural</v>
      </c>
      <c r="H3173" s="223" t="str">
        <f>VLOOKUP($B3173,'FRS geographical categories'!$A$2:$C$45,3,FALSE)</f>
        <v>Non-metropolitan</v>
      </c>
      <c r="I3173" s="224">
        <v>2376</v>
      </c>
    </row>
    <row r="3174" spans="1:9" ht="15.5" x14ac:dyDescent="0.35">
      <c r="A3174" s="224" t="s">
        <v>247</v>
      </c>
      <c r="B3174" s="224" t="s">
        <v>15</v>
      </c>
      <c r="C3174" s="224" t="s">
        <v>86</v>
      </c>
      <c r="D3174" s="224" t="s">
        <v>9</v>
      </c>
      <c r="E3174" s="224" t="s">
        <v>256</v>
      </c>
      <c r="F3174" s="224" t="s">
        <v>250</v>
      </c>
      <c r="G3174" s="223" t="str">
        <f>VLOOKUP($B3174,'FRS geographical categories'!$A$2:$C$45,2,FALSE)</f>
        <v>Significantly Rural</v>
      </c>
      <c r="H3174" s="223" t="str">
        <f>VLOOKUP($B3174,'FRS geographical categories'!$A$2:$C$45,3,FALSE)</f>
        <v>Non-metropolitan</v>
      </c>
      <c r="I3174" s="224">
        <v>10229</v>
      </c>
    </row>
    <row r="3175" spans="1:9" ht="15.5" x14ac:dyDescent="0.35">
      <c r="A3175" s="224" t="s">
        <v>247</v>
      </c>
      <c r="B3175" s="224" t="s">
        <v>15</v>
      </c>
      <c r="C3175" s="224" t="s">
        <v>86</v>
      </c>
      <c r="D3175" s="224" t="s">
        <v>9</v>
      </c>
      <c r="E3175" s="224" t="s">
        <v>256</v>
      </c>
      <c r="F3175" s="224" t="s">
        <v>111</v>
      </c>
      <c r="G3175" s="223" t="str">
        <f>VLOOKUP($B3175,'FRS geographical categories'!$A$2:$C$45,2,FALSE)</f>
        <v>Significantly Rural</v>
      </c>
      <c r="H3175" s="223" t="str">
        <f>VLOOKUP($B3175,'FRS geographical categories'!$A$2:$C$45,3,FALSE)</f>
        <v>Non-metropolitan</v>
      </c>
      <c r="I3175" s="224">
        <v>23682</v>
      </c>
    </row>
    <row r="3176" spans="1:9" ht="15.5" x14ac:dyDescent="0.35">
      <c r="A3176" s="224" t="s">
        <v>247</v>
      </c>
      <c r="B3176" s="224" t="s">
        <v>15</v>
      </c>
      <c r="C3176" s="224" t="s">
        <v>86</v>
      </c>
      <c r="D3176" s="224" t="s">
        <v>9</v>
      </c>
      <c r="E3176" s="224" t="s">
        <v>256</v>
      </c>
      <c r="F3176" s="224" t="s">
        <v>10</v>
      </c>
      <c r="G3176" s="223" t="str">
        <f>VLOOKUP($B3176,'FRS geographical categories'!$A$2:$C$45,2,FALSE)</f>
        <v>Significantly Rural</v>
      </c>
      <c r="H3176" s="223" t="str">
        <f>VLOOKUP($B3176,'FRS geographical categories'!$A$2:$C$45,3,FALSE)</f>
        <v>Non-metropolitan</v>
      </c>
      <c r="I3176" s="224">
        <v>25519</v>
      </c>
    </row>
    <row r="3177" spans="1:9" ht="15.5" x14ac:dyDescent="0.35">
      <c r="A3177" s="224" t="s">
        <v>247</v>
      </c>
      <c r="B3177" s="224" t="s">
        <v>15</v>
      </c>
      <c r="C3177" s="224" t="s">
        <v>86</v>
      </c>
      <c r="D3177" s="224" t="s">
        <v>55</v>
      </c>
      <c r="E3177" s="224" t="s">
        <v>256</v>
      </c>
      <c r="F3177" s="224" t="s">
        <v>248</v>
      </c>
      <c r="G3177" s="223" t="str">
        <f>VLOOKUP($B3177,'FRS geographical categories'!$A$2:$C$45,2,FALSE)</f>
        <v>Significantly Rural</v>
      </c>
      <c r="H3177" s="223" t="str">
        <f>VLOOKUP($B3177,'FRS geographical categories'!$A$2:$C$45,3,FALSE)</f>
        <v>Non-metropolitan</v>
      </c>
      <c r="I3177" s="224">
        <v>0</v>
      </c>
    </row>
    <row r="3178" spans="1:9" ht="15.5" x14ac:dyDescent="0.35">
      <c r="A3178" s="224" t="s">
        <v>247</v>
      </c>
      <c r="B3178" s="224" t="s">
        <v>15</v>
      </c>
      <c r="C3178" s="224" t="s">
        <v>86</v>
      </c>
      <c r="D3178" s="224" t="s">
        <v>55</v>
      </c>
      <c r="E3178" s="224" t="s">
        <v>256</v>
      </c>
      <c r="F3178" s="224" t="s">
        <v>249</v>
      </c>
      <c r="G3178" s="223" t="str">
        <f>VLOOKUP($B3178,'FRS geographical categories'!$A$2:$C$45,2,FALSE)</f>
        <v>Significantly Rural</v>
      </c>
      <c r="H3178" s="223" t="str">
        <f>VLOOKUP($B3178,'FRS geographical categories'!$A$2:$C$45,3,FALSE)</f>
        <v>Non-metropolitan</v>
      </c>
      <c r="I3178" s="224">
        <v>0</v>
      </c>
    </row>
    <row r="3179" spans="1:9" ht="15.5" x14ac:dyDescent="0.35">
      <c r="A3179" s="224" t="s">
        <v>247</v>
      </c>
      <c r="B3179" s="224" t="s">
        <v>15</v>
      </c>
      <c r="C3179" s="224" t="s">
        <v>86</v>
      </c>
      <c r="D3179" s="224" t="s">
        <v>55</v>
      </c>
      <c r="E3179" s="224" t="s">
        <v>256</v>
      </c>
      <c r="F3179" s="224" t="s">
        <v>250</v>
      </c>
      <c r="G3179" s="223" t="str">
        <f>VLOOKUP($B3179,'FRS geographical categories'!$A$2:$C$45,2,FALSE)</f>
        <v>Significantly Rural</v>
      </c>
      <c r="H3179" s="223" t="str">
        <f>VLOOKUP($B3179,'FRS geographical categories'!$A$2:$C$45,3,FALSE)</f>
        <v>Non-metropolitan</v>
      </c>
      <c r="I3179" s="224">
        <v>0</v>
      </c>
    </row>
    <row r="3180" spans="1:9" ht="15.5" x14ac:dyDescent="0.35">
      <c r="A3180" s="224" t="s">
        <v>247</v>
      </c>
      <c r="B3180" s="224" t="s">
        <v>15</v>
      </c>
      <c r="C3180" s="224" t="s">
        <v>86</v>
      </c>
      <c r="D3180" s="224" t="s">
        <v>55</v>
      </c>
      <c r="E3180" s="224" t="s">
        <v>256</v>
      </c>
      <c r="F3180" s="224" t="s">
        <v>111</v>
      </c>
      <c r="G3180" s="223" t="str">
        <f>VLOOKUP($B3180,'FRS geographical categories'!$A$2:$C$45,2,FALSE)</f>
        <v>Significantly Rural</v>
      </c>
      <c r="H3180" s="223" t="str">
        <f>VLOOKUP($B3180,'FRS geographical categories'!$A$2:$C$45,3,FALSE)</f>
        <v>Non-metropolitan</v>
      </c>
      <c r="I3180" s="224">
        <v>0</v>
      </c>
    </row>
    <row r="3181" spans="1:9" ht="15.5" x14ac:dyDescent="0.35">
      <c r="A3181" s="224" t="s">
        <v>247</v>
      </c>
      <c r="B3181" s="224" t="s">
        <v>15</v>
      </c>
      <c r="C3181" s="224" t="s">
        <v>86</v>
      </c>
      <c r="D3181" s="224" t="s">
        <v>55</v>
      </c>
      <c r="E3181" s="224" t="s">
        <v>256</v>
      </c>
      <c r="F3181" s="224" t="s">
        <v>10</v>
      </c>
      <c r="G3181" s="223" t="str">
        <f>VLOOKUP($B3181,'FRS geographical categories'!$A$2:$C$45,2,FALSE)</f>
        <v>Significantly Rural</v>
      </c>
      <c r="H3181" s="223" t="str">
        <f>VLOOKUP($B3181,'FRS geographical categories'!$A$2:$C$45,3,FALSE)</f>
        <v>Non-metropolitan</v>
      </c>
      <c r="I3181" s="224">
        <v>0</v>
      </c>
    </row>
    <row r="3182" spans="1:9" ht="15.5" x14ac:dyDescent="0.35">
      <c r="A3182" s="224" t="s">
        <v>247</v>
      </c>
      <c r="B3182" s="224" t="s">
        <v>15</v>
      </c>
      <c r="C3182" s="224" t="s">
        <v>89</v>
      </c>
      <c r="D3182" s="224" t="s">
        <v>9</v>
      </c>
      <c r="E3182" s="224" t="s">
        <v>256</v>
      </c>
      <c r="F3182" s="224" t="s">
        <v>248</v>
      </c>
      <c r="G3182" s="223" t="str">
        <f>VLOOKUP($B3182,'FRS geographical categories'!$A$2:$C$45,2,FALSE)</f>
        <v>Significantly Rural</v>
      </c>
      <c r="H3182" s="223" t="str">
        <f>VLOOKUP($B3182,'FRS geographical categories'!$A$2:$C$45,3,FALSE)</f>
        <v>Non-metropolitan</v>
      </c>
      <c r="I3182" s="224">
        <v>0</v>
      </c>
    </row>
    <row r="3183" spans="1:9" ht="15.5" x14ac:dyDescent="0.35">
      <c r="A3183" s="224" t="s">
        <v>247</v>
      </c>
      <c r="B3183" s="224" t="s">
        <v>15</v>
      </c>
      <c r="C3183" s="224" t="s">
        <v>89</v>
      </c>
      <c r="D3183" s="224" t="s">
        <v>9</v>
      </c>
      <c r="E3183" s="224" t="s">
        <v>256</v>
      </c>
      <c r="F3183" s="224" t="s">
        <v>249</v>
      </c>
      <c r="G3183" s="223" t="str">
        <f>VLOOKUP($B3183,'FRS geographical categories'!$A$2:$C$45,2,FALSE)</f>
        <v>Significantly Rural</v>
      </c>
      <c r="H3183" s="223" t="str">
        <f>VLOOKUP($B3183,'FRS geographical categories'!$A$2:$C$45,3,FALSE)</f>
        <v>Non-metropolitan</v>
      </c>
      <c r="I3183" s="224">
        <v>0</v>
      </c>
    </row>
    <row r="3184" spans="1:9" ht="15.5" x14ac:dyDescent="0.35">
      <c r="A3184" s="224" t="s">
        <v>247</v>
      </c>
      <c r="B3184" s="224" t="s">
        <v>15</v>
      </c>
      <c r="C3184" s="224" t="s">
        <v>89</v>
      </c>
      <c r="D3184" s="224" t="s">
        <v>9</v>
      </c>
      <c r="E3184" s="224" t="s">
        <v>256</v>
      </c>
      <c r="F3184" s="224" t="s">
        <v>250</v>
      </c>
      <c r="G3184" s="223" t="str">
        <f>VLOOKUP($B3184,'FRS geographical categories'!$A$2:$C$45,2,FALSE)</f>
        <v>Significantly Rural</v>
      </c>
      <c r="H3184" s="223" t="str">
        <f>VLOOKUP($B3184,'FRS geographical categories'!$A$2:$C$45,3,FALSE)</f>
        <v>Non-metropolitan</v>
      </c>
      <c r="I3184" s="224">
        <v>0</v>
      </c>
    </row>
    <row r="3185" spans="1:9" ht="15.5" x14ac:dyDescent="0.35">
      <c r="A3185" s="224" t="s">
        <v>247</v>
      </c>
      <c r="B3185" s="224" t="s">
        <v>15</v>
      </c>
      <c r="C3185" s="224" t="s">
        <v>89</v>
      </c>
      <c r="D3185" s="224" t="s">
        <v>9</v>
      </c>
      <c r="E3185" s="224" t="s">
        <v>256</v>
      </c>
      <c r="F3185" s="224" t="s">
        <v>10</v>
      </c>
      <c r="G3185" s="223" t="str">
        <f>VLOOKUP($B3185,'FRS geographical categories'!$A$2:$C$45,2,FALSE)</f>
        <v>Significantly Rural</v>
      </c>
      <c r="H3185" s="223" t="str">
        <f>VLOOKUP($B3185,'FRS geographical categories'!$A$2:$C$45,3,FALSE)</f>
        <v>Non-metropolitan</v>
      </c>
      <c r="I3185" s="224">
        <v>0</v>
      </c>
    </row>
    <row r="3186" spans="1:9" ht="15.5" x14ac:dyDescent="0.35">
      <c r="A3186" s="224" t="s">
        <v>247</v>
      </c>
      <c r="B3186" s="224" t="s">
        <v>15</v>
      </c>
      <c r="C3186" s="224" t="s">
        <v>89</v>
      </c>
      <c r="D3186" s="224" t="s">
        <v>55</v>
      </c>
      <c r="E3186" s="224" t="s">
        <v>256</v>
      </c>
      <c r="F3186" s="224" t="s">
        <v>248</v>
      </c>
      <c r="G3186" s="223" t="str">
        <f>VLOOKUP($B3186,'FRS geographical categories'!$A$2:$C$45,2,FALSE)</f>
        <v>Significantly Rural</v>
      </c>
      <c r="H3186" s="223" t="str">
        <f>VLOOKUP($B3186,'FRS geographical categories'!$A$2:$C$45,3,FALSE)</f>
        <v>Non-metropolitan</v>
      </c>
      <c r="I3186" s="224">
        <v>0</v>
      </c>
    </row>
    <row r="3187" spans="1:9" ht="15.5" x14ac:dyDescent="0.35">
      <c r="A3187" s="224" t="s">
        <v>247</v>
      </c>
      <c r="B3187" s="224" t="s">
        <v>15</v>
      </c>
      <c r="C3187" s="224" t="s">
        <v>89</v>
      </c>
      <c r="D3187" s="224" t="s">
        <v>55</v>
      </c>
      <c r="E3187" s="224" t="s">
        <v>256</v>
      </c>
      <c r="F3187" s="224" t="s">
        <v>249</v>
      </c>
      <c r="G3187" s="223" t="str">
        <f>VLOOKUP($B3187,'FRS geographical categories'!$A$2:$C$45,2,FALSE)</f>
        <v>Significantly Rural</v>
      </c>
      <c r="H3187" s="223" t="str">
        <f>VLOOKUP($B3187,'FRS geographical categories'!$A$2:$C$45,3,FALSE)</f>
        <v>Non-metropolitan</v>
      </c>
      <c r="I3187" s="224">
        <v>0</v>
      </c>
    </row>
    <row r="3188" spans="1:9" ht="15.5" x14ac:dyDescent="0.35">
      <c r="A3188" s="224" t="s">
        <v>247</v>
      </c>
      <c r="B3188" s="224" t="s">
        <v>15</v>
      </c>
      <c r="C3188" s="224" t="s">
        <v>89</v>
      </c>
      <c r="D3188" s="224" t="s">
        <v>55</v>
      </c>
      <c r="E3188" s="224" t="s">
        <v>256</v>
      </c>
      <c r="F3188" s="224" t="s">
        <v>250</v>
      </c>
      <c r="G3188" s="223" t="str">
        <f>VLOOKUP($B3188,'FRS geographical categories'!$A$2:$C$45,2,FALSE)</f>
        <v>Significantly Rural</v>
      </c>
      <c r="H3188" s="223" t="str">
        <f>VLOOKUP($B3188,'FRS geographical categories'!$A$2:$C$45,3,FALSE)</f>
        <v>Non-metropolitan</v>
      </c>
      <c r="I3188" s="224">
        <v>0</v>
      </c>
    </row>
    <row r="3189" spans="1:9" ht="15.5" x14ac:dyDescent="0.35">
      <c r="A3189" s="224" t="s">
        <v>247</v>
      </c>
      <c r="B3189" s="224" t="s">
        <v>15</v>
      </c>
      <c r="C3189" s="224" t="s">
        <v>89</v>
      </c>
      <c r="D3189" s="224" t="s">
        <v>55</v>
      </c>
      <c r="E3189" s="224" t="s">
        <v>256</v>
      </c>
      <c r="F3189" s="224" t="s">
        <v>10</v>
      </c>
      <c r="G3189" s="223" t="str">
        <f>VLOOKUP($B3189,'FRS geographical categories'!$A$2:$C$45,2,FALSE)</f>
        <v>Significantly Rural</v>
      </c>
      <c r="H3189" s="223" t="str">
        <f>VLOOKUP($B3189,'FRS geographical categories'!$A$2:$C$45,3,FALSE)</f>
        <v>Non-metropolitan</v>
      </c>
      <c r="I3189" s="224">
        <v>0</v>
      </c>
    </row>
    <row r="3190" spans="1:9" ht="15.5" x14ac:dyDescent="0.35">
      <c r="A3190" s="224" t="s">
        <v>247</v>
      </c>
      <c r="B3190" s="224" t="s">
        <v>16</v>
      </c>
      <c r="C3190" s="224" t="s">
        <v>86</v>
      </c>
      <c r="D3190" s="224" t="s">
        <v>9</v>
      </c>
      <c r="E3190" s="224" t="s">
        <v>256</v>
      </c>
      <c r="F3190" s="224" t="s">
        <v>248</v>
      </c>
      <c r="G3190" s="223" t="str">
        <f>VLOOKUP($B3190,'FRS geographical categories'!$A$2:$C$45,2,FALSE)</f>
        <v>Predominantly Urban</v>
      </c>
      <c r="H3190" s="223" t="str">
        <f>VLOOKUP($B3190,'FRS geographical categories'!$A$2:$C$45,3,FALSE)</f>
        <v>Non-metropolitan</v>
      </c>
      <c r="I3190" s="224">
        <v>1031</v>
      </c>
    </row>
    <row r="3191" spans="1:9" ht="15.5" x14ac:dyDescent="0.35">
      <c r="A3191" s="224" t="s">
        <v>247</v>
      </c>
      <c r="B3191" s="224" t="s">
        <v>16</v>
      </c>
      <c r="C3191" s="224" t="s">
        <v>86</v>
      </c>
      <c r="D3191" s="224" t="s">
        <v>9</v>
      </c>
      <c r="E3191" s="224" t="s">
        <v>256</v>
      </c>
      <c r="F3191" s="224" t="s">
        <v>249</v>
      </c>
      <c r="G3191" s="223" t="str">
        <f>VLOOKUP($B3191,'FRS geographical categories'!$A$2:$C$45,2,FALSE)</f>
        <v>Predominantly Urban</v>
      </c>
      <c r="H3191" s="223" t="str">
        <f>VLOOKUP($B3191,'FRS geographical categories'!$A$2:$C$45,3,FALSE)</f>
        <v>Non-metropolitan</v>
      </c>
      <c r="I3191" s="224">
        <v>2280</v>
      </c>
    </row>
    <row r="3192" spans="1:9" ht="15.5" x14ac:dyDescent="0.35">
      <c r="A3192" s="224" t="s">
        <v>247</v>
      </c>
      <c r="B3192" s="224" t="s">
        <v>16</v>
      </c>
      <c r="C3192" s="224" t="s">
        <v>86</v>
      </c>
      <c r="D3192" s="224" t="s">
        <v>9</v>
      </c>
      <c r="E3192" s="224" t="s">
        <v>256</v>
      </c>
      <c r="F3192" s="224" t="s">
        <v>250</v>
      </c>
      <c r="G3192" s="223" t="str">
        <f>VLOOKUP($B3192,'FRS geographical categories'!$A$2:$C$45,2,FALSE)</f>
        <v>Predominantly Urban</v>
      </c>
      <c r="H3192" s="223" t="str">
        <f>VLOOKUP($B3192,'FRS geographical categories'!$A$2:$C$45,3,FALSE)</f>
        <v>Non-metropolitan</v>
      </c>
      <c r="I3192" s="224">
        <v>5462</v>
      </c>
    </row>
    <row r="3193" spans="1:9" ht="15.5" x14ac:dyDescent="0.35">
      <c r="A3193" s="224" t="s">
        <v>247</v>
      </c>
      <c r="B3193" s="224" t="s">
        <v>16</v>
      </c>
      <c r="C3193" s="224" t="s">
        <v>86</v>
      </c>
      <c r="D3193" s="224" t="s">
        <v>9</v>
      </c>
      <c r="E3193" s="224" t="s">
        <v>256</v>
      </c>
      <c r="F3193" s="224" t="s">
        <v>111</v>
      </c>
      <c r="G3193" s="223" t="str">
        <f>VLOOKUP($B3193,'FRS geographical categories'!$A$2:$C$45,2,FALSE)</f>
        <v>Predominantly Urban</v>
      </c>
      <c r="H3193" s="223" t="str">
        <f>VLOOKUP($B3193,'FRS geographical categories'!$A$2:$C$45,3,FALSE)</f>
        <v>Non-metropolitan</v>
      </c>
      <c r="I3193" s="224">
        <v>11048</v>
      </c>
    </row>
    <row r="3194" spans="1:9" ht="15.5" x14ac:dyDescent="0.35">
      <c r="A3194" s="224" t="s">
        <v>247</v>
      </c>
      <c r="B3194" s="224" t="s">
        <v>16</v>
      </c>
      <c r="C3194" s="224" t="s">
        <v>86</v>
      </c>
      <c r="D3194" s="224" t="s">
        <v>9</v>
      </c>
      <c r="E3194" s="224" t="s">
        <v>256</v>
      </c>
      <c r="F3194" s="224" t="s">
        <v>10</v>
      </c>
      <c r="G3194" s="223" t="str">
        <f>VLOOKUP($B3194,'FRS geographical categories'!$A$2:$C$45,2,FALSE)</f>
        <v>Predominantly Urban</v>
      </c>
      <c r="H3194" s="223" t="str">
        <f>VLOOKUP($B3194,'FRS geographical categories'!$A$2:$C$45,3,FALSE)</f>
        <v>Non-metropolitan</v>
      </c>
      <c r="I3194" s="224">
        <v>19222</v>
      </c>
    </row>
    <row r="3195" spans="1:9" ht="15.5" x14ac:dyDescent="0.35">
      <c r="A3195" s="224" t="s">
        <v>247</v>
      </c>
      <c r="B3195" s="224" t="s">
        <v>16</v>
      </c>
      <c r="C3195" s="224" t="s">
        <v>86</v>
      </c>
      <c r="D3195" s="224" t="s">
        <v>55</v>
      </c>
      <c r="E3195" s="224" t="s">
        <v>256</v>
      </c>
      <c r="F3195" s="224" t="s">
        <v>248</v>
      </c>
      <c r="G3195" s="223" t="str">
        <f>VLOOKUP($B3195,'FRS geographical categories'!$A$2:$C$45,2,FALSE)</f>
        <v>Predominantly Urban</v>
      </c>
      <c r="H3195" s="223" t="str">
        <f>VLOOKUP($B3195,'FRS geographical categories'!$A$2:$C$45,3,FALSE)</f>
        <v>Non-metropolitan</v>
      </c>
      <c r="I3195" s="224">
        <v>5</v>
      </c>
    </row>
    <row r="3196" spans="1:9" ht="15.5" x14ac:dyDescent="0.35">
      <c r="A3196" s="224" t="s">
        <v>247</v>
      </c>
      <c r="B3196" s="224" t="s">
        <v>16</v>
      </c>
      <c r="C3196" s="224" t="s">
        <v>86</v>
      </c>
      <c r="D3196" s="224" t="s">
        <v>55</v>
      </c>
      <c r="E3196" s="224" t="s">
        <v>256</v>
      </c>
      <c r="F3196" s="224" t="s">
        <v>249</v>
      </c>
      <c r="G3196" s="223" t="str">
        <f>VLOOKUP($B3196,'FRS geographical categories'!$A$2:$C$45,2,FALSE)</f>
        <v>Predominantly Urban</v>
      </c>
      <c r="H3196" s="223" t="str">
        <f>VLOOKUP($B3196,'FRS geographical categories'!$A$2:$C$45,3,FALSE)</f>
        <v>Non-metropolitan</v>
      </c>
      <c r="I3196" s="224">
        <v>8</v>
      </c>
    </row>
    <row r="3197" spans="1:9" ht="15.5" x14ac:dyDescent="0.35">
      <c r="A3197" s="224" t="s">
        <v>247</v>
      </c>
      <c r="B3197" s="224" t="s">
        <v>16</v>
      </c>
      <c r="C3197" s="224" t="s">
        <v>86</v>
      </c>
      <c r="D3197" s="224" t="s">
        <v>55</v>
      </c>
      <c r="E3197" s="224" t="s">
        <v>256</v>
      </c>
      <c r="F3197" s="224" t="s">
        <v>250</v>
      </c>
      <c r="G3197" s="223" t="str">
        <f>VLOOKUP($B3197,'FRS geographical categories'!$A$2:$C$45,2,FALSE)</f>
        <v>Predominantly Urban</v>
      </c>
      <c r="H3197" s="223" t="str">
        <f>VLOOKUP($B3197,'FRS geographical categories'!$A$2:$C$45,3,FALSE)</f>
        <v>Non-metropolitan</v>
      </c>
      <c r="I3197" s="224">
        <v>29</v>
      </c>
    </row>
    <row r="3198" spans="1:9" ht="15.5" x14ac:dyDescent="0.35">
      <c r="A3198" s="224" t="s">
        <v>247</v>
      </c>
      <c r="B3198" s="224" t="s">
        <v>16</v>
      </c>
      <c r="C3198" s="224" t="s">
        <v>86</v>
      </c>
      <c r="D3198" s="224" t="s">
        <v>55</v>
      </c>
      <c r="E3198" s="224" t="s">
        <v>256</v>
      </c>
      <c r="F3198" s="224" t="s">
        <v>111</v>
      </c>
      <c r="G3198" s="223" t="str">
        <f>VLOOKUP($B3198,'FRS geographical categories'!$A$2:$C$45,2,FALSE)</f>
        <v>Predominantly Urban</v>
      </c>
      <c r="H3198" s="223" t="str">
        <f>VLOOKUP($B3198,'FRS geographical categories'!$A$2:$C$45,3,FALSE)</f>
        <v>Non-metropolitan</v>
      </c>
      <c r="I3198" s="224">
        <v>60</v>
      </c>
    </row>
    <row r="3199" spans="1:9" ht="15.5" x14ac:dyDescent="0.35">
      <c r="A3199" s="224" t="s">
        <v>247</v>
      </c>
      <c r="B3199" s="224" t="s">
        <v>16</v>
      </c>
      <c r="C3199" s="224" t="s">
        <v>86</v>
      </c>
      <c r="D3199" s="224" t="s">
        <v>55</v>
      </c>
      <c r="E3199" s="224" t="s">
        <v>256</v>
      </c>
      <c r="F3199" s="224" t="s">
        <v>10</v>
      </c>
      <c r="G3199" s="223" t="str">
        <f>VLOOKUP($B3199,'FRS geographical categories'!$A$2:$C$45,2,FALSE)</f>
        <v>Predominantly Urban</v>
      </c>
      <c r="H3199" s="223" t="str">
        <f>VLOOKUP($B3199,'FRS geographical categories'!$A$2:$C$45,3,FALSE)</f>
        <v>Non-metropolitan</v>
      </c>
      <c r="I3199" s="224">
        <v>118</v>
      </c>
    </row>
    <row r="3200" spans="1:9" ht="15.5" x14ac:dyDescent="0.35">
      <c r="A3200" s="224" t="s">
        <v>247</v>
      </c>
      <c r="B3200" s="224" t="s">
        <v>16</v>
      </c>
      <c r="C3200" s="224" t="s">
        <v>89</v>
      </c>
      <c r="D3200" s="224" t="s">
        <v>9</v>
      </c>
      <c r="E3200" s="224" t="s">
        <v>256</v>
      </c>
      <c r="F3200" s="224" t="s">
        <v>248</v>
      </c>
      <c r="G3200" s="223" t="str">
        <f>VLOOKUP($B3200,'FRS geographical categories'!$A$2:$C$45,2,FALSE)</f>
        <v>Predominantly Urban</v>
      </c>
      <c r="H3200" s="223" t="str">
        <f>VLOOKUP($B3200,'FRS geographical categories'!$A$2:$C$45,3,FALSE)</f>
        <v>Non-metropolitan</v>
      </c>
      <c r="I3200" s="224">
        <v>0</v>
      </c>
    </row>
    <row r="3201" spans="1:9" ht="15.5" x14ac:dyDescent="0.35">
      <c r="A3201" s="224" t="s">
        <v>247</v>
      </c>
      <c r="B3201" s="224" t="s">
        <v>16</v>
      </c>
      <c r="C3201" s="224" t="s">
        <v>89</v>
      </c>
      <c r="D3201" s="224" t="s">
        <v>9</v>
      </c>
      <c r="E3201" s="224" t="s">
        <v>256</v>
      </c>
      <c r="F3201" s="224" t="s">
        <v>249</v>
      </c>
      <c r="G3201" s="223" t="str">
        <f>VLOOKUP($B3201,'FRS geographical categories'!$A$2:$C$45,2,FALSE)</f>
        <v>Predominantly Urban</v>
      </c>
      <c r="H3201" s="223" t="str">
        <f>VLOOKUP($B3201,'FRS geographical categories'!$A$2:$C$45,3,FALSE)</f>
        <v>Non-metropolitan</v>
      </c>
      <c r="I3201" s="224">
        <v>0</v>
      </c>
    </row>
    <row r="3202" spans="1:9" ht="15.5" x14ac:dyDescent="0.35">
      <c r="A3202" s="224" t="s">
        <v>247</v>
      </c>
      <c r="B3202" s="224" t="s">
        <v>16</v>
      </c>
      <c r="C3202" s="224" t="s">
        <v>89</v>
      </c>
      <c r="D3202" s="224" t="s">
        <v>9</v>
      </c>
      <c r="E3202" s="224" t="s">
        <v>256</v>
      </c>
      <c r="F3202" s="224" t="s">
        <v>250</v>
      </c>
      <c r="G3202" s="223" t="str">
        <f>VLOOKUP($B3202,'FRS geographical categories'!$A$2:$C$45,2,FALSE)</f>
        <v>Predominantly Urban</v>
      </c>
      <c r="H3202" s="223" t="str">
        <f>VLOOKUP($B3202,'FRS geographical categories'!$A$2:$C$45,3,FALSE)</f>
        <v>Non-metropolitan</v>
      </c>
      <c r="I3202" s="224">
        <v>0</v>
      </c>
    </row>
    <row r="3203" spans="1:9" ht="15.5" x14ac:dyDescent="0.35">
      <c r="A3203" s="224" t="s">
        <v>247</v>
      </c>
      <c r="B3203" s="224" t="s">
        <v>16</v>
      </c>
      <c r="C3203" s="224" t="s">
        <v>89</v>
      </c>
      <c r="D3203" s="224" t="s">
        <v>9</v>
      </c>
      <c r="E3203" s="224" t="s">
        <v>256</v>
      </c>
      <c r="F3203" s="224" t="s">
        <v>10</v>
      </c>
      <c r="G3203" s="223" t="str">
        <f>VLOOKUP($B3203,'FRS geographical categories'!$A$2:$C$45,2,FALSE)</f>
        <v>Predominantly Urban</v>
      </c>
      <c r="H3203" s="223" t="str">
        <f>VLOOKUP($B3203,'FRS geographical categories'!$A$2:$C$45,3,FALSE)</f>
        <v>Non-metropolitan</v>
      </c>
      <c r="I3203" s="224">
        <v>0</v>
      </c>
    </row>
    <row r="3204" spans="1:9" ht="15.5" x14ac:dyDescent="0.35">
      <c r="A3204" s="224" t="s">
        <v>247</v>
      </c>
      <c r="B3204" s="224" t="s">
        <v>16</v>
      </c>
      <c r="C3204" s="224" t="s">
        <v>89</v>
      </c>
      <c r="D3204" s="224" t="s">
        <v>55</v>
      </c>
      <c r="E3204" s="224" t="s">
        <v>256</v>
      </c>
      <c r="F3204" s="224" t="s">
        <v>248</v>
      </c>
      <c r="G3204" s="223" t="str">
        <f>VLOOKUP($B3204,'FRS geographical categories'!$A$2:$C$45,2,FALSE)</f>
        <v>Predominantly Urban</v>
      </c>
      <c r="H3204" s="223" t="str">
        <f>VLOOKUP($B3204,'FRS geographical categories'!$A$2:$C$45,3,FALSE)</f>
        <v>Non-metropolitan</v>
      </c>
      <c r="I3204" s="224">
        <v>0</v>
      </c>
    </row>
    <row r="3205" spans="1:9" ht="15.5" x14ac:dyDescent="0.35">
      <c r="A3205" s="224" t="s">
        <v>247</v>
      </c>
      <c r="B3205" s="224" t="s">
        <v>16</v>
      </c>
      <c r="C3205" s="224" t="s">
        <v>89</v>
      </c>
      <c r="D3205" s="224" t="s">
        <v>55</v>
      </c>
      <c r="E3205" s="224" t="s">
        <v>256</v>
      </c>
      <c r="F3205" s="224" t="s">
        <v>249</v>
      </c>
      <c r="G3205" s="223" t="str">
        <f>VLOOKUP($B3205,'FRS geographical categories'!$A$2:$C$45,2,FALSE)</f>
        <v>Predominantly Urban</v>
      </c>
      <c r="H3205" s="223" t="str">
        <f>VLOOKUP($B3205,'FRS geographical categories'!$A$2:$C$45,3,FALSE)</f>
        <v>Non-metropolitan</v>
      </c>
      <c r="I3205" s="224">
        <v>0</v>
      </c>
    </row>
    <row r="3206" spans="1:9" ht="15.5" x14ac:dyDescent="0.35">
      <c r="A3206" s="224" t="s">
        <v>247</v>
      </c>
      <c r="B3206" s="224" t="s">
        <v>16</v>
      </c>
      <c r="C3206" s="224" t="s">
        <v>89</v>
      </c>
      <c r="D3206" s="224" t="s">
        <v>55</v>
      </c>
      <c r="E3206" s="224" t="s">
        <v>256</v>
      </c>
      <c r="F3206" s="224" t="s">
        <v>250</v>
      </c>
      <c r="G3206" s="223" t="str">
        <f>VLOOKUP($B3206,'FRS geographical categories'!$A$2:$C$45,2,FALSE)</f>
        <v>Predominantly Urban</v>
      </c>
      <c r="H3206" s="223" t="str">
        <f>VLOOKUP($B3206,'FRS geographical categories'!$A$2:$C$45,3,FALSE)</f>
        <v>Non-metropolitan</v>
      </c>
      <c r="I3206" s="224">
        <v>0</v>
      </c>
    </row>
    <row r="3207" spans="1:9" ht="15.5" x14ac:dyDescent="0.35">
      <c r="A3207" s="224" t="s">
        <v>247</v>
      </c>
      <c r="B3207" s="224" t="s">
        <v>16</v>
      </c>
      <c r="C3207" s="224" t="s">
        <v>89</v>
      </c>
      <c r="D3207" s="224" t="s">
        <v>55</v>
      </c>
      <c r="E3207" s="224" t="s">
        <v>256</v>
      </c>
      <c r="F3207" s="224" t="s">
        <v>10</v>
      </c>
      <c r="G3207" s="223" t="str">
        <f>VLOOKUP($B3207,'FRS geographical categories'!$A$2:$C$45,2,FALSE)</f>
        <v>Predominantly Urban</v>
      </c>
      <c r="H3207" s="223" t="str">
        <f>VLOOKUP($B3207,'FRS geographical categories'!$A$2:$C$45,3,FALSE)</f>
        <v>Non-metropolitan</v>
      </c>
      <c r="I3207" s="224">
        <v>0</v>
      </c>
    </row>
    <row r="3208" spans="1:9" ht="15.5" x14ac:dyDescent="0.35">
      <c r="A3208" s="224" t="s">
        <v>247</v>
      </c>
      <c r="B3208" s="224" t="s">
        <v>17</v>
      </c>
      <c r="C3208" s="224" t="s">
        <v>86</v>
      </c>
      <c r="D3208" s="224" t="s">
        <v>9</v>
      </c>
      <c r="E3208" s="224" t="s">
        <v>256</v>
      </c>
      <c r="F3208" s="224" t="s">
        <v>248</v>
      </c>
      <c r="G3208" s="223" t="str">
        <f>VLOOKUP($B3208,'FRS geographical categories'!$A$2:$C$45,2,FALSE)</f>
        <v>Predominantly Rural</v>
      </c>
      <c r="H3208" s="223" t="str">
        <f>VLOOKUP($B3208,'FRS geographical categories'!$A$2:$C$45,3,FALSE)</f>
        <v>Non-metropolitan</v>
      </c>
      <c r="I3208" s="224">
        <v>238</v>
      </c>
    </row>
    <row r="3209" spans="1:9" ht="15.5" x14ac:dyDescent="0.35">
      <c r="A3209" s="224" t="s">
        <v>247</v>
      </c>
      <c r="B3209" s="224" t="s">
        <v>17</v>
      </c>
      <c r="C3209" s="224" t="s">
        <v>86</v>
      </c>
      <c r="D3209" s="224" t="s">
        <v>9</v>
      </c>
      <c r="E3209" s="224" t="s">
        <v>256</v>
      </c>
      <c r="F3209" s="224" t="s">
        <v>249</v>
      </c>
      <c r="G3209" s="223" t="str">
        <f>VLOOKUP($B3209,'FRS geographical categories'!$A$2:$C$45,2,FALSE)</f>
        <v>Predominantly Rural</v>
      </c>
      <c r="H3209" s="223" t="str">
        <f>VLOOKUP($B3209,'FRS geographical categories'!$A$2:$C$45,3,FALSE)</f>
        <v>Non-metropolitan</v>
      </c>
      <c r="I3209" s="224">
        <v>1311</v>
      </c>
    </row>
    <row r="3210" spans="1:9" ht="15.5" x14ac:dyDescent="0.35">
      <c r="A3210" s="224" t="s">
        <v>247</v>
      </c>
      <c r="B3210" s="224" t="s">
        <v>17</v>
      </c>
      <c r="C3210" s="224" t="s">
        <v>86</v>
      </c>
      <c r="D3210" s="224" t="s">
        <v>9</v>
      </c>
      <c r="E3210" s="224" t="s">
        <v>256</v>
      </c>
      <c r="F3210" s="224" t="s">
        <v>250</v>
      </c>
      <c r="G3210" s="223" t="str">
        <f>VLOOKUP($B3210,'FRS geographical categories'!$A$2:$C$45,2,FALSE)</f>
        <v>Predominantly Rural</v>
      </c>
      <c r="H3210" s="223" t="str">
        <f>VLOOKUP($B3210,'FRS geographical categories'!$A$2:$C$45,3,FALSE)</f>
        <v>Non-metropolitan</v>
      </c>
      <c r="I3210" s="224">
        <v>1753</v>
      </c>
    </row>
    <row r="3211" spans="1:9" ht="15.5" x14ac:dyDescent="0.35">
      <c r="A3211" s="224" t="s">
        <v>247</v>
      </c>
      <c r="B3211" s="224" t="s">
        <v>17</v>
      </c>
      <c r="C3211" s="224" t="s">
        <v>86</v>
      </c>
      <c r="D3211" s="224" t="s">
        <v>9</v>
      </c>
      <c r="E3211" s="224" t="s">
        <v>256</v>
      </c>
      <c r="F3211" s="224" t="s">
        <v>111</v>
      </c>
      <c r="G3211" s="223" t="str">
        <f>VLOOKUP($B3211,'FRS geographical categories'!$A$2:$C$45,2,FALSE)</f>
        <v>Predominantly Rural</v>
      </c>
      <c r="H3211" s="223" t="str">
        <f>VLOOKUP($B3211,'FRS geographical categories'!$A$2:$C$45,3,FALSE)</f>
        <v>Non-metropolitan</v>
      </c>
      <c r="I3211" s="224">
        <v>3556</v>
      </c>
    </row>
    <row r="3212" spans="1:9" ht="15.5" x14ac:dyDescent="0.35">
      <c r="A3212" s="224" t="s">
        <v>247</v>
      </c>
      <c r="B3212" s="224" t="s">
        <v>17</v>
      </c>
      <c r="C3212" s="224" t="s">
        <v>86</v>
      </c>
      <c r="D3212" s="224" t="s">
        <v>9</v>
      </c>
      <c r="E3212" s="224" t="s">
        <v>256</v>
      </c>
      <c r="F3212" s="224" t="s">
        <v>10</v>
      </c>
      <c r="G3212" s="223" t="str">
        <f>VLOOKUP($B3212,'FRS geographical categories'!$A$2:$C$45,2,FALSE)</f>
        <v>Predominantly Rural</v>
      </c>
      <c r="H3212" s="223" t="str">
        <f>VLOOKUP($B3212,'FRS geographical categories'!$A$2:$C$45,3,FALSE)</f>
        <v>Non-metropolitan</v>
      </c>
      <c r="I3212" s="224">
        <v>4809</v>
      </c>
    </row>
    <row r="3213" spans="1:9" ht="15.5" x14ac:dyDescent="0.35">
      <c r="A3213" s="224" t="s">
        <v>247</v>
      </c>
      <c r="B3213" s="224" t="s">
        <v>17</v>
      </c>
      <c r="C3213" s="224" t="s">
        <v>86</v>
      </c>
      <c r="D3213" s="224" t="s">
        <v>55</v>
      </c>
      <c r="E3213" s="224" t="s">
        <v>256</v>
      </c>
      <c r="F3213" s="224" t="s">
        <v>248</v>
      </c>
      <c r="G3213" s="223" t="str">
        <f>VLOOKUP($B3213,'FRS geographical categories'!$A$2:$C$45,2,FALSE)</f>
        <v>Predominantly Rural</v>
      </c>
      <c r="H3213" s="223" t="str">
        <f>VLOOKUP($B3213,'FRS geographical categories'!$A$2:$C$45,3,FALSE)</f>
        <v>Non-metropolitan</v>
      </c>
      <c r="I3213" s="224">
        <v>0</v>
      </c>
    </row>
    <row r="3214" spans="1:9" ht="15.5" x14ac:dyDescent="0.35">
      <c r="A3214" s="224" t="s">
        <v>247</v>
      </c>
      <c r="B3214" s="224" t="s">
        <v>17</v>
      </c>
      <c r="C3214" s="224" t="s">
        <v>86</v>
      </c>
      <c r="D3214" s="224" t="s">
        <v>55</v>
      </c>
      <c r="E3214" s="224" t="s">
        <v>256</v>
      </c>
      <c r="F3214" s="224" t="s">
        <v>249</v>
      </c>
      <c r="G3214" s="223" t="str">
        <f>VLOOKUP($B3214,'FRS geographical categories'!$A$2:$C$45,2,FALSE)</f>
        <v>Predominantly Rural</v>
      </c>
      <c r="H3214" s="223" t="str">
        <f>VLOOKUP($B3214,'FRS geographical categories'!$A$2:$C$45,3,FALSE)</f>
        <v>Non-metropolitan</v>
      </c>
      <c r="I3214" s="224">
        <v>0</v>
      </c>
    </row>
    <row r="3215" spans="1:9" ht="15.5" x14ac:dyDescent="0.35">
      <c r="A3215" s="224" t="s">
        <v>247</v>
      </c>
      <c r="B3215" s="224" t="s">
        <v>17</v>
      </c>
      <c r="C3215" s="224" t="s">
        <v>86</v>
      </c>
      <c r="D3215" s="224" t="s">
        <v>55</v>
      </c>
      <c r="E3215" s="224" t="s">
        <v>256</v>
      </c>
      <c r="F3215" s="224" t="s">
        <v>250</v>
      </c>
      <c r="G3215" s="223" t="str">
        <f>VLOOKUP($B3215,'FRS geographical categories'!$A$2:$C$45,2,FALSE)</f>
        <v>Predominantly Rural</v>
      </c>
      <c r="H3215" s="223" t="str">
        <f>VLOOKUP($B3215,'FRS geographical categories'!$A$2:$C$45,3,FALSE)</f>
        <v>Non-metropolitan</v>
      </c>
      <c r="I3215" s="224">
        <v>0</v>
      </c>
    </row>
    <row r="3216" spans="1:9" ht="15.5" x14ac:dyDescent="0.35">
      <c r="A3216" s="224" t="s">
        <v>247</v>
      </c>
      <c r="B3216" s="224" t="s">
        <v>17</v>
      </c>
      <c r="C3216" s="224" t="s">
        <v>86</v>
      </c>
      <c r="D3216" s="224" t="s">
        <v>55</v>
      </c>
      <c r="E3216" s="224" t="s">
        <v>256</v>
      </c>
      <c r="F3216" s="224" t="s">
        <v>111</v>
      </c>
      <c r="G3216" s="223" t="str">
        <f>VLOOKUP($B3216,'FRS geographical categories'!$A$2:$C$45,2,FALSE)</f>
        <v>Predominantly Rural</v>
      </c>
      <c r="H3216" s="223" t="str">
        <f>VLOOKUP($B3216,'FRS geographical categories'!$A$2:$C$45,3,FALSE)</f>
        <v>Non-metropolitan</v>
      </c>
      <c r="I3216" s="224">
        <v>0</v>
      </c>
    </row>
    <row r="3217" spans="1:9" ht="15.5" x14ac:dyDescent="0.35">
      <c r="A3217" s="224" t="s">
        <v>247</v>
      </c>
      <c r="B3217" s="224" t="s">
        <v>17</v>
      </c>
      <c r="C3217" s="224" t="s">
        <v>86</v>
      </c>
      <c r="D3217" s="224" t="s">
        <v>55</v>
      </c>
      <c r="E3217" s="224" t="s">
        <v>256</v>
      </c>
      <c r="F3217" s="224" t="s">
        <v>10</v>
      </c>
      <c r="G3217" s="223" t="str">
        <f>VLOOKUP($B3217,'FRS geographical categories'!$A$2:$C$45,2,FALSE)</f>
        <v>Predominantly Rural</v>
      </c>
      <c r="H3217" s="223" t="str">
        <f>VLOOKUP($B3217,'FRS geographical categories'!$A$2:$C$45,3,FALSE)</f>
        <v>Non-metropolitan</v>
      </c>
      <c r="I3217" s="224">
        <v>0</v>
      </c>
    </row>
    <row r="3218" spans="1:9" ht="15.5" x14ac:dyDescent="0.35">
      <c r="A3218" s="224" t="s">
        <v>247</v>
      </c>
      <c r="B3218" s="224" t="s">
        <v>17</v>
      </c>
      <c r="C3218" s="224" t="s">
        <v>89</v>
      </c>
      <c r="D3218" s="224" t="s">
        <v>9</v>
      </c>
      <c r="E3218" s="224" t="s">
        <v>256</v>
      </c>
      <c r="F3218" s="224" t="s">
        <v>248</v>
      </c>
      <c r="G3218" s="223" t="str">
        <f>VLOOKUP($B3218,'FRS geographical categories'!$A$2:$C$45,2,FALSE)</f>
        <v>Predominantly Rural</v>
      </c>
      <c r="H3218" s="223" t="str">
        <f>VLOOKUP($B3218,'FRS geographical categories'!$A$2:$C$45,3,FALSE)</f>
        <v>Non-metropolitan</v>
      </c>
      <c r="I3218" s="224">
        <v>0</v>
      </c>
    </row>
    <row r="3219" spans="1:9" ht="15.5" x14ac:dyDescent="0.35">
      <c r="A3219" s="224" t="s">
        <v>247</v>
      </c>
      <c r="B3219" s="224" t="s">
        <v>17</v>
      </c>
      <c r="C3219" s="224" t="s">
        <v>89</v>
      </c>
      <c r="D3219" s="224" t="s">
        <v>9</v>
      </c>
      <c r="E3219" s="224" t="s">
        <v>256</v>
      </c>
      <c r="F3219" s="224" t="s">
        <v>249</v>
      </c>
      <c r="G3219" s="223" t="str">
        <f>VLOOKUP($B3219,'FRS geographical categories'!$A$2:$C$45,2,FALSE)</f>
        <v>Predominantly Rural</v>
      </c>
      <c r="H3219" s="223" t="str">
        <f>VLOOKUP($B3219,'FRS geographical categories'!$A$2:$C$45,3,FALSE)</f>
        <v>Non-metropolitan</v>
      </c>
      <c r="I3219" s="224">
        <v>5</v>
      </c>
    </row>
    <row r="3220" spans="1:9" ht="15.5" x14ac:dyDescent="0.35">
      <c r="A3220" s="224" t="s">
        <v>247</v>
      </c>
      <c r="B3220" s="224" t="s">
        <v>17</v>
      </c>
      <c r="C3220" s="224" t="s">
        <v>89</v>
      </c>
      <c r="D3220" s="224" t="s">
        <v>9</v>
      </c>
      <c r="E3220" s="224" t="s">
        <v>256</v>
      </c>
      <c r="F3220" s="224" t="s">
        <v>250</v>
      </c>
      <c r="G3220" s="223" t="str">
        <f>VLOOKUP($B3220,'FRS geographical categories'!$A$2:$C$45,2,FALSE)</f>
        <v>Predominantly Rural</v>
      </c>
      <c r="H3220" s="223" t="str">
        <f>VLOOKUP($B3220,'FRS geographical categories'!$A$2:$C$45,3,FALSE)</f>
        <v>Non-metropolitan</v>
      </c>
      <c r="I3220" s="224">
        <v>2</v>
      </c>
    </row>
    <row r="3221" spans="1:9" ht="15.5" x14ac:dyDescent="0.35">
      <c r="A3221" s="224" t="s">
        <v>247</v>
      </c>
      <c r="B3221" s="224" t="s">
        <v>17</v>
      </c>
      <c r="C3221" s="224" t="s">
        <v>89</v>
      </c>
      <c r="D3221" s="224" t="s">
        <v>9</v>
      </c>
      <c r="E3221" s="224" t="s">
        <v>256</v>
      </c>
      <c r="F3221" s="224" t="s">
        <v>10</v>
      </c>
      <c r="G3221" s="223" t="str">
        <f>VLOOKUP($B3221,'FRS geographical categories'!$A$2:$C$45,2,FALSE)</f>
        <v>Predominantly Rural</v>
      </c>
      <c r="H3221" s="223" t="str">
        <f>VLOOKUP($B3221,'FRS geographical categories'!$A$2:$C$45,3,FALSE)</f>
        <v>Non-metropolitan</v>
      </c>
      <c r="I3221" s="224">
        <v>7</v>
      </c>
    </row>
    <row r="3222" spans="1:9" ht="15.5" x14ac:dyDescent="0.35">
      <c r="A3222" s="224" t="s">
        <v>247</v>
      </c>
      <c r="B3222" s="224" t="s">
        <v>17</v>
      </c>
      <c r="C3222" s="224" t="s">
        <v>89</v>
      </c>
      <c r="D3222" s="224" t="s">
        <v>55</v>
      </c>
      <c r="E3222" s="224" t="s">
        <v>256</v>
      </c>
      <c r="F3222" s="224" t="s">
        <v>248</v>
      </c>
      <c r="G3222" s="223" t="str">
        <f>VLOOKUP($B3222,'FRS geographical categories'!$A$2:$C$45,2,FALSE)</f>
        <v>Predominantly Rural</v>
      </c>
      <c r="H3222" s="223" t="str">
        <f>VLOOKUP($B3222,'FRS geographical categories'!$A$2:$C$45,3,FALSE)</f>
        <v>Non-metropolitan</v>
      </c>
      <c r="I3222" s="224">
        <v>0</v>
      </c>
    </row>
    <row r="3223" spans="1:9" ht="15.5" x14ac:dyDescent="0.35">
      <c r="A3223" s="224" t="s">
        <v>247</v>
      </c>
      <c r="B3223" s="224" t="s">
        <v>17</v>
      </c>
      <c r="C3223" s="224" t="s">
        <v>89</v>
      </c>
      <c r="D3223" s="224" t="s">
        <v>55</v>
      </c>
      <c r="E3223" s="224" t="s">
        <v>256</v>
      </c>
      <c r="F3223" s="224" t="s">
        <v>249</v>
      </c>
      <c r="G3223" s="223" t="str">
        <f>VLOOKUP($B3223,'FRS geographical categories'!$A$2:$C$45,2,FALSE)</f>
        <v>Predominantly Rural</v>
      </c>
      <c r="H3223" s="223" t="str">
        <f>VLOOKUP($B3223,'FRS geographical categories'!$A$2:$C$45,3,FALSE)</f>
        <v>Non-metropolitan</v>
      </c>
      <c r="I3223" s="224">
        <v>0</v>
      </c>
    </row>
    <row r="3224" spans="1:9" ht="15.5" x14ac:dyDescent="0.35">
      <c r="A3224" s="224" t="s">
        <v>247</v>
      </c>
      <c r="B3224" s="224" t="s">
        <v>17</v>
      </c>
      <c r="C3224" s="224" t="s">
        <v>89</v>
      </c>
      <c r="D3224" s="224" t="s">
        <v>55</v>
      </c>
      <c r="E3224" s="224" t="s">
        <v>256</v>
      </c>
      <c r="F3224" s="224" t="s">
        <v>250</v>
      </c>
      <c r="G3224" s="223" t="str">
        <f>VLOOKUP($B3224,'FRS geographical categories'!$A$2:$C$45,2,FALSE)</f>
        <v>Predominantly Rural</v>
      </c>
      <c r="H3224" s="223" t="str">
        <f>VLOOKUP($B3224,'FRS geographical categories'!$A$2:$C$45,3,FALSE)</f>
        <v>Non-metropolitan</v>
      </c>
      <c r="I3224" s="224">
        <v>0</v>
      </c>
    </row>
    <row r="3225" spans="1:9" ht="15.5" x14ac:dyDescent="0.35">
      <c r="A3225" s="224" t="s">
        <v>247</v>
      </c>
      <c r="B3225" s="224" t="s">
        <v>17</v>
      </c>
      <c r="C3225" s="224" t="s">
        <v>89</v>
      </c>
      <c r="D3225" s="224" t="s">
        <v>55</v>
      </c>
      <c r="E3225" s="224" t="s">
        <v>256</v>
      </c>
      <c r="F3225" s="224" t="s">
        <v>10</v>
      </c>
      <c r="G3225" s="223" t="str">
        <f>VLOOKUP($B3225,'FRS geographical categories'!$A$2:$C$45,2,FALSE)</f>
        <v>Predominantly Rural</v>
      </c>
      <c r="H3225" s="223" t="str">
        <f>VLOOKUP($B3225,'FRS geographical categories'!$A$2:$C$45,3,FALSE)</f>
        <v>Non-metropolitan</v>
      </c>
      <c r="I3225" s="224">
        <v>0</v>
      </c>
    </row>
    <row r="3226" spans="1:9" ht="15.5" x14ac:dyDescent="0.35">
      <c r="A3226" s="224" t="s">
        <v>247</v>
      </c>
      <c r="B3226" s="224" t="s">
        <v>18</v>
      </c>
      <c r="C3226" s="224" t="s">
        <v>86</v>
      </c>
      <c r="D3226" s="224" t="s">
        <v>9</v>
      </c>
      <c r="E3226" s="224" t="s">
        <v>256</v>
      </c>
      <c r="F3226" s="224" t="s">
        <v>248</v>
      </c>
      <c r="G3226" s="223" t="str">
        <f>VLOOKUP($B3226,'FRS geographical categories'!$A$2:$C$45,2,FALSE)</f>
        <v>Predominantly Rural</v>
      </c>
      <c r="H3226" s="223" t="str">
        <f>VLOOKUP($B3226,'FRS geographical categories'!$A$2:$C$45,3,FALSE)</f>
        <v>Non-metropolitan</v>
      </c>
      <c r="I3226" s="224">
        <v>1258</v>
      </c>
    </row>
    <row r="3227" spans="1:9" ht="15.5" x14ac:dyDescent="0.35">
      <c r="A3227" s="224" t="s">
        <v>247</v>
      </c>
      <c r="B3227" s="224" t="s">
        <v>18</v>
      </c>
      <c r="C3227" s="224" t="s">
        <v>86</v>
      </c>
      <c r="D3227" s="224" t="s">
        <v>9</v>
      </c>
      <c r="E3227" s="224" t="s">
        <v>256</v>
      </c>
      <c r="F3227" s="224" t="s">
        <v>249</v>
      </c>
      <c r="G3227" s="223" t="str">
        <f>VLOOKUP($B3227,'FRS geographical categories'!$A$2:$C$45,2,FALSE)</f>
        <v>Predominantly Rural</v>
      </c>
      <c r="H3227" s="223" t="str">
        <f>VLOOKUP($B3227,'FRS geographical categories'!$A$2:$C$45,3,FALSE)</f>
        <v>Non-metropolitan</v>
      </c>
      <c r="I3227" s="224">
        <v>3330</v>
      </c>
    </row>
    <row r="3228" spans="1:9" ht="15.5" x14ac:dyDescent="0.35">
      <c r="A3228" s="224" t="s">
        <v>247</v>
      </c>
      <c r="B3228" s="224" t="s">
        <v>18</v>
      </c>
      <c r="C3228" s="224" t="s">
        <v>86</v>
      </c>
      <c r="D3228" s="224" t="s">
        <v>9</v>
      </c>
      <c r="E3228" s="224" t="s">
        <v>256</v>
      </c>
      <c r="F3228" s="224" t="s">
        <v>250</v>
      </c>
      <c r="G3228" s="223" t="str">
        <f>VLOOKUP($B3228,'FRS geographical categories'!$A$2:$C$45,2,FALSE)</f>
        <v>Predominantly Rural</v>
      </c>
      <c r="H3228" s="223" t="str">
        <f>VLOOKUP($B3228,'FRS geographical categories'!$A$2:$C$45,3,FALSE)</f>
        <v>Non-metropolitan</v>
      </c>
      <c r="I3228" s="224">
        <v>1856</v>
      </c>
    </row>
    <row r="3229" spans="1:9" ht="15.5" x14ac:dyDescent="0.35">
      <c r="A3229" s="224" t="s">
        <v>247</v>
      </c>
      <c r="B3229" s="224" t="s">
        <v>18</v>
      </c>
      <c r="C3229" s="224" t="s">
        <v>86</v>
      </c>
      <c r="D3229" s="224" t="s">
        <v>9</v>
      </c>
      <c r="E3229" s="224" t="s">
        <v>256</v>
      </c>
      <c r="F3229" s="224" t="s">
        <v>111</v>
      </c>
      <c r="G3229" s="223" t="str">
        <f>VLOOKUP($B3229,'FRS geographical categories'!$A$2:$C$45,2,FALSE)</f>
        <v>Predominantly Rural</v>
      </c>
      <c r="H3229" s="223" t="str">
        <f>VLOOKUP($B3229,'FRS geographical categories'!$A$2:$C$45,3,FALSE)</f>
        <v>Non-metropolitan</v>
      </c>
      <c r="I3229" s="224">
        <v>6914</v>
      </c>
    </row>
    <row r="3230" spans="1:9" ht="15.5" x14ac:dyDescent="0.35">
      <c r="A3230" s="224" t="s">
        <v>247</v>
      </c>
      <c r="B3230" s="224" t="s">
        <v>18</v>
      </c>
      <c r="C3230" s="224" t="s">
        <v>86</v>
      </c>
      <c r="D3230" s="224" t="s">
        <v>9</v>
      </c>
      <c r="E3230" s="224" t="s">
        <v>256</v>
      </c>
      <c r="F3230" s="224" t="s">
        <v>10</v>
      </c>
      <c r="G3230" s="223" t="str">
        <f>VLOOKUP($B3230,'FRS geographical categories'!$A$2:$C$45,2,FALSE)</f>
        <v>Predominantly Rural</v>
      </c>
      <c r="H3230" s="223" t="str">
        <f>VLOOKUP($B3230,'FRS geographical categories'!$A$2:$C$45,3,FALSE)</f>
        <v>Non-metropolitan</v>
      </c>
      <c r="I3230" s="224">
        <v>8320</v>
      </c>
    </row>
    <row r="3231" spans="1:9" ht="15.5" x14ac:dyDescent="0.35">
      <c r="A3231" s="224" t="s">
        <v>247</v>
      </c>
      <c r="B3231" s="224" t="s">
        <v>18</v>
      </c>
      <c r="C3231" s="224" t="s">
        <v>86</v>
      </c>
      <c r="D3231" s="224" t="s">
        <v>55</v>
      </c>
      <c r="E3231" s="224" t="s">
        <v>256</v>
      </c>
      <c r="F3231" s="224" t="s">
        <v>248</v>
      </c>
      <c r="G3231" s="223" t="str">
        <f>VLOOKUP($B3231,'FRS geographical categories'!$A$2:$C$45,2,FALSE)</f>
        <v>Predominantly Rural</v>
      </c>
      <c r="H3231" s="223" t="str">
        <f>VLOOKUP($B3231,'FRS geographical categories'!$A$2:$C$45,3,FALSE)</f>
        <v>Non-metropolitan</v>
      </c>
      <c r="I3231" s="224">
        <v>0</v>
      </c>
    </row>
    <row r="3232" spans="1:9" ht="15.5" x14ac:dyDescent="0.35">
      <c r="A3232" s="224" t="s">
        <v>247</v>
      </c>
      <c r="B3232" s="224" t="s">
        <v>18</v>
      </c>
      <c r="C3232" s="224" t="s">
        <v>86</v>
      </c>
      <c r="D3232" s="224" t="s">
        <v>55</v>
      </c>
      <c r="E3232" s="224" t="s">
        <v>256</v>
      </c>
      <c r="F3232" s="224" t="s">
        <v>249</v>
      </c>
      <c r="G3232" s="223" t="str">
        <f>VLOOKUP($B3232,'FRS geographical categories'!$A$2:$C$45,2,FALSE)</f>
        <v>Predominantly Rural</v>
      </c>
      <c r="H3232" s="223" t="str">
        <f>VLOOKUP($B3232,'FRS geographical categories'!$A$2:$C$45,3,FALSE)</f>
        <v>Non-metropolitan</v>
      </c>
      <c r="I3232" s="224">
        <v>0</v>
      </c>
    </row>
    <row r="3233" spans="1:9" ht="15.5" x14ac:dyDescent="0.35">
      <c r="A3233" s="224" t="s">
        <v>247</v>
      </c>
      <c r="B3233" s="224" t="s">
        <v>18</v>
      </c>
      <c r="C3233" s="224" t="s">
        <v>86</v>
      </c>
      <c r="D3233" s="224" t="s">
        <v>55</v>
      </c>
      <c r="E3233" s="224" t="s">
        <v>256</v>
      </c>
      <c r="F3233" s="224" t="s">
        <v>250</v>
      </c>
      <c r="G3233" s="223" t="str">
        <f>VLOOKUP($B3233,'FRS geographical categories'!$A$2:$C$45,2,FALSE)</f>
        <v>Predominantly Rural</v>
      </c>
      <c r="H3233" s="223" t="str">
        <f>VLOOKUP($B3233,'FRS geographical categories'!$A$2:$C$45,3,FALSE)</f>
        <v>Non-metropolitan</v>
      </c>
      <c r="I3233" s="224">
        <v>0</v>
      </c>
    </row>
    <row r="3234" spans="1:9" ht="15.5" x14ac:dyDescent="0.35">
      <c r="A3234" s="224" t="s">
        <v>247</v>
      </c>
      <c r="B3234" s="224" t="s">
        <v>18</v>
      </c>
      <c r="C3234" s="224" t="s">
        <v>86</v>
      </c>
      <c r="D3234" s="224" t="s">
        <v>55</v>
      </c>
      <c r="E3234" s="224" t="s">
        <v>256</v>
      </c>
      <c r="F3234" s="224" t="s">
        <v>111</v>
      </c>
      <c r="G3234" s="223" t="str">
        <f>VLOOKUP($B3234,'FRS geographical categories'!$A$2:$C$45,2,FALSE)</f>
        <v>Predominantly Rural</v>
      </c>
      <c r="H3234" s="223" t="str">
        <f>VLOOKUP($B3234,'FRS geographical categories'!$A$2:$C$45,3,FALSE)</f>
        <v>Non-metropolitan</v>
      </c>
      <c r="I3234" s="224">
        <v>0</v>
      </c>
    </row>
    <row r="3235" spans="1:9" ht="15.5" x14ac:dyDescent="0.35">
      <c r="A3235" s="224" t="s">
        <v>247</v>
      </c>
      <c r="B3235" s="224" t="s">
        <v>18</v>
      </c>
      <c r="C3235" s="224" t="s">
        <v>86</v>
      </c>
      <c r="D3235" s="224" t="s">
        <v>55</v>
      </c>
      <c r="E3235" s="224" t="s">
        <v>256</v>
      </c>
      <c r="F3235" s="224" t="s">
        <v>10</v>
      </c>
      <c r="G3235" s="223" t="str">
        <f>VLOOKUP($B3235,'FRS geographical categories'!$A$2:$C$45,2,FALSE)</f>
        <v>Predominantly Rural</v>
      </c>
      <c r="H3235" s="223" t="str">
        <f>VLOOKUP($B3235,'FRS geographical categories'!$A$2:$C$45,3,FALSE)</f>
        <v>Non-metropolitan</v>
      </c>
      <c r="I3235" s="224">
        <v>0</v>
      </c>
    </row>
    <row r="3236" spans="1:9" ht="15.5" x14ac:dyDescent="0.35">
      <c r="A3236" s="224" t="s">
        <v>247</v>
      </c>
      <c r="B3236" s="224" t="s">
        <v>18</v>
      </c>
      <c r="C3236" s="224" t="s">
        <v>89</v>
      </c>
      <c r="D3236" s="224" t="s">
        <v>9</v>
      </c>
      <c r="E3236" s="224" t="s">
        <v>256</v>
      </c>
      <c r="F3236" s="224" t="s">
        <v>248</v>
      </c>
      <c r="G3236" s="223" t="str">
        <f>VLOOKUP($B3236,'FRS geographical categories'!$A$2:$C$45,2,FALSE)</f>
        <v>Predominantly Rural</v>
      </c>
      <c r="H3236" s="223" t="str">
        <f>VLOOKUP($B3236,'FRS geographical categories'!$A$2:$C$45,3,FALSE)</f>
        <v>Non-metropolitan</v>
      </c>
      <c r="I3236" s="224">
        <v>0</v>
      </c>
    </row>
    <row r="3237" spans="1:9" ht="15.5" x14ac:dyDescent="0.35">
      <c r="A3237" s="224" t="s">
        <v>247</v>
      </c>
      <c r="B3237" s="224" t="s">
        <v>18</v>
      </c>
      <c r="C3237" s="224" t="s">
        <v>89</v>
      </c>
      <c r="D3237" s="224" t="s">
        <v>9</v>
      </c>
      <c r="E3237" s="224" t="s">
        <v>256</v>
      </c>
      <c r="F3237" s="224" t="s">
        <v>249</v>
      </c>
      <c r="G3237" s="223" t="str">
        <f>VLOOKUP($B3237,'FRS geographical categories'!$A$2:$C$45,2,FALSE)</f>
        <v>Predominantly Rural</v>
      </c>
      <c r="H3237" s="223" t="str">
        <f>VLOOKUP($B3237,'FRS geographical categories'!$A$2:$C$45,3,FALSE)</f>
        <v>Non-metropolitan</v>
      </c>
      <c r="I3237" s="224">
        <v>0</v>
      </c>
    </row>
    <row r="3238" spans="1:9" ht="15.5" x14ac:dyDescent="0.35">
      <c r="A3238" s="224" t="s">
        <v>247</v>
      </c>
      <c r="B3238" s="224" t="s">
        <v>18</v>
      </c>
      <c r="C3238" s="224" t="s">
        <v>89</v>
      </c>
      <c r="D3238" s="224" t="s">
        <v>9</v>
      </c>
      <c r="E3238" s="224" t="s">
        <v>256</v>
      </c>
      <c r="F3238" s="224" t="s">
        <v>250</v>
      </c>
      <c r="G3238" s="223" t="str">
        <f>VLOOKUP($B3238,'FRS geographical categories'!$A$2:$C$45,2,FALSE)</f>
        <v>Predominantly Rural</v>
      </c>
      <c r="H3238" s="223" t="str">
        <f>VLOOKUP($B3238,'FRS geographical categories'!$A$2:$C$45,3,FALSE)</f>
        <v>Non-metropolitan</v>
      </c>
      <c r="I3238" s="224">
        <v>0</v>
      </c>
    </row>
    <row r="3239" spans="1:9" ht="15.5" x14ac:dyDescent="0.35">
      <c r="A3239" s="224" t="s">
        <v>247</v>
      </c>
      <c r="B3239" s="224" t="s">
        <v>18</v>
      </c>
      <c r="C3239" s="224" t="s">
        <v>89</v>
      </c>
      <c r="D3239" s="224" t="s">
        <v>9</v>
      </c>
      <c r="E3239" s="224" t="s">
        <v>256</v>
      </c>
      <c r="F3239" s="224" t="s">
        <v>10</v>
      </c>
      <c r="G3239" s="223" t="str">
        <f>VLOOKUP($B3239,'FRS geographical categories'!$A$2:$C$45,2,FALSE)</f>
        <v>Predominantly Rural</v>
      </c>
      <c r="H3239" s="223" t="str">
        <f>VLOOKUP($B3239,'FRS geographical categories'!$A$2:$C$45,3,FALSE)</f>
        <v>Non-metropolitan</v>
      </c>
      <c r="I3239" s="224">
        <v>0</v>
      </c>
    </row>
    <row r="3240" spans="1:9" ht="15.5" x14ac:dyDescent="0.35">
      <c r="A3240" s="224" t="s">
        <v>247</v>
      </c>
      <c r="B3240" s="224" t="s">
        <v>18</v>
      </c>
      <c r="C3240" s="224" t="s">
        <v>89</v>
      </c>
      <c r="D3240" s="224" t="s">
        <v>55</v>
      </c>
      <c r="E3240" s="224" t="s">
        <v>256</v>
      </c>
      <c r="F3240" s="224" t="s">
        <v>248</v>
      </c>
      <c r="G3240" s="223" t="str">
        <f>VLOOKUP($B3240,'FRS geographical categories'!$A$2:$C$45,2,FALSE)</f>
        <v>Predominantly Rural</v>
      </c>
      <c r="H3240" s="223" t="str">
        <f>VLOOKUP($B3240,'FRS geographical categories'!$A$2:$C$45,3,FALSE)</f>
        <v>Non-metropolitan</v>
      </c>
      <c r="I3240" s="224">
        <v>0</v>
      </c>
    </row>
    <row r="3241" spans="1:9" ht="15.5" x14ac:dyDescent="0.35">
      <c r="A3241" s="224" t="s">
        <v>247</v>
      </c>
      <c r="B3241" s="224" t="s">
        <v>18</v>
      </c>
      <c r="C3241" s="224" t="s">
        <v>89</v>
      </c>
      <c r="D3241" s="224" t="s">
        <v>55</v>
      </c>
      <c r="E3241" s="224" t="s">
        <v>256</v>
      </c>
      <c r="F3241" s="224" t="s">
        <v>249</v>
      </c>
      <c r="G3241" s="223" t="str">
        <f>VLOOKUP($B3241,'FRS geographical categories'!$A$2:$C$45,2,FALSE)</f>
        <v>Predominantly Rural</v>
      </c>
      <c r="H3241" s="223" t="str">
        <f>VLOOKUP($B3241,'FRS geographical categories'!$A$2:$C$45,3,FALSE)</f>
        <v>Non-metropolitan</v>
      </c>
      <c r="I3241" s="224">
        <v>0</v>
      </c>
    </row>
    <row r="3242" spans="1:9" ht="15.5" x14ac:dyDescent="0.35">
      <c r="A3242" s="224" t="s">
        <v>247</v>
      </c>
      <c r="B3242" s="224" t="s">
        <v>18</v>
      </c>
      <c r="C3242" s="224" t="s">
        <v>89</v>
      </c>
      <c r="D3242" s="224" t="s">
        <v>55</v>
      </c>
      <c r="E3242" s="224" t="s">
        <v>256</v>
      </c>
      <c r="F3242" s="224" t="s">
        <v>250</v>
      </c>
      <c r="G3242" s="223" t="str">
        <f>VLOOKUP($B3242,'FRS geographical categories'!$A$2:$C$45,2,FALSE)</f>
        <v>Predominantly Rural</v>
      </c>
      <c r="H3242" s="223" t="str">
        <f>VLOOKUP($B3242,'FRS geographical categories'!$A$2:$C$45,3,FALSE)</f>
        <v>Non-metropolitan</v>
      </c>
      <c r="I3242" s="224">
        <v>0</v>
      </c>
    </row>
    <row r="3243" spans="1:9" ht="15.5" x14ac:dyDescent="0.35">
      <c r="A3243" s="224" t="s">
        <v>247</v>
      </c>
      <c r="B3243" s="224" t="s">
        <v>18</v>
      </c>
      <c r="C3243" s="224" t="s">
        <v>89</v>
      </c>
      <c r="D3243" s="224" t="s">
        <v>55</v>
      </c>
      <c r="E3243" s="224" t="s">
        <v>256</v>
      </c>
      <c r="F3243" s="224" t="s">
        <v>10</v>
      </c>
      <c r="G3243" s="223" t="str">
        <f>VLOOKUP($B3243,'FRS geographical categories'!$A$2:$C$45,2,FALSE)</f>
        <v>Predominantly Rural</v>
      </c>
      <c r="H3243" s="223" t="str">
        <f>VLOOKUP($B3243,'FRS geographical categories'!$A$2:$C$45,3,FALSE)</f>
        <v>Non-metropolitan</v>
      </c>
      <c r="I3243" s="224">
        <v>0</v>
      </c>
    </row>
    <row r="3244" spans="1:9" ht="15.5" x14ac:dyDescent="0.35">
      <c r="A3244" s="224" t="s">
        <v>247</v>
      </c>
      <c r="B3244" s="224" t="s">
        <v>19</v>
      </c>
      <c r="C3244" s="224" t="s">
        <v>86</v>
      </c>
      <c r="D3244" s="224" t="s">
        <v>9</v>
      </c>
      <c r="E3244" s="224" t="s">
        <v>256</v>
      </c>
      <c r="F3244" s="224" t="s">
        <v>248</v>
      </c>
      <c r="G3244" s="223" t="str">
        <f>VLOOKUP($B3244,'FRS geographical categories'!$A$2:$C$45,2,FALSE)</f>
        <v>Significantly Rural</v>
      </c>
      <c r="H3244" s="223" t="str">
        <f>VLOOKUP($B3244,'FRS geographical categories'!$A$2:$C$45,3,FALSE)</f>
        <v>Non-metropolitan</v>
      </c>
      <c r="I3244" s="224">
        <v>1298</v>
      </c>
    </row>
    <row r="3245" spans="1:9" ht="15.5" x14ac:dyDescent="0.35">
      <c r="A3245" s="224" t="s">
        <v>247</v>
      </c>
      <c r="B3245" s="224" t="s">
        <v>19</v>
      </c>
      <c r="C3245" s="224" t="s">
        <v>86</v>
      </c>
      <c r="D3245" s="224" t="s">
        <v>9</v>
      </c>
      <c r="E3245" s="224" t="s">
        <v>256</v>
      </c>
      <c r="F3245" s="224" t="s">
        <v>249</v>
      </c>
      <c r="G3245" s="223" t="str">
        <f>VLOOKUP($B3245,'FRS geographical categories'!$A$2:$C$45,2,FALSE)</f>
        <v>Significantly Rural</v>
      </c>
      <c r="H3245" s="223" t="str">
        <f>VLOOKUP($B3245,'FRS geographical categories'!$A$2:$C$45,3,FALSE)</f>
        <v>Non-metropolitan</v>
      </c>
      <c r="I3245" s="224">
        <v>3809</v>
      </c>
    </row>
    <row r="3246" spans="1:9" ht="15.5" x14ac:dyDescent="0.35">
      <c r="A3246" s="224" t="s">
        <v>247</v>
      </c>
      <c r="B3246" s="224" t="s">
        <v>19</v>
      </c>
      <c r="C3246" s="224" t="s">
        <v>86</v>
      </c>
      <c r="D3246" s="224" t="s">
        <v>9</v>
      </c>
      <c r="E3246" s="224" t="s">
        <v>256</v>
      </c>
      <c r="F3246" s="224" t="s">
        <v>250</v>
      </c>
      <c r="G3246" s="223" t="str">
        <f>VLOOKUP($B3246,'FRS geographical categories'!$A$2:$C$45,2,FALSE)</f>
        <v>Significantly Rural</v>
      </c>
      <c r="H3246" s="223" t="str">
        <f>VLOOKUP($B3246,'FRS geographical categories'!$A$2:$C$45,3,FALSE)</f>
        <v>Non-metropolitan</v>
      </c>
      <c r="I3246" s="224">
        <v>6295</v>
      </c>
    </row>
    <row r="3247" spans="1:9" ht="15.5" x14ac:dyDescent="0.35">
      <c r="A3247" s="224" t="s">
        <v>247</v>
      </c>
      <c r="B3247" s="224" t="s">
        <v>19</v>
      </c>
      <c r="C3247" s="224" t="s">
        <v>86</v>
      </c>
      <c r="D3247" s="224" t="s">
        <v>9</v>
      </c>
      <c r="E3247" s="224" t="s">
        <v>256</v>
      </c>
      <c r="F3247" s="224" t="s">
        <v>111</v>
      </c>
      <c r="G3247" s="223" t="str">
        <f>VLOOKUP($B3247,'FRS geographical categories'!$A$2:$C$45,2,FALSE)</f>
        <v>Significantly Rural</v>
      </c>
      <c r="H3247" s="223" t="str">
        <f>VLOOKUP($B3247,'FRS geographical categories'!$A$2:$C$45,3,FALSE)</f>
        <v>Non-metropolitan</v>
      </c>
      <c r="I3247" s="224">
        <v>15044</v>
      </c>
    </row>
    <row r="3248" spans="1:9" ht="15.5" x14ac:dyDescent="0.35">
      <c r="A3248" s="224" t="s">
        <v>247</v>
      </c>
      <c r="B3248" s="224" t="s">
        <v>19</v>
      </c>
      <c r="C3248" s="224" t="s">
        <v>86</v>
      </c>
      <c r="D3248" s="224" t="s">
        <v>9</v>
      </c>
      <c r="E3248" s="224" t="s">
        <v>256</v>
      </c>
      <c r="F3248" s="224" t="s">
        <v>10</v>
      </c>
      <c r="G3248" s="223" t="str">
        <f>VLOOKUP($B3248,'FRS geographical categories'!$A$2:$C$45,2,FALSE)</f>
        <v>Significantly Rural</v>
      </c>
      <c r="H3248" s="223" t="str">
        <f>VLOOKUP($B3248,'FRS geographical categories'!$A$2:$C$45,3,FALSE)</f>
        <v>Non-metropolitan</v>
      </c>
      <c r="I3248" s="224">
        <v>15403</v>
      </c>
    </row>
    <row r="3249" spans="1:9" ht="15.5" x14ac:dyDescent="0.35">
      <c r="A3249" s="224" t="s">
        <v>247</v>
      </c>
      <c r="B3249" s="224" t="s">
        <v>19</v>
      </c>
      <c r="C3249" s="224" t="s">
        <v>86</v>
      </c>
      <c r="D3249" s="224" t="s">
        <v>55</v>
      </c>
      <c r="E3249" s="224" t="s">
        <v>256</v>
      </c>
      <c r="F3249" s="224" t="s">
        <v>248</v>
      </c>
      <c r="G3249" s="223" t="str">
        <f>VLOOKUP($B3249,'FRS geographical categories'!$A$2:$C$45,2,FALSE)</f>
        <v>Significantly Rural</v>
      </c>
      <c r="H3249" s="223" t="str">
        <f>VLOOKUP($B3249,'FRS geographical categories'!$A$2:$C$45,3,FALSE)</f>
        <v>Non-metropolitan</v>
      </c>
      <c r="I3249" s="224">
        <v>0</v>
      </c>
    </row>
    <row r="3250" spans="1:9" ht="15.5" x14ac:dyDescent="0.35">
      <c r="A3250" s="224" t="s">
        <v>247</v>
      </c>
      <c r="B3250" s="224" t="s">
        <v>19</v>
      </c>
      <c r="C3250" s="224" t="s">
        <v>86</v>
      </c>
      <c r="D3250" s="224" t="s">
        <v>55</v>
      </c>
      <c r="E3250" s="224" t="s">
        <v>256</v>
      </c>
      <c r="F3250" s="224" t="s">
        <v>249</v>
      </c>
      <c r="G3250" s="223" t="str">
        <f>VLOOKUP($B3250,'FRS geographical categories'!$A$2:$C$45,2,FALSE)</f>
        <v>Significantly Rural</v>
      </c>
      <c r="H3250" s="223" t="str">
        <f>VLOOKUP($B3250,'FRS geographical categories'!$A$2:$C$45,3,FALSE)</f>
        <v>Non-metropolitan</v>
      </c>
      <c r="I3250" s="224">
        <v>0</v>
      </c>
    </row>
    <row r="3251" spans="1:9" ht="15.5" x14ac:dyDescent="0.35">
      <c r="A3251" s="224" t="s">
        <v>247</v>
      </c>
      <c r="B3251" s="224" t="s">
        <v>19</v>
      </c>
      <c r="C3251" s="224" t="s">
        <v>86</v>
      </c>
      <c r="D3251" s="224" t="s">
        <v>55</v>
      </c>
      <c r="E3251" s="224" t="s">
        <v>256</v>
      </c>
      <c r="F3251" s="224" t="s">
        <v>250</v>
      </c>
      <c r="G3251" s="223" t="str">
        <f>VLOOKUP($B3251,'FRS geographical categories'!$A$2:$C$45,2,FALSE)</f>
        <v>Significantly Rural</v>
      </c>
      <c r="H3251" s="223" t="str">
        <f>VLOOKUP($B3251,'FRS geographical categories'!$A$2:$C$45,3,FALSE)</f>
        <v>Non-metropolitan</v>
      </c>
      <c r="I3251" s="224">
        <v>0</v>
      </c>
    </row>
    <row r="3252" spans="1:9" ht="15.5" x14ac:dyDescent="0.35">
      <c r="A3252" s="224" t="s">
        <v>247</v>
      </c>
      <c r="B3252" s="224" t="s">
        <v>19</v>
      </c>
      <c r="C3252" s="224" t="s">
        <v>86</v>
      </c>
      <c r="D3252" s="224" t="s">
        <v>55</v>
      </c>
      <c r="E3252" s="224" t="s">
        <v>256</v>
      </c>
      <c r="F3252" s="224" t="s">
        <v>111</v>
      </c>
      <c r="G3252" s="223" t="str">
        <f>VLOOKUP($B3252,'FRS geographical categories'!$A$2:$C$45,2,FALSE)</f>
        <v>Significantly Rural</v>
      </c>
      <c r="H3252" s="223" t="str">
        <f>VLOOKUP($B3252,'FRS geographical categories'!$A$2:$C$45,3,FALSE)</f>
        <v>Non-metropolitan</v>
      </c>
      <c r="I3252" s="224">
        <v>0</v>
      </c>
    </row>
    <row r="3253" spans="1:9" ht="15.5" x14ac:dyDescent="0.35">
      <c r="A3253" s="224" t="s">
        <v>247</v>
      </c>
      <c r="B3253" s="224" t="s">
        <v>19</v>
      </c>
      <c r="C3253" s="224" t="s">
        <v>86</v>
      </c>
      <c r="D3253" s="224" t="s">
        <v>55</v>
      </c>
      <c r="E3253" s="224" t="s">
        <v>256</v>
      </c>
      <c r="F3253" s="224" t="s">
        <v>10</v>
      </c>
      <c r="G3253" s="223" t="str">
        <f>VLOOKUP($B3253,'FRS geographical categories'!$A$2:$C$45,2,FALSE)</f>
        <v>Significantly Rural</v>
      </c>
      <c r="H3253" s="223" t="str">
        <f>VLOOKUP($B3253,'FRS geographical categories'!$A$2:$C$45,3,FALSE)</f>
        <v>Non-metropolitan</v>
      </c>
      <c r="I3253" s="224">
        <v>3</v>
      </c>
    </row>
    <row r="3254" spans="1:9" ht="15.5" x14ac:dyDescent="0.35">
      <c r="A3254" s="224" t="s">
        <v>247</v>
      </c>
      <c r="B3254" s="224" t="s">
        <v>19</v>
      </c>
      <c r="C3254" s="224" t="s">
        <v>89</v>
      </c>
      <c r="D3254" s="224" t="s">
        <v>9</v>
      </c>
      <c r="E3254" s="224" t="s">
        <v>256</v>
      </c>
      <c r="F3254" s="224" t="s">
        <v>248</v>
      </c>
      <c r="G3254" s="223" t="str">
        <f>VLOOKUP($B3254,'FRS geographical categories'!$A$2:$C$45,2,FALSE)</f>
        <v>Significantly Rural</v>
      </c>
      <c r="H3254" s="223" t="str">
        <f>VLOOKUP($B3254,'FRS geographical categories'!$A$2:$C$45,3,FALSE)</f>
        <v>Non-metropolitan</v>
      </c>
      <c r="I3254" s="224">
        <v>212</v>
      </c>
    </row>
    <row r="3255" spans="1:9" ht="15.5" x14ac:dyDescent="0.35">
      <c r="A3255" s="224" t="s">
        <v>247</v>
      </c>
      <c r="B3255" s="224" t="s">
        <v>19</v>
      </c>
      <c r="C3255" s="224" t="s">
        <v>89</v>
      </c>
      <c r="D3255" s="224" t="s">
        <v>9</v>
      </c>
      <c r="E3255" s="224" t="s">
        <v>256</v>
      </c>
      <c r="F3255" s="224" t="s">
        <v>249</v>
      </c>
      <c r="G3255" s="223" t="str">
        <f>VLOOKUP($B3255,'FRS geographical categories'!$A$2:$C$45,2,FALSE)</f>
        <v>Significantly Rural</v>
      </c>
      <c r="H3255" s="223" t="str">
        <f>VLOOKUP($B3255,'FRS geographical categories'!$A$2:$C$45,3,FALSE)</f>
        <v>Non-metropolitan</v>
      </c>
      <c r="I3255" s="224">
        <v>96</v>
      </c>
    </row>
    <row r="3256" spans="1:9" ht="15.5" x14ac:dyDescent="0.35">
      <c r="A3256" s="224" t="s">
        <v>247</v>
      </c>
      <c r="B3256" s="224" t="s">
        <v>19</v>
      </c>
      <c r="C3256" s="224" t="s">
        <v>89</v>
      </c>
      <c r="D3256" s="224" t="s">
        <v>9</v>
      </c>
      <c r="E3256" s="224" t="s">
        <v>256</v>
      </c>
      <c r="F3256" s="224" t="s">
        <v>250</v>
      </c>
      <c r="G3256" s="223" t="str">
        <f>VLOOKUP($B3256,'FRS geographical categories'!$A$2:$C$45,2,FALSE)</f>
        <v>Significantly Rural</v>
      </c>
      <c r="H3256" s="223" t="str">
        <f>VLOOKUP($B3256,'FRS geographical categories'!$A$2:$C$45,3,FALSE)</f>
        <v>Non-metropolitan</v>
      </c>
      <c r="I3256" s="224">
        <v>73</v>
      </c>
    </row>
    <row r="3257" spans="1:9" ht="15.5" x14ac:dyDescent="0.35">
      <c r="A3257" s="224" t="s">
        <v>247</v>
      </c>
      <c r="B3257" s="224" t="s">
        <v>19</v>
      </c>
      <c r="C3257" s="224" t="s">
        <v>89</v>
      </c>
      <c r="D3257" s="224" t="s">
        <v>9</v>
      </c>
      <c r="E3257" s="224" t="s">
        <v>256</v>
      </c>
      <c r="F3257" s="224" t="s">
        <v>10</v>
      </c>
      <c r="G3257" s="223" t="str">
        <f>VLOOKUP($B3257,'FRS geographical categories'!$A$2:$C$45,2,FALSE)</f>
        <v>Significantly Rural</v>
      </c>
      <c r="H3257" s="223" t="str">
        <f>VLOOKUP($B3257,'FRS geographical categories'!$A$2:$C$45,3,FALSE)</f>
        <v>Non-metropolitan</v>
      </c>
      <c r="I3257" s="224">
        <v>937</v>
      </c>
    </row>
    <row r="3258" spans="1:9" ht="15.5" x14ac:dyDescent="0.35">
      <c r="A3258" s="224" t="s">
        <v>247</v>
      </c>
      <c r="B3258" s="224" t="s">
        <v>19</v>
      </c>
      <c r="C3258" s="224" t="s">
        <v>89</v>
      </c>
      <c r="D3258" s="224" t="s">
        <v>55</v>
      </c>
      <c r="E3258" s="224" t="s">
        <v>256</v>
      </c>
      <c r="F3258" s="224" t="s">
        <v>248</v>
      </c>
      <c r="G3258" s="223" t="str">
        <f>VLOOKUP($B3258,'FRS geographical categories'!$A$2:$C$45,2,FALSE)</f>
        <v>Significantly Rural</v>
      </c>
      <c r="H3258" s="223" t="str">
        <f>VLOOKUP($B3258,'FRS geographical categories'!$A$2:$C$45,3,FALSE)</f>
        <v>Non-metropolitan</v>
      </c>
      <c r="I3258" s="224">
        <v>0</v>
      </c>
    </row>
    <row r="3259" spans="1:9" ht="15.5" x14ac:dyDescent="0.35">
      <c r="A3259" s="224" t="s">
        <v>247</v>
      </c>
      <c r="B3259" s="224" t="s">
        <v>19</v>
      </c>
      <c r="C3259" s="224" t="s">
        <v>89</v>
      </c>
      <c r="D3259" s="224" t="s">
        <v>55</v>
      </c>
      <c r="E3259" s="224" t="s">
        <v>256</v>
      </c>
      <c r="F3259" s="224" t="s">
        <v>249</v>
      </c>
      <c r="G3259" s="223" t="str">
        <f>VLOOKUP($B3259,'FRS geographical categories'!$A$2:$C$45,2,FALSE)</f>
        <v>Significantly Rural</v>
      </c>
      <c r="H3259" s="223" t="str">
        <f>VLOOKUP($B3259,'FRS geographical categories'!$A$2:$C$45,3,FALSE)</f>
        <v>Non-metropolitan</v>
      </c>
      <c r="I3259" s="224">
        <v>0</v>
      </c>
    </row>
    <row r="3260" spans="1:9" ht="15.5" x14ac:dyDescent="0.35">
      <c r="A3260" s="224" t="s">
        <v>247</v>
      </c>
      <c r="B3260" s="224" t="s">
        <v>19</v>
      </c>
      <c r="C3260" s="224" t="s">
        <v>89</v>
      </c>
      <c r="D3260" s="224" t="s">
        <v>55</v>
      </c>
      <c r="E3260" s="224" t="s">
        <v>256</v>
      </c>
      <c r="F3260" s="224" t="s">
        <v>250</v>
      </c>
      <c r="G3260" s="223" t="str">
        <f>VLOOKUP($B3260,'FRS geographical categories'!$A$2:$C$45,2,FALSE)</f>
        <v>Significantly Rural</v>
      </c>
      <c r="H3260" s="223" t="str">
        <f>VLOOKUP($B3260,'FRS geographical categories'!$A$2:$C$45,3,FALSE)</f>
        <v>Non-metropolitan</v>
      </c>
      <c r="I3260" s="224">
        <v>0</v>
      </c>
    </row>
    <row r="3261" spans="1:9" ht="15.5" x14ac:dyDescent="0.35">
      <c r="A3261" s="224" t="s">
        <v>247</v>
      </c>
      <c r="B3261" s="224" t="s">
        <v>19</v>
      </c>
      <c r="C3261" s="224" t="s">
        <v>89</v>
      </c>
      <c r="D3261" s="224" t="s">
        <v>55</v>
      </c>
      <c r="E3261" s="224" t="s">
        <v>256</v>
      </c>
      <c r="F3261" s="224" t="s">
        <v>10</v>
      </c>
      <c r="G3261" s="223" t="str">
        <f>VLOOKUP($B3261,'FRS geographical categories'!$A$2:$C$45,2,FALSE)</f>
        <v>Significantly Rural</v>
      </c>
      <c r="H3261" s="223" t="str">
        <f>VLOOKUP($B3261,'FRS geographical categories'!$A$2:$C$45,3,FALSE)</f>
        <v>Non-metropolitan</v>
      </c>
      <c r="I3261" s="224">
        <v>0</v>
      </c>
    </row>
    <row r="3262" spans="1:9" ht="15.5" x14ac:dyDescent="0.35">
      <c r="A3262" s="224" t="s">
        <v>247</v>
      </c>
      <c r="B3262" s="224" t="s">
        <v>20</v>
      </c>
      <c r="C3262" s="224" t="s">
        <v>86</v>
      </c>
      <c r="D3262" s="224" t="s">
        <v>9</v>
      </c>
      <c r="E3262" s="224" t="s">
        <v>256</v>
      </c>
      <c r="F3262" s="224" t="s">
        <v>248</v>
      </c>
      <c r="G3262" s="223" t="str">
        <f>VLOOKUP($B3262,'FRS geographical categories'!$A$2:$C$45,2,FALSE)</f>
        <v>Predominantly Rural</v>
      </c>
      <c r="H3262" s="223" t="str">
        <f>VLOOKUP($B3262,'FRS geographical categories'!$A$2:$C$45,3,FALSE)</f>
        <v>Non-metropolitan</v>
      </c>
      <c r="I3262" s="224">
        <v>1572</v>
      </c>
    </row>
    <row r="3263" spans="1:9" ht="15.5" x14ac:dyDescent="0.35">
      <c r="A3263" s="224" t="s">
        <v>247</v>
      </c>
      <c r="B3263" s="224" t="s">
        <v>20</v>
      </c>
      <c r="C3263" s="224" t="s">
        <v>86</v>
      </c>
      <c r="D3263" s="224" t="s">
        <v>9</v>
      </c>
      <c r="E3263" s="224" t="s">
        <v>256</v>
      </c>
      <c r="F3263" s="224" t="s">
        <v>249</v>
      </c>
      <c r="G3263" s="223" t="str">
        <f>VLOOKUP($B3263,'FRS geographical categories'!$A$2:$C$45,2,FALSE)</f>
        <v>Predominantly Rural</v>
      </c>
      <c r="H3263" s="223" t="str">
        <f>VLOOKUP($B3263,'FRS geographical categories'!$A$2:$C$45,3,FALSE)</f>
        <v>Non-metropolitan</v>
      </c>
      <c r="I3263" s="224">
        <v>6904</v>
      </c>
    </row>
    <row r="3264" spans="1:9" ht="15.5" x14ac:dyDescent="0.35">
      <c r="A3264" s="224" t="s">
        <v>247</v>
      </c>
      <c r="B3264" s="224" t="s">
        <v>20</v>
      </c>
      <c r="C3264" s="224" t="s">
        <v>86</v>
      </c>
      <c r="D3264" s="224" t="s">
        <v>9</v>
      </c>
      <c r="E3264" s="224" t="s">
        <v>256</v>
      </c>
      <c r="F3264" s="224" t="s">
        <v>250</v>
      </c>
      <c r="G3264" s="223" t="str">
        <f>VLOOKUP($B3264,'FRS geographical categories'!$A$2:$C$45,2,FALSE)</f>
        <v>Predominantly Rural</v>
      </c>
      <c r="H3264" s="223" t="str">
        <f>VLOOKUP($B3264,'FRS geographical categories'!$A$2:$C$45,3,FALSE)</f>
        <v>Non-metropolitan</v>
      </c>
      <c r="I3264" s="224">
        <v>4332</v>
      </c>
    </row>
    <row r="3265" spans="1:9" ht="15.5" x14ac:dyDescent="0.35">
      <c r="A3265" s="224" t="s">
        <v>247</v>
      </c>
      <c r="B3265" s="224" t="s">
        <v>20</v>
      </c>
      <c r="C3265" s="224" t="s">
        <v>86</v>
      </c>
      <c r="D3265" s="224" t="s">
        <v>9</v>
      </c>
      <c r="E3265" s="224" t="s">
        <v>256</v>
      </c>
      <c r="F3265" s="224" t="s">
        <v>111</v>
      </c>
      <c r="G3265" s="223" t="str">
        <f>VLOOKUP($B3265,'FRS geographical categories'!$A$2:$C$45,2,FALSE)</f>
        <v>Predominantly Rural</v>
      </c>
      <c r="H3265" s="223" t="str">
        <f>VLOOKUP($B3265,'FRS geographical categories'!$A$2:$C$45,3,FALSE)</f>
        <v>Non-metropolitan</v>
      </c>
      <c r="I3265" s="224">
        <v>15247</v>
      </c>
    </row>
    <row r="3266" spans="1:9" ht="15.5" x14ac:dyDescent="0.35">
      <c r="A3266" s="224" t="s">
        <v>247</v>
      </c>
      <c r="B3266" s="224" t="s">
        <v>20</v>
      </c>
      <c r="C3266" s="224" t="s">
        <v>86</v>
      </c>
      <c r="D3266" s="224" t="s">
        <v>9</v>
      </c>
      <c r="E3266" s="224" t="s">
        <v>256</v>
      </c>
      <c r="F3266" s="224" t="s">
        <v>10</v>
      </c>
      <c r="G3266" s="223" t="str">
        <f>VLOOKUP($B3266,'FRS geographical categories'!$A$2:$C$45,2,FALSE)</f>
        <v>Predominantly Rural</v>
      </c>
      <c r="H3266" s="223" t="str">
        <f>VLOOKUP($B3266,'FRS geographical categories'!$A$2:$C$45,3,FALSE)</f>
        <v>Non-metropolitan</v>
      </c>
      <c r="I3266" s="224">
        <v>18839</v>
      </c>
    </row>
    <row r="3267" spans="1:9" ht="15.5" x14ac:dyDescent="0.35">
      <c r="A3267" s="224" t="s">
        <v>247</v>
      </c>
      <c r="B3267" s="224" t="s">
        <v>20</v>
      </c>
      <c r="C3267" s="224" t="s">
        <v>86</v>
      </c>
      <c r="D3267" s="224" t="s">
        <v>55</v>
      </c>
      <c r="E3267" s="224" t="s">
        <v>256</v>
      </c>
      <c r="F3267" s="224" t="s">
        <v>248</v>
      </c>
      <c r="G3267" s="223" t="str">
        <f>VLOOKUP($B3267,'FRS geographical categories'!$A$2:$C$45,2,FALSE)</f>
        <v>Predominantly Rural</v>
      </c>
      <c r="H3267" s="223" t="str">
        <f>VLOOKUP($B3267,'FRS geographical categories'!$A$2:$C$45,3,FALSE)</f>
        <v>Non-metropolitan</v>
      </c>
      <c r="I3267" s="224">
        <v>7</v>
      </c>
    </row>
    <row r="3268" spans="1:9" ht="15.5" x14ac:dyDescent="0.35">
      <c r="A3268" s="224" t="s">
        <v>247</v>
      </c>
      <c r="B3268" s="224" t="s">
        <v>20</v>
      </c>
      <c r="C3268" s="224" t="s">
        <v>86</v>
      </c>
      <c r="D3268" s="224" t="s">
        <v>55</v>
      </c>
      <c r="E3268" s="224" t="s">
        <v>256</v>
      </c>
      <c r="F3268" s="224" t="s">
        <v>249</v>
      </c>
      <c r="G3268" s="223" t="str">
        <f>VLOOKUP($B3268,'FRS geographical categories'!$A$2:$C$45,2,FALSE)</f>
        <v>Predominantly Rural</v>
      </c>
      <c r="H3268" s="223" t="str">
        <f>VLOOKUP($B3268,'FRS geographical categories'!$A$2:$C$45,3,FALSE)</f>
        <v>Non-metropolitan</v>
      </c>
      <c r="I3268" s="224">
        <v>16</v>
      </c>
    </row>
    <row r="3269" spans="1:9" ht="15.5" x14ac:dyDescent="0.35">
      <c r="A3269" s="224" t="s">
        <v>247</v>
      </c>
      <c r="B3269" s="224" t="s">
        <v>20</v>
      </c>
      <c r="C3269" s="224" t="s">
        <v>86</v>
      </c>
      <c r="D3269" s="224" t="s">
        <v>55</v>
      </c>
      <c r="E3269" s="224" t="s">
        <v>256</v>
      </c>
      <c r="F3269" s="224" t="s">
        <v>250</v>
      </c>
      <c r="G3269" s="223" t="str">
        <f>VLOOKUP($B3269,'FRS geographical categories'!$A$2:$C$45,2,FALSE)</f>
        <v>Predominantly Rural</v>
      </c>
      <c r="H3269" s="223" t="str">
        <f>VLOOKUP($B3269,'FRS geographical categories'!$A$2:$C$45,3,FALSE)</f>
        <v>Non-metropolitan</v>
      </c>
      <c r="I3269" s="224">
        <v>7</v>
      </c>
    </row>
    <row r="3270" spans="1:9" ht="15.5" x14ac:dyDescent="0.35">
      <c r="A3270" s="224" t="s">
        <v>247</v>
      </c>
      <c r="B3270" s="224" t="s">
        <v>20</v>
      </c>
      <c r="C3270" s="224" t="s">
        <v>86</v>
      </c>
      <c r="D3270" s="224" t="s">
        <v>55</v>
      </c>
      <c r="E3270" s="224" t="s">
        <v>256</v>
      </c>
      <c r="F3270" s="224" t="s">
        <v>111</v>
      </c>
      <c r="G3270" s="223" t="str">
        <f>VLOOKUP($B3270,'FRS geographical categories'!$A$2:$C$45,2,FALSE)</f>
        <v>Predominantly Rural</v>
      </c>
      <c r="H3270" s="223" t="str">
        <f>VLOOKUP($B3270,'FRS geographical categories'!$A$2:$C$45,3,FALSE)</f>
        <v>Non-metropolitan</v>
      </c>
      <c r="I3270" s="224">
        <v>35</v>
      </c>
    </row>
    <row r="3271" spans="1:9" ht="15.5" x14ac:dyDescent="0.35">
      <c r="A3271" s="224" t="s">
        <v>247</v>
      </c>
      <c r="B3271" s="224" t="s">
        <v>20</v>
      </c>
      <c r="C3271" s="224" t="s">
        <v>86</v>
      </c>
      <c r="D3271" s="224" t="s">
        <v>55</v>
      </c>
      <c r="E3271" s="224" t="s">
        <v>256</v>
      </c>
      <c r="F3271" s="224" t="s">
        <v>10</v>
      </c>
      <c r="G3271" s="223" t="str">
        <f>VLOOKUP($B3271,'FRS geographical categories'!$A$2:$C$45,2,FALSE)</f>
        <v>Predominantly Rural</v>
      </c>
      <c r="H3271" s="223" t="str">
        <f>VLOOKUP($B3271,'FRS geographical categories'!$A$2:$C$45,3,FALSE)</f>
        <v>Non-metropolitan</v>
      </c>
      <c r="I3271" s="224">
        <v>37</v>
      </c>
    </row>
    <row r="3272" spans="1:9" ht="15.5" x14ac:dyDescent="0.35">
      <c r="A3272" s="224" t="s">
        <v>247</v>
      </c>
      <c r="B3272" s="224" t="s">
        <v>20</v>
      </c>
      <c r="C3272" s="224" t="s">
        <v>89</v>
      </c>
      <c r="D3272" s="224" t="s">
        <v>9</v>
      </c>
      <c r="E3272" s="224" t="s">
        <v>256</v>
      </c>
      <c r="F3272" s="224" t="s">
        <v>248</v>
      </c>
      <c r="G3272" s="223" t="str">
        <f>VLOOKUP($B3272,'FRS geographical categories'!$A$2:$C$45,2,FALSE)</f>
        <v>Predominantly Rural</v>
      </c>
      <c r="H3272" s="223" t="str">
        <f>VLOOKUP($B3272,'FRS geographical categories'!$A$2:$C$45,3,FALSE)</f>
        <v>Non-metropolitan</v>
      </c>
      <c r="I3272" s="224">
        <v>0</v>
      </c>
    </row>
    <row r="3273" spans="1:9" ht="15.5" x14ac:dyDescent="0.35">
      <c r="A3273" s="224" t="s">
        <v>247</v>
      </c>
      <c r="B3273" s="224" t="s">
        <v>20</v>
      </c>
      <c r="C3273" s="224" t="s">
        <v>89</v>
      </c>
      <c r="D3273" s="224" t="s">
        <v>9</v>
      </c>
      <c r="E3273" s="224" t="s">
        <v>256</v>
      </c>
      <c r="F3273" s="224" t="s">
        <v>249</v>
      </c>
      <c r="G3273" s="223" t="str">
        <f>VLOOKUP($B3273,'FRS geographical categories'!$A$2:$C$45,2,FALSE)</f>
        <v>Predominantly Rural</v>
      </c>
      <c r="H3273" s="223" t="str">
        <f>VLOOKUP($B3273,'FRS geographical categories'!$A$2:$C$45,3,FALSE)</f>
        <v>Non-metropolitan</v>
      </c>
      <c r="I3273" s="224">
        <v>0</v>
      </c>
    </row>
    <row r="3274" spans="1:9" ht="15.5" x14ac:dyDescent="0.35">
      <c r="A3274" s="224" t="s">
        <v>247</v>
      </c>
      <c r="B3274" s="224" t="s">
        <v>20</v>
      </c>
      <c r="C3274" s="224" t="s">
        <v>89</v>
      </c>
      <c r="D3274" s="224" t="s">
        <v>9</v>
      </c>
      <c r="E3274" s="224" t="s">
        <v>256</v>
      </c>
      <c r="F3274" s="224" t="s">
        <v>250</v>
      </c>
      <c r="G3274" s="223" t="str">
        <f>VLOOKUP($B3274,'FRS geographical categories'!$A$2:$C$45,2,FALSE)</f>
        <v>Predominantly Rural</v>
      </c>
      <c r="H3274" s="223" t="str">
        <f>VLOOKUP($B3274,'FRS geographical categories'!$A$2:$C$45,3,FALSE)</f>
        <v>Non-metropolitan</v>
      </c>
      <c r="I3274" s="224">
        <v>0</v>
      </c>
    </row>
    <row r="3275" spans="1:9" ht="15.5" x14ac:dyDescent="0.35">
      <c r="A3275" s="224" t="s">
        <v>247</v>
      </c>
      <c r="B3275" s="224" t="s">
        <v>20</v>
      </c>
      <c r="C3275" s="224" t="s">
        <v>89</v>
      </c>
      <c r="D3275" s="224" t="s">
        <v>9</v>
      </c>
      <c r="E3275" s="224" t="s">
        <v>256</v>
      </c>
      <c r="F3275" s="224" t="s">
        <v>10</v>
      </c>
      <c r="G3275" s="223" t="str">
        <f>VLOOKUP($B3275,'FRS geographical categories'!$A$2:$C$45,2,FALSE)</f>
        <v>Predominantly Rural</v>
      </c>
      <c r="H3275" s="223" t="str">
        <f>VLOOKUP($B3275,'FRS geographical categories'!$A$2:$C$45,3,FALSE)</f>
        <v>Non-metropolitan</v>
      </c>
      <c r="I3275" s="224">
        <v>0</v>
      </c>
    </row>
    <row r="3276" spans="1:9" ht="15.5" x14ac:dyDescent="0.35">
      <c r="A3276" s="224" t="s">
        <v>247</v>
      </c>
      <c r="B3276" s="224" t="s">
        <v>20</v>
      </c>
      <c r="C3276" s="224" t="s">
        <v>89</v>
      </c>
      <c r="D3276" s="224" t="s">
        <v>55</v>
      </c>
      <c r="E3276" s="224" t="s">
        <v>256</v>
      </c>
      <c r="F3276" s="224" t="s">
        <v>248</v>
      </c>
      <c r="G3276" s="223" t="str">
        <f>VLOOKUP($B3276,'FRS geographical categories'!$A$2:$C$45,2,FALSE)</f>
        <v>Predominantly Rural</v>
      </c>
      <c r="H3276" s="223" t="str">
        <f>VLOOKUP($B3276,'FRS geographical categories'!$A$2:$C$45,3,FALSE)</f>
        <v>Non-metropolitan</v>
      </c>
      <c r="I3276" s="224">
        <v>0</v>
      </c>
    </row>
    <row r="3277" spans="1:9" ht="15.5" x14ac:dyDescent="0.35">
      <c r="A3277" s="224" t="s">
        <v>247</v>
      </c>
      <c r="B3277" s="224" t="s">
        <v>20</v>
      </c>
      <c r="C3277" s="224" t="s">
        <v>89</v>
      </c>
      <c r="D3277" s="224" t="s">
        <v>55</v>
      </c>
      <c r="E3277" s="224" t="s">
        <v>256</v>
      </c>
      <c r="F3277" s="224" t="s">
        <v>249</v>
      </c>
      <c r="G3277" s="223" t="str">
        <f>VLOOKUP($B3277,'FRS geographical categories'!$A$2:$C$45,2,FALSE)</f>
        <v>Predominantly Rural</v>
      </c>
      <c r="H3277" s="223" t="str">
        <f>VLOOKUP($B3277,'FRS geographical categories'!$A$2:$C$45,3,FALSE)</f>
        <v>Non-metropolitan</v>
      </c>
      <c r="I3277" s="224">
        <v>0</v>
      </c>
    </row>
    <row r="3278" spans="1:9" ht="15.5" x14ac:dyDescent="0.35">
      <c r="A3278" s="224" t="s">
        <v>247</v>
      </c>
      <c r="B3278" s="224" t="s">
        <v>20</v>
      </c>
      <c r="C3278" s="224" t="s">
        <v>89</v>
      </c>
      <c r="D3278" s="224" t="s">
        <v>55</v>
      </c>
      <c r="E3278" s="224" t="s">
        <v>256</v>
      </c>
      <c r="F3278" s="224" t="s">
        <v>250</v>
      </c>
      <c r="G3278" s="223" t="str">
        <f>VLOOKUP($B3278,'FRS geographical categories'!$A$2:$C$45,2,FALSE)</f>
        <v>Predominantly Rural</v>
      </c>
      <c r="H3278" s="223" t="str">
        <f>VLOOKUP($B3278,'FRS geographical categories'!$A$2:$C$45,3,FALSE)</f>
        <v>Non-metropolitan</v>
      </c>
      <c r="I3278" s="224">
        <v>0</v>
      </c>
    </row>
    <row r="3279" spans="1:9" ht="15.5" x14ac:dyDescent="0.35">
      <c r="A3279" s="224" t="s">
        <v>247</v>
      </c>
      <c r="B3279" s="224" t="s">
        <v>20</v>
      </c>
      <c r="C3279" s="224" t="s">
        <v>89</v>
      </c>
      <c r="D3279" s="224" t="s">
        <v>55</v>
      </c>
      <c r="E3279" s="224" t="s">
        <v>256</v>
      </c>
      <c r="F3279" s="224" t="s">
        <v>10</v>
      </c>
      <c r="G3279" s="223" t="str">
        <f>VLOOKUP($B3279,'FRS geographical categories'!$A$2:$C$45,2,FALSE)</f>
        <v>Predominantly Rural</v>
      </c>
      <c r="H3279" s="223" t="str">
        <f>VLOOKUP($B3279,'FRS geographical categories'!$A$2:$C$45,3,FALSE)</f>
        <v>Non-metropolitan</v>
      </c>
      <c r="I3279" s="224">
        <v>0</v>
      </c>
    </row>
    <row r="3280" spans="1:9" ht="15.5" x14ac:dyDescent="0.35">
      <c r="A3280" s="224" t="s">
        <v>247</v>
      </c>
      <c r="B3280" s="224" t="s">
        <v>21</v>
      </c>
      <c r="C3280" s="224" t="s">
        <v>86</v>
      </c>
      <c r="D3280" s="224" t="s">
        <v>9</v>
      </c>
      <c r="E3280" s="224" t="s">
        <v>256</v>
      </c>
      <c r="F3280" s="224" t="s">
        <v>248</v>
      </c>
      <c r="G3280" s="223" t="str">
        <f>VLOOKUP($B3280,'FRS geographical categories'!$A$2:$C$45,2,FALSE)</f>
        <v>Significantly Rural</v>
      </c>
      <c r="H3280" s="223" t="str">
        <f>VLOOKUP($B3280,'FRS geographical categories'!$A$2:$C$45,3,FALSE)</f>
        <v>Non-metropolitan</v>
      </c>
      <c r="I3280" s="224">
        <v>840</v>
      </c>
    </row>
    <row r="3281" spans="1:9" ht="15.5" x14ac:dyDescent="0.35">
      <c r="A3281" s="224" t="s">
        <v>247</v>
      </c>
      <c r="B3281" s="224" t="s">
        <v>21</v>
      </c>
      <c r="C3281" s="224" t="s">
        <v>86</v>
      </c>
      <c r="D3281" s="224" t="s">
        <v>9</v>
      </c>
      <c r="E3281" s="224" t="s">
        <v>256</v>
      </c>
      <c r="F3281" s="224" t="s">
        <v>249</v>
      </c>
      <c r="G3281" s="223" t="str">
        <f>VLOOKUP($B3281,'FRS geographical categories'!$A$2:$C$45,2,FALSE)</f>
        <v>Significantly Rural</v>
      </c>
      <c r="H3281" s="223" t="str">
        <f>VLOOKUP($B3281,'FRS geographical categories'!$A$2:$C$45,3,FALSE)</f>
        <v>Non-metropolitan</v>
      </c>
      <c r="I3281" s="224">
        <v>3840</v>
      </c>
    </row>
    <row r="3282" spans="1:9" ht="15.5" x14ac:dyDescent="0.35">
      <c r="A3282" s="224" t="s">
        <v>247</v>
      </c>
      <c r="B3282" s="224" t="s">
        <v>21</v>
      </c>
      <c r="C3282" s="224" t="s">
        <v>86</v>
      </c>
      <c r="D3282" s="224" t="s">
        <v>9</v>
      </c>
      <c r="E3282" s="224" t="s">
        <v>256</v>
      </c>
      <c r="F3282" s="224" t="s">
        <v>250</v>
      </c>
      <c r="G3282" s="223" t="str">
        <f>VLOOKUP($B3282,'FRS geographical categories'!$A$2:$C$45,2,FALSE)</f>
        <v>Significantly Rural</v>
      </c>
      <c r="H3282" s="223" t="str">
        <f>VLOOKUP($B3282,'FRS geographical categories'!$A$2:$C$45,3,FALSE)</f>
        <v>Non-metropolitan</v>
      </c>
      <c r="I3282" s="224">
        <v>1936</v>
      </c>
    </row>
    <row r="3283" spans="1:9" ht="15.5" x14ac:dyDescent="0.35">
      <c r="A3283" s="224" t="s">
        <v>247</v>
      </c>
      <c r="B3283" s="224" t="s">
        <v>21</v>
      </c>
      <c r="C3283" s="224" t="s">
        <v>86</v>
      </c>
      <c r="D3283" s="224" t="s">
        <v>9</v>
      </c>
      <c r="E3283" s="224" t="s">
        <v>256</v>
      </c>
      <c r="F3283" s="224" t="s">
        <v>111</v>
      </c>
      <c r="G3283" s="223" t="str">
        <f>VLOOKUP($B3283,'FRS geographical categories'!$A$2:$C$45,2,FALSE)</f>
        <v>Significantly Rural</v>
      </c>
      <c r="H3283" s="223" t="str">
        <f>VLOOKUP($B3283,'FRS geographical categories'!$A$2:$C$45,3,FALSE)</f>
        <v>Non-metropolitan</v>
      </c>
      <c r="I3283" s="224">
        <v>7650</v>
      </c>
    </row>
    <row r="3284" spans="1:9" ht="15.5" x14ac:dyDescent="0.35">
      <c r="A3284" s="224" t="s">
        <v>247</v>
      </c>
      <c r="B3284" s="224" t="s">
        <v>21</v>
      </c>
      <c r="C3284" s="224" t="s">
        <v>86</v>
      </c>
      <c r="D3284" s="224" t="s">
        <v>9</v>
      </c>
      <c r="E3284" s="224" t="s">
        <v>256</v>
      </c>
      <c r="F3284" s="224" t="s">
        <v>10</v>
      </c>
      <c r="G3284" s="223" t="str">
        <f>VLOOKUP($B3284,'FRS geographical categories'!$A$2:$C$45,2,FALSE)</f>
        <v>Significantly Rural</v>
      </c>
      <c r="H3284" s="223" t="str">
        <f>VLOOKUP($B3284,'FRS geographical categories'!$A$2:$C$45,3,FALSE)</f>
        <v>Non-metropolitan</v>
      </c>
      <c r="I3284" s="224">
        <v>7730</v>
      </c>
    </row>
    <row r="3285" spans="1:9" ht="15.5" x14ac:dyDescent="0.35">
      <c r="A3285" s="224" t="s">
        <v>247</v>
      </c>
      <c r="B3285" s="224" t="s">
        <v>21</v>
      </c>
      <c r="C3285" s="224" t="s">
        <v>86</v>
      </c>
      <c r="D3285" s="224" t="s">
        <v>55</v>
      </c>
      <c r="E3285" s="224" t="s">
        <v>256</v>
      </c>
      <c r="F3285" s="224" t="s">
        <v>248</v>
      </c>
      <c r="G3285" s="223" t="str">
        <f>VLOOKUP($B3285,'FRS geographical categories'!$A$2:$C$45,2,FALSE)</f>
        <v>Significantly Rural</v>
      </c>
      <c r="H3285" s="223" t="str">
        <f>VLOOKUP($B3285,'FRS geographical categories'!$A$2:$C$45,3,FALSE)</f>
        <v>Non-metropolitan</v>
      </c>
      <c r="I3285" s="224">
        <v>0</v>
      </c>
    </row>
    <row r="3286" spans="1:9" ht="15.5" x14ac:dyDescent="0.35">
      <c r="A3286" s="224" t="s">
        <v>247</v>
      </c>
      <c r="B3286" s="224" t="s">
        <v>21</v>
      </c>
      <c r="C3286" s="224" t="s">
        <v>86</v>
      </c>
      <c r="D3286" s="224" t="s">
        <v>55</v>
      </c>
      <c r="E3286" s="224" t="s">
        <v>256</v>
      </c>
      <c r="F3286" s="224" t="s">
        <v>249</v>
      </c>
      <c r="G3286" s="223" t="str">
        <f>VLOOKUP($B3286,'FRS geographical categories'!$A$2:$C$45,2,FALSE)</f>
        <v>Significantly Rural</v>
      </c>
      <c r="H3286" s="223" t="str">
        <f>VLOOKUP($B3286,'FRS geographical categories'!$A$2:$C$45,3,FALSE)</f>
        <v>Non-metropolitan</v>
      </c>
      <c r="I3286" s="224">
        <v>0</v>
      </c>
    </row>
    <row r="3287" spans="1:9" ht="15.5" x14ac:dyDescent="0.35">
      <c r="A3287" s="224" t="s">
        <v>247</v>
      </c>
      <c r="B3287" s="224" t="s">
        <v>21</v>
      </c>
      <c r="C3287" s="224" t="s">
        <v>86</v>
      </c>
      <c r="D3287" s="224" t="s">
        <v>55</v>
      </c>
      <c r="E3287" s="224" t="s">
        <v>256</v>
      </c>
      <c r="F3287" s="224" t="s">
        <v>250</v>
      </c>
      <c r="G3287" s="223" t="str">
        <f>VLOOKUP($B3287,'FRS geographical categories'!$A$2:$C$45,2,FALSE)</f>
        <v>Significantly Rural</v>
      </c>
      <c r="H3287" s="223" t="str">
        <f>VLOOKUP($B3287,'FRS geographical categories'!$A$2:$C$45,3,FALSE)</f>
        <v>Non-metropolitan</v>
      </c>
      <c r="I3287" s="224">
        <v>0</v>
      </c>
    </row>
    <row r="3288" spans="1:9" ht="15.5" x14ac:dyDescent="0.35">
      <c r="A3288" s="224" t="s">
        <v>247</v>
      </c>
      <c r="B3288" s="224" t="s">
        <v>21</v>
      </c>
      <c r="C3288" s="224" t="s">
        <v>86</v>
      </c>
      <c r="D3288" s="224" t="s">
        <v>55</v>
      </c>
      <c r="E3288" s="224" t="s">
        <v>256</v>
      </c>
      <c r="F3288" s="224" t="s">
        <v>111</v>
      </c>
      <c r="G3288" s="223" t="str">
        <f>VLOOKUP($B3288,'FRS geographical categories'!$A$2:$C$45,2,FALSE)</f>
        <v>Significantly Rural</v>
      </c>
      <c r="H3288" s="223" t="str">
        <f>VLOOKUP($B3288,'FRS geographical categories'!$A$2:$C$45,3,FALSE)</f>
        <v>Non-metropolitan</v>
      </c>
      <c r="I3288" s="224">
        <v>0</v>
      </c>
    </row>
    <row r="3289" spans="1:9" ht="15.5" x14ac:dyDescent="0.35">
      <c r="A3289" s="224" t="s">
        <v>247</v>
      </c>
      <c r="B3289" s="224" t="s">
        <v>21</v>
      </c>
      <c r="C3289" s="224" t="s">
        <v>86</v>
      </c>
      <c r="D3289" s="224" t="s">
        <v>55</v>
      </c>
      <c r="E3289" s="224" t="s">
        <v>256</v>
      </c>
      <c r="F3289" s="224" t="s">
        <v>10</v>
      </c>
      <c r="G3289" s="223" t="str">
        <f>VLOOKUP($B3289,'FRS geographical categories'!$A$2:$C$45,2,FALSE)</f>
        <v>Significantly Rural</v>
      </c>
      <c r="H3289" s="223" t="str">
        <f>VLOOKUP($B3289,'FRS geographical categories'!$A$2:$C$45,3,FALSE)</f>
        <v>Non-metropolitan</v>
      </c>
      <c r="I3289" s="224">
        <v>0</v>
      </c>
    </row>
    <row r="3290" spans="1:9" ht="15.5" x14ac:dyDescent="0.35">
      <c r="A3290" s="224" t="s">
        <v>247</v>
      </c>
      <c r="B3290" s="224" t="s">
        <v>21</v>
      </c>
      <c r="C3290" s="224" t="s">
        <v>89</v>
      </c>
      <c r="D3290" s="224" t="s">
        <v>9</v>
      </c>
      <c r="E3290" s="224" t="s">
        <v>256</v>
      </c>
      <c r="F3290" s="224" t="s">
        <v>248</v>
      </c>
      <c r="G3290" s="223" t="str">
        <f>VLOOKUP($B3290,'FRS geographical categories'!$A$2:$C$45,2,FALSE)</f>
        <v>Significantly Rural</v>
      </c>
      <c r="H3290" s="223" t="str">
        <f>VLOOKUP($B3290,'FRS geographical categories'!$A$2:$C$45,3,FALSE)</f>
        <v>Non-metropolitan</v>
      </c>
      <c r="I3290" s="224">
        <v>0</v>
      </c>
    </row>
    <row r="3291" spans="1:9" ht="15.5" x14ac:dyDescent="0.35">
      <c r="A3291" s="224" t="s">
        <v>247</v>
      </c>
      <c r="B3291" s="224" t="s">
        <v>21</v>
      </c>
      <c r="C3291" s="224" t="s">
        <v>89</v>
      </c>
      <c r="D3291" s="224" t="s">
        <v>9</v>
      </c>
      <c r="E3291" s="224" t="s">
        <v>256</v>
      </c>
      <c r="F3291" s="224" t="s">
        <v>249</v>
      </c>
      <c r="G3291" s="223" t="str">
        <f>VLOOKUP($B3291,'FRS geographical categories'!$A$2:$C$45,2,FALSE)</f>
        <v>Significantly Rural</v>
      </c>
      <c r="H3291" s="223" t="str">
        <f>VLOOKUP($B3291,'FRS geographical categories'!$A$2:$C$45,3,FALSE)</f>
        <v>Non-metropolitan</v>
      </c>
      <c r="I3291" s="224">
        <v>0</v>
      </c>
    </row>
    <row r="3292" spans="1:9" ht="15.5" x14ac:dyDescent="0.35">
      <c r="A3292" s="224" t="s">
        <v>247</v>
      </c>
      <c r="B3292" s="224" t="s">
        <v>21</v>
      </c>
      <c r="C3292" s="224" t="s">
        <v>89</v>
      </c>
      <c r="D3292" s="224" t="s">
        <v>9</v>
      </c>
      <c r="E3292" s="224" t="s">
        <v>256</v>
      </c>
      <c r="F3292" s="224" t="s">
        <v>250</v>
      </c>
      <c r="G3292" s="223" t="str">
        <f>VLOOKUP($B3292,'FRS geographical categories'!$A$2:$C$45,2,FALSE)</f>
        <v>Significantly Rural</v>
      </c>
      <c r="H3292" s="223" t="str">
        <f>VLOOKUP($B3292,'FRS geographical categories'!$A$2:$C$45,3,FALSE)</f>
        <v>Non-metropolitan</v>
      </c>
      <c r="I3292" s="224">
        <v>0</v>
      </c>
    </row>
    <row r="3293" spans="1:9" ht="15.5" x14ac:dyDescent="0.35">
      <c r="A3293" s="224" t="s">
        <v>247</v>
      </c>
      <c r="B3293" s="224" t="s">
        <v>21</v>
      </c>
      <c r="C3293" s="224" t="s">
        <v>89</v>
      </c>
      <c r="D3293" s="224" t="s">
        <v>9</v>
      </c>
      <c r="E3293" s="224" t="s">
        <v>256</v>
      </c>
      <c r="F3293" s="224" t="s">
        <v>10</v>
      </c>
      <c r="G3293" s="223" t="str">
        <f>VLOOKUP($B3293,'FRS geographical categories'!$A$2:$C$45,2,FALSE)</f>
        <v>Significantly Rural</v>
      </c>
      <c r="H3293" s="223" t="str">
        <f>VLOOKUP($B3293,'FRS geographical categories'!$A$2:$C$45,3,FALSE)</f>
        <v>Non-metropolitan</v>
      </c>
      <c r="I3293" s="224">
        <v>0</v>
      </c>
    </row>
    <row r="3294" spans="1:9" ht="15.5" x14ac:dyDescent="0.35">
      <c r="A3294" s="224" t="s">
        <v>247</v>
      </c>
      <c r="B3294" s="224" t="s">
        <v>21</v>
      </c>
      <c r="C3294" s="224" t="s">
        <v>89</v>
      </c>
      <c r="D3294" s="224" t="s">
        <v>55</v>
      </c>
      <c r="E3294" s="224" t="s">
        <v>256</v>
      </c>
      <c r="F3294" s="224" t="s">
        <v>248</v>
      </c>
      <c r="G3294" s="223" t="str">
        <f>VLOOKUP($B3294,'FRS geographical categories'!$A$2:$C$45,2,FALSE)</f>
        <v>Significantly Rural</v>
      </c>
      <c r="H3294" s="223" t="str">
        <f>VLOOKUP($B3294,'FRS geographical categories'!$A$2:$C$45,3,FALSE)</f>
        <v>Non-metropolitan</v>
      </c>
      <c r="I3294" s="224">
        <v>0</v>
      </c>
    </row>
    <row r="3295" spans="1:9" ht="15.5" x14ac:dyDescent="0.35">
      <c r="A3295" s="224" t="s">
        <v>247</v>
      </c>
      <c r="B3295" s="224" t="s">
        <v>21</v>
      </c>
      <c r="C3295" s="224" t="s">
        <v>89</v>
      </c>
      <c r="D3295" s="224" t="s">
        <v>55</v>
      </c>
      <c r="E3295" s="224" t="s">
        <v>256</v>
      </c>
      <c r="F3295" s="224" t="s">
        <v>249</v>
      </c>
      <c r="G3295" s="223" t="str">
        <f>VLOOKUP($B3295,'FRS geographical categories'!$A$2:$C$45,2,FALSE)</f>
        <v>Significantly Rural</v>
      </c>
      <c r="H3295" s="223" t="str">
        <f>VLOOKUP($B3295,'FRS geographical categories'!$A$2:$C$45,3,FALSE)</f>
        <v>Non-metropolitan</v>
      </c>
      <c r="I3295" s="224">
        <v>0</v>
      </c>
    </row>
    <row r="3296" spans="1:9" ht="15.5" x14ac:dyDescent="0.35">
      <c r="A3296" s="224" t="s">
        <v>247</v>
      </c>
      <c r="B3296" s="224" t="s">
        <v>21</v>
      </c>
      <c r="C3296" s="224" t="s">
        <v>89</v>
      </c>
      <c r="D3296" s="224" t="s">
        <v>55</v>
      </c>
      <c r="E3296" s="224" t="s">
        <v>256</v>
      </c>
      <c r="F3296" s="224" t="s">
        <v>250</v>
      </c>
      <c r="G3296" s="223" t="str">
        <f>VLOOKUP($B3296,'FRS geographical categories'!$A$2:$C$45,2,FALSE)</f>
        <v>Significantly Rural</v>
      </c>
      <c r="H3296" s="223" t="str">
        <f>VLOOKUP($B3296,'FRS geographical categories'!$A$2:$C$45,3,FALSE)</f>
        <v>Non-metropolitan</v>
      </c>
      <c r="I3296" s="224">
        <v>0</v>
      </c>
    </row>
    <row r="3297" spans="1:9" ht="15.5" x14ac:dyDescent="0.35">
      <c r="A3297" s="224" t="s">
        <v>247</v>
      </c>
      <c r="B3297" s="224" t="s">
        <v>21</v>
      </c>
      <c r="C3297" s="224" t="s">
        <v>89</v>
      </c>
      <c r="D3297" s="224" t="s">
        <v>55</v>
      </c>
      <c r="E3297" s="224" t="s">
        <v>256</v>
      </c>
      <c r="F3297" s="224" t="s">
        <v>10</v>
      </c>
      <c r="G3297" s="223" t="str">
        <f>VLOOKUP($B3297,'FRS geographical categories'!$A$2:$C$45,2,FALSE)</f>
        <v>Significantly Rural</v>
      </c>
      <c r="H3297" s="223" t="str">
        <f>VLOOKUP($B3297,'FRS geographical categories'!$A$2:$C$45,3,FALSE)</f>
        <v>Non-metropolitan</v>
      </c>
      <c r="I3297" s="224">
        <v>0</v>
      </c>
    </row>
    <row r="3298" spans="1:9" ht="15.5" x14ac:dyDescent="0.35">
      <c r="A3298" s="224" t="s">
        <v>247</v>
      </c>
      <c r="B3298" s="224" t="s">
        <v>22</v>
      </c>
      <c r="C3298" s="224" t="s">
        <v>86</v>
      </c>
      <c r="D3298" s="224" t="s">
        <v>9</v>
      </c>
      <c r="E3298" s="224" t="s">
        <v>256</v>
      </c>
      <c r="F3298" s="224" t="s">
        <v>248</v>
      </c>
      <c r="G3298" s="223" t="str">
        <f>VLOOKUP($B3298,'FRS geographical categories'!$A$2:$C$45,2,FALSE)</f>
        <v>Predominantly Rural</v>
      </c>
      <c r="H3298" s="223" t="str">
        <f>VLOOKUP($B3298,'FRS geographical categories'!$A$2:$C$45,3,FALSE)</f>
        <v>Non-metropolitan</v>
      </c>
      <c r="I3298" s="224">
        <v>678</v>
      </c>
    </row>
    <row r="3299" spans="1:9" ht="15.5" x14ac:dyDescent="0.35">
      <c r="A3299" s="224" t="s">
        <v>247</v>
      </c>
      <c r="B3299" s="224" t="s">
        <v>22</v>
      </c>
      <c r="C3299" s="224" t="s">
        <v>86</v>
      </c>
      <c r="D3299" s="224" t="s">
        <v>9</v>
      </c>
      <c r="E3299" s="224" t="s">
        <v>256</v>
      </c>
      <c r="F3299" s="224" t="s">
        <v>249</v>
      </c>
      <c r="G3299" s="223" t="str">
        <f>VLOOKUP($B3299,'FRS geographical categories'!$A$2:$C$45,2,FALSE)</f>
        <v>Predominantly Rural</v>
      </c>
      <c r="H3299" s="223" t="str">
        <f>VLOOKUP($B3299,'FRS geographical categories'!$A$2:$C$45,3,FALSE)</f>
        <v>Non-metropolitan</v>
      </c>
      <c r="I3299" s="224">
        <v>916</v>
      </c>
    </row>
    <row r="3300" spans="1:9" ht="15.5" x14ac:dyDescent="0.35">
      <c r="A3300" s="224" t="s">
        <v>247</v>
      </c>
      <c r="B3300" s="224" t="s">
        <v>22</v>
      </c>
      <c r="C3300" s="224" t="s">
        <v>86</v>
      </c>
      <c r="D3300" s="224" t="s">
        <v>9</v>
      </c>
      <c r="E3300" s="224" t="s">
        <v>256</v>
      </c>
      <c r="F3300" s="224" t="s">
        <v>250</v>
      </c>
      <c r="G3300" s="223" t="str">
        <f>VLOOKUP($B3300,'FRS geographical categories'!$A$2:$C$45,2,FALSE)</f>
        <v>Predominantly Rural</v>
      </c>
      <c r="H3300" s="223" t="str">
        <f>VLOOKUP($B3300,'FRS geographical categories'!$A$2:$C$45,3,FALSE)</f>
        <v>Non-metropolitan</v>
      </c>
      <c r="I3300" s="224">
        <v>4462</v>
      </c>
    </row>
    <row r="3301" spans="1:9" ht="15.5" x14ac:dyDescent="0.35">
      <c r="A3301" s="224" t="s">
        <v>247</v>
      </c>
      <c r="B3301" s="224" t="s">
        <v>22</v>
      </c>
      <c r="C3301" s="224" t="s">
        <v>86</v>
      </c>
      <c r="D3301" s="224" t="s">
        <v>9</v>
      </c>
      <c r="E3301" s="224" t="s">
        <v>256</v>
      </c>
      <c r="F3301" s="224" t="s">
        <v>111</v>
      </c>
      <c r="G3301" s="223" t="str">
        <f>VLOOKUP($B3301,'FRS geographical categories'!$A$2:$C$45,2,FALSE)</f>
        <v>Predominantly Rural</v>
      </c>
      <c r="H3301" s="223" t="str">
        <f>VLOOKUP($B3301,'FRS geographical categories'!$A$2:$C$45,3,FALSE)</f>
        <v>Non-metropolitan</v>
      </c>
      <c r="I3301" s="224">
        <v>10585</v>
      </c>
    </row>
    <row r="3302" spans="1:9" ht="15.5" x14ac:dyDescent="0.35">
      <c r="A3302" s="224" t="s">
        <v>247</v>
      </c>
      <c r="B3302" s="224" t="s">
        <v>22</v>
      </c>
      <c r="C3302" s="224" t="s">
        <v>86</v>
      </c>
      <c r="D3302" s="224" t="s">
        <v>9</v>
      </c>
      <c r="E3302" s="224" t="s">
        <v>256</v>
      </c>
      <c r="F3302" s="224" t="s">
        <v>10</v>
      </c>
      <c r="G3302" s="223" t="str">
        <f>VLOOKUP($B3302,'FRS geographical categories'!$A$2:$C$45,2,FALSE)</f>
        <v>Predominantly Rural</v>
      </c>
      <c r="H3302" s="223" t="str">
        <f>VLOOKUP($B3302,'FRS geographical categories'!$A$2:$C$45,3,FALSE)</f>
        <v>Non-metropolitan</v>
      </c>
      <c r="I3302" s="224">
        <v>18413</v>
      </c>
    </row>
    <row r="3303" spans="1:9" ht="15.5" x14ac:dyDescent="0.35">
      <c r="A3303" s="224" t="s">
        <v>247</v>
      </c>
      <c r="B3303" s="224" t="s">
        <v>22</v>
      </c>
      <c r="C3303" s="224" t="s">
        <v>86</v>
      </c>
      <c r="D3303" s="224" t="s">
        <v>55</v>
      </c>
      <c r="E3303" s="224" t="s">
        <v>256</v>
      </c>
      <c r="F3303" s="224" t="s">
        <v>248</v>
      </c>
      <c r="G3303" s="223" t="str">
        <f>VLOOKUP($B3303,'FRS geographical categories'!$A$2:$C$45,2,FALSE)</f>
        <v>Predominantly Rural</v>
      </c>
      <c r="H3303" s="223" t="str">
        <f>VLOOKUP($B3303,'FRS geographical categories'!$A$2:$C$45,3,FALSE)</f>
        <v>Non-metropolitan</v>
      </c>
      <c r="I3303" s="224">
        <v>0</v>
      </c>
    </row>
    <row r="3304" spans="1:9" ht="15.5" x14ac:dyDescent="0.35">
      <c r="A3304" s="224" t="s">
        <v>247</v>
      </c>
      <c r="B3304" s="224" t="s">
        <v>22</v>
      </c>
      <c r="C3304" s="224" t="s">
        <v>86</v>
      </c>
      <c r="D3304" s="224" t="s">
        <v>55</v>
      </c>
      <c r="E3304" s="224" t="s">
        <v>256</v>
      </c>
      <c r="F3304" s="224" t="s">
        <v>249</v>
      </c>
      <c r="G3304" s="223" t="str">
        <f>VLOOKUP($B3304,'FRS geographical categories'!$A$2:$C$45,2,FALSE)</f>
        <v>Predominantly Rural</v>
      </c>
      <c r="H3304" s="223" t="str">
        <f>VLOOKUP($B3304,'FRS geographical categories'!$A$2:$C$45,3,FALSE)</f>
        <v>Non-metropolitan</v>
      </c>
      <c r="I3304" s="224">
        <v>0</v>
      </c>
    </row>
    <row r="3305" spans="1:9" ht="15.5" x14ac:dyDescent="0.35">
      <c r="A3305" s="224" t="s">
        <v>247</v>
      </c>
      <c r="B3305" s="224" t="s">
        <v>22</v>
      </c>
      <c r="C3305" s="224" t="s">
        <v>86</v>
      </c>
      <c r="D3305" s="224" t="s">
        <v>55</v>
      </c>
      <c r="E3305" s="224" t="s">
        <v>256</v>
      </c>
      <c r="F3305" s="224" t="s">
        <v>250</v>
      </c>
      <c r="G3305" s="223" t="str">
        <f>VLOOKUP($B3305,'FRS geographical categories'!$A$2:$C$45,2,FALSE)</f>
        <v>Predominantly Rural</v>
      </c>
      <c r="H3305" s="223" t="str">
        <f>VLOOKUP($B3305,'FRS geographical categories'!$A$2:$C$45,3,FALSE)</f>
        <v>Non-metropolitan</v>
      </c>
      <c r="I3305" s="224">
        <v>0</v>
      </c>
    </row>
    <row r="3306" spans="1:9" ht="15.5" x14ac:dyDescent="0.35">
      <c r="A3306" s="224" t="s">
        <v>247</v>
      </c>
      <c r="B3306" s="224" t="s">
        <v>22</v>
      </c>
      <c r="C3306" s="224" t="s">
        <v>86</v>
      </c>
      <c r="D3306" s="224" t="s">
        <v>55</v>
      </c>
      <c r="E3306" s="224" t="s">
        <v>256</v>
      </c>
      <c r="F3306" s="224" t="s">
        <v>111</v>
      </c>
      <c r="G3306" s="223" t="str">
        <f>VLOOKUP($B3306,'FRS geographical categories'!$A$2:$C$45,2,FALSE)</f>
        <v>Predominantly Rural</v>
      </c>
      <c r="H3306" s="223" t="str">
        <f>VLOOKUP($B3306,'FRS geographical categories'!$A$2:$C$45,3,FALSE)</f>
        <v>Non-metropolitan</v>
      </c>
      <c r="I3306" s="224">
        <v>0</v>
      </c>
    </row>
    <row r="3307" spans="1:9" ht="15.5" x14ac:dyDescent="0.35">
      <c r="A3307" s="224" t="s">
        <v>247</v>
      </c>
      <c r="B3307" s="224" t="s">
        <v>22</v>
      </c>
      <c r="C3307" s="224" t="s">
        <v>86</v>
      </c>
      <c r="D3307" s="224" t="s">
        <v>55</v>
      </c>
      <c r="E3307" s="224" t="s">
        <v>256</v>
      </c>
      <c r="F3307" s="224" t="s">
        <v>10</v>
      </c>
      <c r="G3307" s="223" t="str">
        <f>VLOOKUP($B3307,'FRS geographical categories'!$A$2:$C$45,2,FALSE)</f>
        <v>Predominantly Rural</v>
      </c>
      <c r="H3307" s="223" t="str">
        <f>VLOOKUP($B3307,'FRS geographical categories'!$A$2:$C$45,3,FALSE)</f>
        <v>Non-metropolitan</v>
      </c>
      <c r="I3307" s="224">
        <v>0</v>
      </c>
    </row>
    <row r="3308" spans="1:9" ht="15.5" x14ac:dyDescent="0.35">
      <c r="A3308" s="224" t="s">
        <v>247</v>
      </c>
      <c r="B3308" s="224" t="s">
        <v>22</v>
      </c>
      <c r="C3308" s="224" t="s">
        <v>89</v>
      </c>
      <c r="D3308" s="224" t="s">
        <v>9</v>
      </c>
      <c r="E3308" s="224" t="s">
        <v>256</v>
      </c>
      <c r="F3308" s="224" t="s">
        <v>248</v>
      </c>
      <c r="G3308" s="223" t="str">
        <f>VLOOKUP($B3308,'FRS geographical categories'!$A$2:$C$45,2,FALSE)</f>
        <v>Predominantly Rural</v>
      </c>
      <c r="H3308" s="223" t="str">
        <f>VLOOKUP($B3308,'FRS geographical categories'!$A$2:$C$45,3,FALSE)</f>
        <v>Non-metropolitan</v>
      </c>
      <c r="I3308" s="224">
        <v>0</v>
      </c>
    </row>
    <row r="3309" spans="1:9" ht="15.5" x14ac:dyDescent="0.35">
      <c r="A3309" s="224" t="s">
        <v>247</v>
      </c>
      <c r="B3309" s="224" t="s">
        <v>22</v>
      </c>
      <c r="C3309" s="224" t="s">
        <v>89</v>
      </c>
      <c r="D3309" s="224" t="s">
        <v>9</v>
      </c>
      <c r="E3309" s="224" t="s">
        <v>256</v>
      </c>
      <c r="F3309" s="224" t="s">
        <v>249</v>
      </c>
      <c r="G3309" s="223" t="str">
        <f>VLOOKUP($B3309,'FRS geographical categories'!$A$2:$C$45,2,FALSE)</f>
        <v>Predominantly Rural</v>
      </c>
      <c r="H3309" s="223" t="str">
        <f>VLOOKUP($B3309,'FRS geographical categories'!$A$2:$C$45,3,FALSE)</f>
        <v>Non-metropolitan</v>
      </c>
      <c r="I3309" s="224">
        <v>0</v>
      </c>
    </row>
    <row r="3310" spans="1:9" ht="15.5" x14ac:dyDescent="0.35">
      <c r="A3310" s="224" t="s">
        <v>247</v>
      </c>
      <c r="B3310" s="224" t="s">
        <v>22</v>
      </c>
      <c r="C3310" s="224" t="s">
        <v>89</v>
      </c>
      <c r="D3310" s="224" t="s">
        <v>9</v>
      </c>
      <c r="E3310" s="224" t="s">
        <v>256</v>
      </c>
      <c r="F3310" s="224" t="s">
        <v>250</v>
      </c>
      <c r="G3310" s="223" t="str">
        <f>VLOOKUP($B3310,'FRS geographical categories'!$A$2:$C$45,2,FALSE)</f>
        <v>Predominantly Rural</v>
      </c>
      <c r="H3310" s="223" t="str">
        <f>VLOOKUP($B3310,'FRS geographical categories'!$A$2:$C$45,3,FALSE)</f>
        <v>Non-metropolitan</v>
      </c>
      <c r="I3310" s="224">
        <v>0</v>
      </c>
    </row>
    <row r="3311" spans="1:9" ht="15.5" x14ac:dyDescent="0.35">
      <c r="A3311" s="224" t="s">
        <v>247</v>
      </c>
      <c r="B3311" s="224" t="s">
        <v>22</v>
      </c>
      <c r="C3311" s="224" t="s">
        <v>89</v>
      </c>
      <c r="D3311" s="224" t="s">
        <v>9</v>
      </c>
      <c r="E3311" s="224" t="s">
        <v>256</v>
      </c>
      <c r="F3311" s="224" t="s">
        <v>10</v>
      </c>
      <c r="G3311" s="223" t="str">
        <f>VLOOKUP($B3311,'FRS geographical categories'!$A$2:$C$45,2,FALSE)</f>
        <v>Predominantly Rural</v>
      </c>
      <c r="H3311" s="223" t="str">
        <f>VLOOKUP($B3311,'FRS geographical categories'!$A$2:$C$45,3,FALSE)</f>
        <v>Non-metropolitan</v>
      </c>
      <c r="I3311" s="224">
        <v>0</v>
      </c>
    </row>
    <row r="3312" spans="1:9" ht="15.5" x14ac:dyDescent="0.35">
      <c r="A3312" s="224" t="s">
        <v>247</v>
      </c>
      <c r="B3312" s="224" t="s">
        <v>22</v>
      </c>
      <c r="C3312" s="224" t="s">
        <v>89</v>
      </c>
      <c r="D3312" s="224" t="s">
        <v>55</v>
      </c>
      <c r="E3312" s="224" t="s">
        <v>256</v>
      </c>
      <c r="F3312" s="224" t="s">
        <v>248</v>
      </c>
      <c r="G3312" s="223" t="str">
        <f>VLOOKUP($B3312,'FRS geographical categories'!$A$2:$C$45,2,FALSE)</f>
        <v>Predominantly Rural</v>
      </c>
      <c r="H3312" s="223" t="str">
        <f>VLOOKUP($B3312,'FRS geographical categories'!$A$2:$C$45,3,FALSE)</f>
        <v>Non-metropolitan</v>
      </c>
      <c r="I3312" s="224">
        <v>0</v>
      </c>
    </row>
    <row r="3313" spans="1:9" ht="15.5" x14ac:dyDescent="0.35">
      <c r="A3313" s="224" t="s">
        <v>247</v>
      </c>
      <c r="B3313" s="224" t="s">
        <v>22</v>
      </c>
      <c r="C3313" s="224" t="s">
        <v>89</v>
      </c>
      <c r="D3313" s="224" t="s">
        <v>55</v>
      </c>
      <c r="E3313" s="224" t="s">
        <v>256</v>
      </c>
      <c r="F3313" s="224" t="s">
        <v>249</v>
      </c>
      <c r="G3313" s="223" t="str">
        <f>VLOOKUP($B3313,'FRS geographical categories'!$A$2:$C$45,2,FALSE)</f>
        <v>Predominantly Rural</v>
      </c>
      <c r="H3313" s="223" t="str">
        <f>VLOOKUP($B3313,'FRS geographical categories'!$A$2:$C$45,3,FALSE)</f>
        <v>Non-metropolitan</v>
      </c>
      <c r="I3313" s="224">
        <v>0</v>
      </c>
    </row>
    <row r="3314" spans="1:9" ht="15.5" x14ac:dyDescent="0.35">
      <c r="A3314" s="224" t="s">
        <v>247</v>
      </c>
      <c r="B3314" s="224" t="s">
        <v>22</v>
      </c>
      <c r="C3314" s="224" t="s">
        <v>89</v>
      </c>
      <c r="D3314" s="224" t="s">
        <v>55</v>
      </c>
      <c r="E3314" s="224" t="s">
        <v>256</v>
      </c>
      <c r="F3314" s="224" t="s">
        <v>250</v>
      </c>
      <c r="G3314" s="223" t="str">
        <f>VLOOKUP($B3314,'FRS geographical categories'!$A$2:$C$45,2,FALSE)</f>
        <v>Predominantly Rural</v>
      </c>
      <c r="H3314" s="223" t="str">
        <f>VLOOKUP($B3314,'FRS geographical categories'!$A$2:$C$45,3,FALSE)</f>
        <v>Non-metropolitan</v>
      </c>
      <c r="I3314" s="224">
        <v>0</v>
      </c>
    </row>
    <row r="3315" spans="1:9" ht="15.5" x14ac:dyDescent="0.35">
      <c r="A3315" s="224" t="s">
        <v>247</v>
      </c>
      <c r="B3315" s="224" t="s">
        <v>22</v>
      </c>
      <c r="C3315" s="224" t="s">
        <v>89</v>
      </c>
      <c r="D3315" s="224" t="s">
        <v>55</v>
      </c>
      <c r="E3315" s="224" t="s">
        <v>256</v>
      </c>
      <c r="F3315" s="224" t="s">
        <v>10</v>
      </c>
      <c r="G3315" s="223" t="str">
        <f>VLOOKUP($B3315,'FRS geographical categories'!$A$2:$C$45,2,FALSE)</f>
        <v>Predominantly Rural</v>
      </c>
      <c r="H3315" s="223" t="str">
        <f>VLOOKUP($B3315,'FRS geographical categories'!$A$2:$C$45,3,FALSE)</f>
        <v>Non-metropolitan</v>
      </c>
      <c r="I3315" s="224">
        <v>0</v>
      </c>
    </row>
    <row r="3316" spans="1:9" ht="15.5" x14ac:dyDescent="0.35">
      <c r="A3316" s="224" t="s">
        <v>247</v>
      </c>
      <c r="B3316" s="224" t="s">
        <v>23</v>
      </c>
      <c r="C3316" s="224" t="s">
        <v>86</v>
      </c>
      <c r="D3316" s="224" t="s">
        <v>9</v>
      </c>
      <c r="E3316" s="224" t="s">
        <v>256</v>
      </c>
      <c r="F3316" s="224" t="s">
        <v>248</v>
      </c>
      <c r="G3316" s="223" t="str">
        <f>VLOOKUP($B3316,'FRS geographical categories'!$A$2:$C$45,2,FALSE)</f>
        <v>Significantly Rural</v>
      </c>
      <c r="H3316" s="223" t="str">
        <f>VLOOKUP($B3316,'FRS geographical categories'!$A$2:$C$45,3,FALSE)</f>
        <v>Non-metropolitan</v>
      </c>
      <c r="I3316" s="224">
        <v>936</v>
      </c>
    </row>
    <row r="3317" spans="1:9" ht="15.5" x14ac:dyDescent="0.35">
      <c r="A3317" s="224" t="s">
        <v>247</v>
      </c>
      <c r="B3317" s="224" t="s">
        <v>23</v>
      </c>
      <c r="C3317" s="224" t="s">
        <v>86</v>
      </c>
      <c r="D3317" s="224" t="s">
        <v>9</v>
      </c>
      <c r="E3317" s="224" t="s">
        <v>256</v>
      </c>
      <c r="F3317" s="224" t="s">
        <v>249</v>
      </c>
      <c r="G3317" s="223" t="str">
        <f>VLOOKUP($B3317,'FRS geographical categories'!$A$2:$C$45,2,FALSE)</f>
        <v>Significantly Rural</v>
      </c>
      <c r="H3317" s="223" t="str">
        <f>VLOOKUP($B3317,'FRS geographical categories'!$A$2:$C$45,3,FALSE)</f>
        <v>Non-metropolitan</v>
      </c>
      <c r="I3317" s="224">
        <v>3601</v>
      </c>
    </row>
    <row r="3318" spans="1:9" ht="15.5" x14ac:dyDescent="0.35">
      <c r="A3318" s="224" t="s">
        <v>247</v>
      </c>
      <c r="B3318" s="224" t="s">
        <v>23</v>
      </c>
      <c r="C3318" s="224" t="s">
        <v>86</v>
      </c>
      <c r="D3318" s="224" t="s">
        <v>9</v>
      </c>
      <c r="E3318" s="224" t="s">
        <v>256</v>
      </c>
      <c r="F3318" s="224" t="s">
        <v>250</v>
      </c>
      <c r="G3318" s="223" t="str">
        <f>VLOOKUP($B3318,'FRS geographical categories'!$A$2:$C$45,2,FALSE)</f>
        <v>Significantly Rural</v>
      </c>
      <c r="H3318" s="223" t="str">
        <f>VLOOKUP($B3318,'FRS geographical categories'!$A$2:$C$45,3,FALSE)</f>
        <v>Non-metropolitan</v>
      </c>
      <c r="I3318" s="224">
        <v>1707</v>
      </c>
    </row>
    <row r="3319" spans="1:9" ht="15.5" x14ac:dyDescent="0.35">
      <c r="A3319" s="224" t="s">
        <v>247</v>
      </c>
      <c r="B3319" s="224" t="s">
        <v>23</v>
      </c>
      <c r="C3319" s="224" t="s">
        <v>86</v>
      </c>
      <c r="D3319" s="224" t="s">
        <v>9</v>
      </c>
      <c r="E3319" s="224" t="s">
        <v>256</v>
      </c>
      <c r="F3319" s="224" t="s">
        <v>111</v>
      </c>
      <c r="G3319" s="223" t="str">
        <f>VLOOKUP($B3319,'FRS geographical categories'!$A$2:$C$45,2,FALSE)</f>
        <v>Significantly Rural</v>
      </c>
      <c r="H3319" s="223" t="str">
        <f>VLOOKUP($B3319,'FRS geographical categories'!$A$2:$C$45,3,FALSE)</f>
        <v>Non-metropolitan</v>
      </c>
      <c r="I3319" s="224">
        <v>6244</v>
      </c>
    </row>
    <row r="3320" spans="1:9" ht="15.5" x14ac:dyDescent="0.35">
      <c r="A3320" s="224" t="s">
        <v>247</v>
      </c>
      <c r="B3320" s="224" t="s">
        <v>23</v>
      </c>
      <c r="C3320" s="224" t="s">
        <v>86</v>
      </c>
      <c r="D3320" s="224" t="s">
        <v>9</v>
      </c>
      <c r="E3320" s="224" t="s">
        <v>256</v>
      </c>
      <c r="F3320" s="224" t="s">
        <v>10</v>
      </c>
      <c r="G3320" s="223" t="str">
        <f>VLOOKUP($B3320,'FRS geographical categories'!$A$2:$C$45,2,FALSE)</f>
        <v>Significantly Rural</v>
      </c>
      <c r="H3320" s="223" t="str">
        <f>VLOOKUP($B3320,'FRS geographical categories'!$A$2:$C$45,3,FALSE)</f>
        <v>Non-metropolitan</v>
      </c>
      <c r="I3320" s="224">
        <v>9075</v>
      </c>
    </row>
    <row r="3321" spans="1:9" ht="15.5" x14ac:dyDescent="0.35">
      <c r="A3321" s="224" t="s">
        <v>247</v>
      </c>
      <c r="B3321" s="224" t="s">
        <v>23</v>
      </c>
      <c r="C3321" s="224" t="s">
        <v>86</v>
      </c>
      <c r="D3321" s="224" t="s">
        <v>55</v>
      </c>
      <c r="E3321" s="224" t="s">
        <v>256</v>
      </c>
      <c r="F3321" s="224" t="s">
        <v>248</v>
      </c>
      <c r="G3321" s="223" t="str">
        <f>VLOOKUP($B3321,'FRS geographical categories'!$A$2:$C$45,2,FALSE)</f>
        <v>Significantly Rural</v>
      </c>
      <c r="H3321" s="223" t="str">
        <f>VLOOKUP($B3321,'FRS geographical categories'!$A$2:$C$45,3,FALSE)</f>
        <v>Non-metropolitan</v>
      </c>
      <c r="I3321" s="224">
        <v>0</v>
      </c>
    </row>
    <row r="3322" spans="1:9" ht="15.5" x14ac:dyDescent="0.35">
      <c r="A3322" s="224" t="s">
        <v>247</v>
      </c>
      <c r="B3322" s="224" t="s">
        <v>23</v>
      </c>
      <c r="C3322" s="224" t="s">
        <v>86</v>
      </c>
      <c r="D3322" s="224" t="s">
        <v>55</v>
      </c>
      <c r="E3322" s="224" t="s">
        <v>256</v>
      </c>
      <c r="F3322" s="224" t="s">
        <v>249</v>
      </c>
      <c r="G3322" s="223" t="str">
        <f>VLOOKUP($B3322,'FRS geographical categories'!$A$2:$C$45,2,FALSE)</f>
        <v>Significantly Rural</v>
      </c>
      <c r="H3322" s="223" t="str">
        <f>VLOOKUP($B3322,'FRS geographical categories'!$A$2:$C$45,3,FALSE)</f>
        <v>Non-metropolitan</v>
      </c>
      <c r="I3322" s="224">
        <v>0</v>
      </c>
    </row>
    <row r="3323" spans="1:9" ht="15.5" x14ac:dyDescent="0.35">
      <c r="A3323" s="224" t="s">
        <v>247</v>
      </c>
      <c r="B3323" s="224" t="s">
        <v>23</v>
      </c>
      <c r="C3323" s="224" t="s">
        <v>86</v>
      </c>
      <c r="D3323" s="224" t="s">
        <v>55</v>
      </c>
      <c r="E3323" s="224" t="s">
        <v>256</v>
      </c>
      <c r="F3323" s="224" t="s">
        <v>250</v>
      </c>
      <c r="G3323" s="223" t="str">
        <f>VLOOKUP($B3323,'FRS geographical categories'!$A$2:$C$45,2,FALSE)</f>
        <v>Significantly Rural</v>
      </c>
      <c r="H3323" s="223" t="str">
        <f>VLOOKUP($B3323,'FRS geographical categories'!$A$2:$C$45,3,FALSE)</f>
        <v>Non-metropolitan</v>
      </c>
      <c r="I3323" s="224">
        <v>0</v>
      </c>
    </row>
    <row r="3324" spans="1:9" ht="15.5" x14ac:dyDescent="0.35">
      <c r="A3324" s="224" t="s">
        <v>247</v>
      </c>
      <c r="B3324" s="224" t="s">
        <v>23</v>
      </c>
      <c r="C3324" s="224" t="s">
        <v>86</v>
      </c>
      <c r="D3324" s="224" t="s">
        <v>55</v>
      </c>
      <c r="E3324" s="224" t="s">
        <v>256</v>
      </c>
      <c r="F3324" s="224" t="s">
        <v>111</v>
      </c>
      <c r="G3324" s="223" t="str">
        <f>VLOOKUP($B3324,'FRS geographical categories'!$A$2:$C$45,2,FALSE)</f>
        <v>Significantly Rural</v>
      </c>
      <c r="H3324" s="223" t="str">
        <f>VLOOKUP($B3324,'FRS geographical categories'!$A$2:$C$45,3,FALSE)</f>
        <v>Non-metropolitan</v>
      </c>
      <c r="I3324" s="224">
        <v>0</v>
      </c>
    </row>
    <row r="3325" spans="1:9" ht="15.5" x14ac:dyDescent="0.35">
      <c r="A3325" s="224" t="s">
        <v>247</v>
      </c>
      <c r="B3325" s="224" t="s">
        <v>23</v>
      </c>
      <c r="C3325" s="224" t="s">
        <v>86</v>
      </c>
      <c r="D3325" s="224" t="s">
        <v>55</v>
      </c>
      <c r="E3325" s="224" t="s">
        <v>256</v>
      </c>
      <c r="F3325" s="224" t="s">
        <v>10</v>
      </c>
      <c r="G3325" s="223" t="str">
        <f>VLOOKUP($B3325,'FRS geographical categories'!$A$2:$C$45,2,FALSE)</f>
        <v>Significantly Rural</v>
      </c>
      <c r="H3325" s="223" t="str">
        <f>VLOOKUP($B3325,'FRS geographical categories'!$A$2:$C$45,3,FALSE)</f>
        <v>Non-metropolitan</v>
      </c>
      <c r="I3325" s="224">
        <v>0</v>
      </c>
    </row>
    <row r="3326" spans="1:9" ht="15.5" x14ac:dyDescent="0.35">
      <c r="A3326" s="224" t="s">
        <v>247</v>
      </c>
      <c r="B3326" s="224" t="s">
        <v>23</v>
      </c>
      <c r="C3326" s="224" t="s">
        <v>89</v>
      </c>
      <c r="D3326" s="224" t="s">
        <v>9</v>
      </c>
      <c r="E3326" s="224" t="s">
        <v>256</v>
      </c>
      <c r="F3326" s="224" t="s">
        <v>248</v>
      </c>
      <c r="G3326" s="223" t="str">
        <f>VLOOKUP($B3326,'FRS geographical categories'!$A$2:$C$45,2,FALSE)</f>
        <v>Significantly Rural</v>
      </c>
      <c r="H3326" s="223" t="str">
        <f>VLOOKUP($B3326,'FRS geographical categories'!$A$2:$C$45,3,FALSE)</f>
        <v>Non-metropolitan</v>
      </c>
      <c r="I3326" s="224">
        <v>0</v>
      </c>
    </row>
    <row r="3327" spans="1:9" ht="15.5" x14ac:dyDescent="0.35">
      <c r="A3327" s="224" t="s">
        <v>247</v>
      </c>
      <c r="B3327" s="224" t="s">
        <v>23</v>
      </c>
      <c r="C3327" s="224" t="s">
        <v>89</v>
      </c>
      <c r="D3327" s="224" t="s">
        <v>9</v>
      </c>
      <c r="E3327" s="224" t="s">
        <v>256</v>
      </c>
      <c r="F3327" s="224" t="s">
        <v>249</v>
      </c>
      <c r="G3327" s="223" t="str">
        <f>VLOOKUP($B3327,'FRS geographical categories'!$A$2:$C$45,2,FALSE)</f>
        <v>Significantly Rural</v>
      </c>
      <c r="H3327" s="223" t="str">
        <f>VLOOKUP($B3327,'FRS geographical categories'!$A$2:$C$45,3,FALSE)</f>
        <v>Non-metropolitan</v>
      </c>
      <c r="I3327" s="224">
        <v>0</v>
      </c>
    </row>
    <row r="3328" spans="1:9" ht="15.5" x14ac:dyDescent="0.35">
      <c r="A3328" s="224" t="s">
        <v>247</v>
      </c>
      <c r="B3328" s="224" t="s">
        <v>23</v>
      </c>
      <c r="C3328" s="224" t="s">
        <v>89</v>
      </c>
      <c r="D3328" s="224" t="s">
        <v>9</v>
      </c>
      <c r="E3328" s="224" t="s">
        <v>256</v>
      </c>
      <c r="F3328" s="224" t="s">
        <v>250</v>
      </c>
      <c r="G3328" s="223" t="str">
        <f>VLOOKUP($B3328,'FRS geographical categories'!$A$2:$C$45,2,FALSE)</f>
        <v>Significantly Rural</v>
      </c>
      <c r="H3328" s="223" t="str">
        <f>VLOOKUP($B3328,'FRS geographical categories'!$A$2:$C$45,3,FALSE)</f>
        <v>Non-metropolitan</v>
      </c>
      <c r="I3328" s="224">
        <v>0</v>
      </c>
    </row>
    <row r="3329" spans="1:9" ht="15.5" x14ac:dyDescent="0.35">
      <c r="A3329" s="224" t="s">
        <v>247</v>
      </c>
      <c r="B3329" s="224" t="s">
        <v>23</v>
      </c>
      <c r="C3329" s="224" t="s">
        <v>89</v>
      </c>
      <c r="D3329" s="224" t="s">
        <v>9</v>
      </c>
      <c r="E3329" s="224" t="s">
        <v>256</v>
      </c>
      <c r="F3329" s="224" t="s">
        <v>10</v>
      </c>
      <c r="G3329" s="223" t="str">
        <f>VLOOKUP($B3329,'FRS geographical categories'!$A$2:$C$45,2,FALSE)</f>
        <v>Significantly Rural</v>
      </c>
      <c r="H3329" s="223" t="str">
        <f>VLOOKUP($B3329,'FRS geographical categories'!$A$2:$C$45,3,FALSE)</f>
        <v>Non-metropolitan</v>
      </c>
      <c r="I3329" s="224">
        <v>0</v>
      </c>
    </row>
    <row r="3330" spans="1:9" ht="15.5" x14ac:dyDescent="0.35">
      <c r="A3330" s="224" t="s">
        <v>247</v>
      </c>
      <c r="B3330" s="224" t="s">
        <v>23</v>
      </c>
      <c r="C3330" s="224" t="s">
        <v>89</v>
      </c>
      <c r="D3330" s="224" t="s">
        <v>55</v>
      </c>
      <c r="E3330" s="224" t="s">
        <v>256</v>
      </c>
      <c r="F3330" s="224" t="s">
        <v>248</v>
      </c>
      <c r="G3330" s="223" t="str">
        <f>VLOOKUP($B3330,'FRS geographical categories'!$A$2:$C$45,2,FALSE)</f>
        <v>Significantly Rural</v>
      </c>
      <c r="H3330" s="223" t="str">
        <f>VLOOKUP($B3330,'FRS geographical categories'!$A$2:$C$45,3,FALSE)</f>
        <v>Non-metropolitan</v>
      </c>
      <c r="I3330" s="224">
        <v>0</v>
      </c>
    </row>
    <row r="3331" spans="1:9" ht="15.5" x14ac:dyDescent="0.35">
      <c r="A3331" s="224" t="s">
        <v>247</v>
      </c>
      <c r="B3331" s="224" t="s">
        <v>23</v>
      </c>
      <c r="C3331" s="224" t="s">
        <v>89</v>
      </c>
      <c r="D3331" s="224" t="s">
        <v>55</v>
      </c>
      <c r="E3331" s="224" t="s">
        <v>256</v>
      </c>
      <c r="F3331" s="224" t="s">
        <v>249</v>
      </c>
      <c r="G3331" s="223" t="str">
        <f>VLOOKUP($B3331,'FRS geographical categories'!$A$2:$C$45,2,FALSE)</f>
        <v>Significantly Rural</v>
      </c>
      <c r="H3331" s="223" t="str">
        <f>VLOOKUP($B3331,'FRS geographical categories'!$A$2:$C$45,3,FALSE)</f>
        <v>Non-metropolitan</v>
      </c>
      <c r="I3331" s="224">
        <v>0</v>
      </c>
    </row>
    <row r="3332" spans="1:9" ht="15.5" x14ac:dyDescent="0.35">
      <c r="A3332" s="224" t="s">
        <v>247</v>
      </c>
      <c r="B3332" s="224" t="s">
        <v>23</v>
      </c>
      <c r="C3332" s="224" t="s">
        <v>89</v>
      </c>
      <c r="D3332" s="224" t="s">
        <v>55</v>
      </c>
      <c r="E3332" s="224" t="s">
        <v>256</v>
      </c>
      <c r="F3332" s="224" t="s">
        <v>250</v>
      </c>
      <c r="G3332" s="223" t="str">
        <f>VLOOKUP($B3332,'FRS geographical categories'!$A$2:$C$45,2,FALSE)</f>
        <v>Significantly Rural</v>
      </c>
      <c r="H3332" s="223" t="str">
        <f>VLOOKUP($B3332,'FRS geographical categories'!$A$2:$C$45,3,FALSE)</f>
        <v>Non-metropolitan</v>
      </c>
      <c r="I3332" s="224">
        <v>0</v>
      </c>
    </row>
    <row r="3333" spans="1:9" ht="15.5" x14ac:dyDescent="0.35">
      <c r="A3333" s="224" t="s">
        <v>247</v>
      </c>
      <c r="B3333" s="224" t="s">
        <v>23</v>
      </c>
      <c r="C3333" s="224" t="s">
        <v>89</v>
      </c>
      <c r="D3333" s="224" t="s">
        <v>55</v>
      </c>
      <c r="E3333" s="224" t="s">
        <v>256</v>
      </c>
      <c r="F3333" s="224" t="s">
        <v>10</v>
      </c>
      <c r="G3333" s="223" t="str">
        <f>VLOOKUP($B3333,'FRS geographical categories'!$A$2:$C$45,2,FALSE)</f>
        <v>Significantly Rural</v>
      </c>
      <c r="H3333" s="223" t="str">
        <f>VLOOKUP($B3333,'FRS geographical categories'!$A$2:$C$45,3,FALSE)</f>
        <v>Non-metropolitan</v>
      </c>
      <c r="I3333" s="224">
        <v>0</v>
      </c>
    </row>
    <row r="3334" spans="1:9" ht="15.5" x14ac:dyDescent="0.35">
      <c r="A3334" s="224" t="s">
        <v>247</v>
      </c>
      <c r="B3334" s="224" t="s">
        <v>24</v>
      </c>
      <c r="C3334" s="224" t="s">
        <v>86</v>
      </c>
      <c r="D3334" s="224" t="s">
        <v>9</v>
      </c>
      <c r="E3334" s="224" t="s">
        <v>256</v>
      </c>
      <c r="F3334" s="224" t="s">
        <v>248</v>
      </c>
      <c r="G3334" s="223" t="str">
        <f>VLOOKUP($B3334,'FRS geographical categories'!$A$2:$C$45,2,FALSE)</f>
        <v>Significantly Rural</v>
      </c>
      <c r="H3334" s="223" t="str">
        <f>VLOOKUP($B3334,'FRS geographical categories'!$A$2:$C$45,3,FALSE)</f>
        <v>Non-metropolitan</v>
      </c>
      <c r="I3334" s="224">
        <v>762</v>
      </c>
    </row>
    <row r="3335" spans="1:9" ht="15.5" x14ac:dyDescent="0.35">
      <c r="A3335" s="224" t="s">
        <v>247</v>
      </c>
      <c r="B3335" s="224" t="s">
        <v>24</v>
      </c>
      <c r="C3335" s="224" t="s">
        <v>86</v>
      </c>
      <c r="D3335" s="224" t="s">
        <v>9</v>
      </c>
      <c r="E3335" s="224" t="s">
        <v>256</v>
      </c>
      <c r="F3335" s="224" t="s">
        <v>249</v>
      </c>
      <c r="G3335" s="223" t="str">
        <f>VLOOKUP($B3335,'FRS geographical categories'!$A$2:$C$45,2,FALSE)</f>
        <v>Significantly Rural</v>
      </c>
      <c r="H3335" s="223" t="str">
        <f>VLOOKUP($B3335,'FRS geographical categories'!$A$2:$C$45,3,FALSE)</f>
        <v>Non-metropolitan</v>
      </c>
      <c r="I3335" s="224">
        <v>3775</v>
      </c>
    </row>
    <row r="3336" spans="1:9" ht="15.5" x14ac:dyDescent="0.35">
      <c r="A3336" s="224" t="s">
        <v>247</v>
      </c>
      <c r="B3336" s="224" t="s">
        <v>24</v>
      </c>
      <c r="C3336" s="224" t="s">
        <v>86</v>
      </c>
      <c r="D3336" s="224" t="s">
        <v>9</v>
      </c>
      <c r="E3336" s="224" t="s">
        <v>256</v>
      </c>
      <c r="F3336" s="224" t="s">
        <v>250</v>
      </c>
      <c r="G3336" s="223" t="str">
        <f>VLOOKUP($B3336,'FRS geographical categories'!$A$2:$C$45,2,FALSE)</f>
        <v>Significantly Rural</v>
      </c>
      <c r="H3336" s="223" t="str">
        <f>VLOOKUP($B3336,'FRS geographical categories'!$A$2:$C$45,3,FALSE)</f>
        <v>Non-metropolitan</v>
      </c>
      <c r="I3336" s="224">
        <v>2839</v>
      </c>
    </row>
    <row r="3337" spans="1:9" ht="15.5" x14ac:dyDescent="0.35">
      <c r="A3337" s="224" t="s">
        <v>247</v>
      </c>
      <c r="B3337" s="224" t="s">
        <v>24</v>
      </c>
      <c r="C3337" s="224" t="s">
        <v>86</v>
      </c>
      <c r="D3337" s="224" t="s">
        <v>9</v>
      </c>
      <c r="E3337" s="224" t="s">
        <v>256</v>
      </c>
      <c r="F3337" s="224" t="s">
        <v>111</v>
      </c>
      <c r="G3337" s="223" t="str">
        <f>VLOOKUP($B3337,'FRS geographical categories'!$A$2:$C$45,2,FALSE)</f>
        <v>Significantly Rural</v>
      </c>
      <c r="H3337" s="223" t="str">
        <f>VLOOKUP($B3337,'FRS geographical categories'!$A$2:$C$45,3,FALSE)</f>
        <v>Non-metropolitan</v>
      </c>
      <c r="I3337" s="224">
        <v>8304</v>
      </c>
    </row>
    <row r="3338" spans="1:9" ht="15.5" x14ac:dyDescent="0.35">
      <c r="A3338" s="224" t="s">
        <v>247</v>
      </c>
      <c r="B3338" s="224" t="s">
        <v>24</v>
      </c>
      <c r="C3338" s="224" t="s">
        <v>86</v>
      </c>
      <c r="D3338" s="224" t="s">
        <v>9</v>
      </c>
      <c r="E3338" s="224" t="s">
        <v>256</v>
      </c>
      <c r="F3338" s="224" t="s">
        <v>10</v>
      </c>
      <c r="G3338" s="223" t="str">
        <f>VLOOKUP($B3338,'FRS geographical categories'!$A$2:$C$45,2,FALSE)</f>
        <v>Significantly Rural</v>
      </c>
      <c r="H3338" s="223" t="str">
        <f>VLOOKUP($B3338,'FRS geographical categories'!$A$2:$C$45,3,FALSE)</f>
        <v>Non-metropolitan</v>
      </c>
      <c r="I3338" s="224">
        <v>10111</v>
      </c>
    </row>
    <row r="3339" spans="1:9" ht="15.5" x14ac:dyDescent="0.35">
      <c r="A3339" s="224" t="s">
        <v>247</v>
      </c>
      <c r="B3339" s="224" t="s">
        <v>24</v>
      </c>
      <c r="C3339" s="224" t="s">
        <v>86</v>
      </c>
      <c r="D3339" s="224" t="s">
        <v>55</v>
      </c>
      <c r="E3339" s="224" t="s">
        <v>256</v>
      </c>
      <c r="F3339" s="224" t="s">
        <v>248</v>
      </c>
      <c r="G3339" s="223" t="str">
        <f>VLOOKUP($B3339,'FRS geographical categories'!$A$2:$C$45,2,FALSE)</f>
        <v>Significantly Rural</v>
      </c>
      <c r="H3339" s="223" t="str">
        <f>VLOOKUP($B3339,'FRS geographical categories'!$A$2:$C$45,3,FALSE)</f>
        <v>Non-metropolitan</v>
      </c>
      <c r="I3339" s="224">
        <v>0</v>
      </c>
    </row>
    <row r="3340" spans="1:9" ht="15.5" x14ac:dyDescent="0.35">
      <c r="A3340" s="224" t="s">
        <v>247</v>
      </c>
      <c r="B3340" s="224" t="s">
        <v>24</v>
      </c>
      <c r="C3340" s="224" t="s">
        <v>86</v>
      </c>
      <c r="D3340" s="224" t="s">
        <v>55</v>
      </c>
      <c r="E3340" s="224" t="s">
        <v>256</v>
      </c>
      <c r="F3340" s="224" t="s">
        <v>249</v>
      </c>
      <c r="G3340" s="223" t="str">
        <f>VLOOKUP($B3340,'FRS geographical categories'!$A$2:$C$45,2,FALSE)</f>
        <v>Significantly Rural</v>
      </c>
      <c r="H3340" s="223" t="str">
        <f>VLOOKUP($B3340,'FRS geographical categories'!$A$2:$C$45,3,FALSE)</f>
        <v>Non-metropolitan</v>
      </c>
      <c r="I3340" s="224">
        <v>0</v>
      </c>
    </row>
    <row r="3341" spans="1:9" ht="15.5" x14ac:dyDescent="0.35">
      <c r="A3341" s="224" t="s">
        <v>247</v>
      </c>
      <c r="B3341" s="224" t="s">
        <v>24</v>
      </c>
      <c r="C3341" s="224" t="s">
        <v>86</v>
      </c>
      <c r="D3341" s="224" t="s">
        <v>55</v>
      </c>
      <c r="E3341" s="224" t="s">
        <v>256</v>
      </c>
      <c r="F3341" s="224" t="s">
        <v>250</v>
      </c>
      <c r="G3341" s="223" t="str">
        <f>VLOOKUP($B3341,'FRS geographical categories'!$A$2:$C$45,2,FALSE)</f>
        <v>Significantly Rural</v>
      </c>
      <c r="H3341" s="223" t="str">
        <f>VLOOKUP($B3341,'FRS geographical categories'!$A$2:$C$45,3,FALSE)</f>
        <v>Non-metropolitan</v>
      </c>
      <c r="I3341" s="224">
        <v>0</v>
      </c>
    </row>
    <row r="3342" spans="1:9" ht="15.5" x14ac:dyDescent="0.35">
      <c r="A3342" s="224" t="s">
        <v>247</v>
      </c>
      <c r="B3342" s="224" t="s">
        <v>24</v>
      </c>
      <c r="C3342" s="224" t="s">
        <v>86</v>
      </c>
      <c r="D3342" s="224" t="s">
        <v>55</v>
      </c>
      <c r="E3342" s="224" t="s">
        <v>256</v>
      </c>
      <c r="F3342" s="224" t="s">
        <v>111</v>
      </c>
      <c r="G3342" s="223" t="str">
        <f>VLOOKUP($B3342,'FRS geographical categories'!$A$2:$C$45,2,FALSE)</f>
        <v>Significantly Rural</v>
      </c>
      <c r="H3342" s="223" t="str">
        <f>VLOOKUP($B3342,'FRS geographical categories'!$A$2:$C$45,3,FALSE)</f>
        <v>Non-metropolitan</v>
      </c>
      <c r="I3342" s="224">
        <v>0</v>
      </c>
    </row>
    <row r="3343" spans="1:9" ht="15.5" x14ac:dyDescent="0.35">
      <c r="A3343" s="224" t="s">
        <v>247</v>
      </c>
      <c r="B3343" s="224" t="s">
        <v>24</v>
      </c>
      <c r="C3343" s="224" t="s">
        <v>86</v>
      </c>
      <c r="D3343" s="224" t="s">
        <v>55</v>
      </c>
      <c r="E3343" s="224" t="s">
        <v>256</v>
      </c>
      <c r="F3343" s="224" t="s">
        <v>10</v>
      </c>
      <c r="G3343" s="223" t="str">
        <f>VLOOKUP($B3343,'FRS geographical categories'!$A$2:$C$45,2,FALSE)</f>
        <v>Significantly Rural</v>
      </c>
      <c r="H3343" s="223" t="str">
        <f>VLOOKUP($B3343,'FRS geographical categories'!$A$2:$C$45,3,FALSE)</f>
        <v>Non-metropolitan</v>
      </c>
      <c r="I3343" s="224">
        <v>0</v>
      </c>
    </row>
    <row r="3344" spans="1:9" ht="15.5" x14ac:dyDescent="0.35">
      <c r="A3344" s="224" t="s">
        <v>247</v>
      </c>
      <c r="B3344" s="224" t="s">
        <v>24</v>
      </c>
      <c r="C3344" s="224" t="s">
        <v>89</v>
      </c>
      <c r="D3344" s="224" t="s">
        <v>9</v>
      </c>
      <c r="E3344" s="224" t="s">
        <v>256</v>
      </c>
      <c r="F3344" s="224" t="s">
        <v>248</v>
      </c>
      <c r="G3344" s="223" t="str">
        <f>VLOOKUP($B3344,'FRS geographical categories'!$A$2:$C$45,2,FALSE)</f>
        <v>Significantly Rural</v>
      </c>
      <c r="H3344" s="223" t="str">
        <f>VLOOKUP($B3344,'FRS geographical categories'!$A$2:$C$45,3,FALSE)</f>
        <v>Non-metropolitan</v>
      </c>
      <c r="I3344" s="224">
        <v>0</v>
      </c>
    </row>
    <row r="3345" spans="1:9" ht="15.5" x14ac:dyDescent="0.35">
      <c r="A3345" s="224" t="s">
        <v>247</v>
      </c>
      <c r="B3345" s="224" t="s">
        <v>24</v>
      </c>
      <c r="C3345" s="224" t="s">
        <v>89</v>
      </c>
      <c r="D3345" s="224" t="s">
        <v>9</v>
      </c>
      <c r="E3345" s="224" t="s">
        <v>256</v>
      </c>
      <c r="F3345" s="224" t="s">
        <v>249</v>
      </c>
      <c r="G3345" s="223" t="str">
        <f>VLOOKUP($B3345,'FRS geographical categories'!$A$2:$C$45,2,FALSE)</f>
        <v>Significantly Rural</v>
      </c>
      <c r="H3345" s="223" t="str">
        <f>VLOOKUP($B3345,'FRS geographical categories'!$A$2:$C$45,3,FALSE)</f>
        <v>Non-metropolitan</v>
      </c>
      <c r="I3345" s="224">
        <v>0</v>
      </c>
    </row>
    <row r="3346" spans="1:9" ht="15.5" x14ac:dyDescent="0.35">
      <c r="A3346" s="224" t="s">
        <v>247</v>
      </c>
      <c r="B3346" s="224" t="s">
        <v>24</v>
      </c>
      <c r="C3346" s="224" t="s">
        <v>89</v>
      </c>
      <c r="D3346" s="224" t="s">
        <v>9</v>
      </c>
      <c r="E3346" s="224" t="s">
        <v>256</v>
      </c>
      <c r="F3346" s="224" t="s">
        <v>250</v>
      </c>
      <c r="G3346" s="223" t="str">
        <f>VLOOKUP($B3346,'FRS geographical categories'!$A$2:$C$45,2,FALSE)</f>
        <v>Significantly Rural</v>
      </c>
      <c r="H3346" s="223" t="str">
        <f>VLOOKUP($B3346,'FRS geographical categories'!$A$2:$C$45,3,FALSE)</f>
        <v>Non-metropolitan</v>
      </c>
      <c r="I3346" s="224">
        <v>0</v>
      </c>
    </row>
    <row r="3347" spans="1:9" ht="15.5" x14ac:dyDescent="0.35">
      <c r="A3347" s="224" t="s">
        <v>247</v>
      </c>
      <c r="B3347" s="224" t="s">
        <v>24</v>
      </c>
      <c r="C3347" s="224" t="s">
        <v>89</v>
      </c>
      <c r="D3347" s="224" t="s">
        <v>9</v>
      </c>
      <c r="E3347" s="224" t="s">
        <v>256</v>
      </c>
      <c r="F3347" s="224" t="s">
        <v>10</v>
      </c>
      <c r="G3347" s="223" t="str">
        <f>VLOOKUP($B3347,'FRS geographical categories'!$A$2:$C$45,2,FALSE)</f>
        <v>Significantly Rural</v>
      </c>
      <c r="H3347" s="223" t="str">
        <f>VLOOKUP($B3347,'FRS geographical categories'!$A$2:$C$45,3,FALSE)</f>
        <v>Non-metropolitan</v>
      </c>
      <c r="I3347" s="224">
        <v>0</v>
      </c>
    </row>
    <row r="3348" spans="1:9" ht="15.5" x14ac:dyDescent="0.35">
      <c r="A3348" s="224" t="s">
        <v>247</v>
      </c>
      <c r="B3348" s="224" t="s">
        <v>24</v>
      </c>
      <c r="C3348" s="224" t="s">
        <v>89</v>
      </c>
      <c r="D3348" s="224" t="s">
        <v>55</v>
      </c>
      <c r="E3348" s="224" t="s">
        <v>256</v>
      </c>
      <c r="F3348" s="224" t="s">
        <v>248</v>
      </c>
      <c r="G3348" s="223" t="str">
        <f>VLOOKUP($B3348,'FRS geographical categories'!$A$2:$C$45,2,FALSE)</f>
        <v>Significantly Rural</v>
      </c>
      <c r="H3348" s="223" t="str">
        <f>VLOOKUP($B3348,'FRS geographical categories'!$A$2:$C$45,3,FALSE)</f>
        <v>Non-metropolitan</v>
      </c>
      <c r="I3348" s="224">
        <v>0</v>
      </c>
    </row>
    <row r="3349" spans="1:9" ht="15.5" x14ac:dyDescent="0.35">
      <c r="A3349" s="224" t="s">
        <v>247</v>
      </c>
      <c r="B3349" s="224" t="s">
        <v>24</v>
      </c>
      <c r="C3349" s="224" t="s">
        <v>89</v>
      </c>
      <c r="D3349" s="224" t="s">
        <v>55</v>
      </c>
      <c r="E3349" s="224" t="s">
        <v>256</v>
      </c>
      <c r="F3349" s="224" t="s">
        <v>249</v>
      </c>
      <c r="G3349" s="223" t="str">
        <f>VLOOKUP($B3349,'FRS geographical categories'!$A$2:$C$45,2,FALSE)</f>
        <v>Significantly Rural</v>
      </c>
      <c r="H3349" s="223" t="str">
        <f>VLOOKUP($B3349,'FRS geographical categories'!$A$2:$C$45,3,FALSE)</f>
        <v>Non-metropolitan</v>
      </c>
      <c r="I3349" s="224">
        <v>0</v>
      </c>
    </row>
    <row r="3350" spans="1:9" ht="15.5" x14ac:dyDescent="0.35">
      <c r="A3350" s="224" t="s">
        <v>247</v>
      </c>
      <c r="B3350" s="224" t="s">
        <v>24</v>
      </c>
      <c r="C3350" s="224" t="s">
        <v>89</v>
      </c>
      <c r="D3350" s="224" t="s">
        <v>55</v>
      </c>
      <c r="E3350" s="224" t="s">
        <v>256</v>
      </c>
      <c r="F3350" s="224" t="s">
        <v>250</v>
      </c>
      <c r="G3350" s="223" t="str">
        <f>VLOOKUP($B3350,'FRS geographical categories'!$A$2:$C$45,2,FALSE)</f>
        <v>Significantly Rural</v>
      </c>
      <c r="H3350" s="223" t="str">
        <f>VLOOKUP($B3350,'FRS geographical categories'!$A$2:$C$45,3,FALSE)</f>
        <v>Non-metropolitan</v>
      </c>
      <c r="I3350" s="224">
        <v>0</v>
      </c>
    </row>
    <row r="3351" spans="1:9" ht="15.5" x14ac:dyDescent="0.35">
      <c r="A3351" s="224" t="s">
        <v>247</v>
      </c>
      <c r="B3351" s="224" t="s">
        <v>24</v>
      </c>
      <c r="C3351" s="224" t="s">
        <v>89</v>
      </c>
      <c r="D3351" s="224" t="s">
        <v>55</v>
      </c>
      <c r="E3351" s="224" t="s">
        <v>256</v>
      </c>
      <c r="F3351" s="224" t="s">
        <v>10</v>
      </c>
      <c r="G3351" s="223" t="str">
        <f>VLOOKUP($B3351,'FRS geographical categories'!$A$2:$C$45,2,FALSE)</f>
        <v>Significantly Rural</v>
      </c>
      <c r="H3351" s="223" t="str">
        <f>VLOOKUP($B3351,'FRS geographical categories'!$A$2:$C$45,3,FALSE)</f>
        <v>Non-metropolitan</v>
      </c>
      <c r="I3351" s="224">
        <v>0</v>
      </c>
    </row>
    <row r="3352" spans="1:9" ht="15.5" x14ac:dyDescent="0.35">
      <c r="A3352" s="224" t="s">
        <v>247</v>
      </c>
      <c r="B3352" s="224" t="s">
        <v>25</v>
      </c>
      <c r="C3352" s="224" t="s">
        <v>86</v>
      </c>
      <c r="D3352" s="224" t="s">
        <v>9</v>
      </c>
      <c r="E3352" s="224" t="s">
        <v>256</v>
      </c>
      <c r="F3352" s="224" t="s">
        <v>248</v>
      </c>
      <c r="G3352" s="223" t="str">
        <f>VLOOKUP($B3352,'FRS geographical categories'!$A$2:$C$45,2,FALSE)</f>
        <v>Significantly Rural</v>
      </c>
      <c r="H3352" s="223" t="str">
        <f>VLOOKUP($B3352,'FRS geographical categories'!$A$2:$C$45,3,FALSE)</f>
        <v>Non-metropolitan</v>
      </c>
      <c r="I3352" s="224">
        <v>595</v>
      </c>
    </row>
    <row r="3353" spans="1:9" ht="15.5" x14ac:dyDescent="0.35">
      <c r="A3353" s="224" t="s">
        <v>247</v>
      </c>
      <c r="B3353" s="224" t="s">
        <v>25</v>
      </c>
      <c r="C3353" s="224" t="s">
        <v>86</v>
      </c>
      <c r="D3353" s="224" t="s">
        <v>9</v>
      </c>
      <c r="E3353" s="224" t="s">
        <v>256</v>
      </c>
      <c r="F3353" s="224" t="s">
        <v>249</v>
      </c>
      <c r="G3353" s="223" t="str">
        <f>VLOOKUP($B3353,'FRS geographical categories'!$A$2:$C$45,2,FALSE)</f>
        <v>Significantly Rural</v>
      </c>
      <c r="H3353" s="223" t="str">
        <f>VLOOKUP($B3353,'FRS geographical categories'!$A$2:$C$45,3,FALSE)</f>
        <v>Non-metropolitan</v>
      </c>
      <c r="I3353" s="224">
        <v>1041</v>
      </c>
    </row>
    <row r="3354" spans="1:9" ht="15.5" x14ac:dyDescent="0.35">
      <c r="A3354" s="224" t="s">
        <v>247</v>
      </c>
      <c r="B3354" s="224" t="s">
        <v>25</v>
      </c>
      <c r="C3354" s="224" t="s">
        <v>86</v>
      </c>
      <c r="D3354" s="224" t="s">
        <v>9</v>
      </c>
      <c r="E3354" s="224" t="s">
        <v>256</v>
      </c>
      <c r="F3354" s="224" t="s">
        <v>250</v>
      </c>
      <c r="G3354" s="223" t="str">
        <f>VLOOKUP($B3354,'FRS geographical categories'!$A$2:$C$45,2,FALSE)</f>
        <v>Significantly Rural</v>
      </c>
      <c r="H3354" s="223" t="str">
        <f>VLOOKUP($B3354,'FRS geographical categories'!$A$2:$C$45,3,FALSE)</f>
        <v>Non-metropolitan</v>
      </c>
      <c r="I3354" s="224">
        <v>1041</v>
      </c>
    </row>
    <row r="3355" spans="1:9" ht="15.5" x14ac:dyDescent="0.35">
      <c r="A3355" s="224" t="s">
        <v>247</v>
      </c>
      <c r="B3355" s="224" t="s">
        <v>25</v>
      </c>
      <c r="C3355" s="224" t="s">
        <v>86</v>
      </c>
      <c r="D3355" s="224" t="s">
        <v>9</v>
      </c>
      <c r="E3355" s="224" t="s">
        <v>256</v>
      </c>
      <c r="F3355" s="224" t="s">
        <v>111</v>
      </c>
      <c r="G3355" s="223" t="str">
        <f>VLOOKUP($B3355,'FRS geographical categories'!$A$2:$C$45,2,FALSE)</f>
        <v>Significantly Rural</v>
      </c>
      <c r="H3355" s="223" t="str">
        <f>VLOOKUP($B3355,'FRS geographical categories'!$A$2:$C$45,3,FALSE)</f>
        <v>Non-metropolitan</v>
      </c>
      <c r="I3355" s="224">
        <v>4372</v>
      </c>
    </row>
    <row r="3356" spans="1:9" ht="15.5" x14ac:dyDescent="0.35">
      <c r="A3356" s="224" t="s">
        <v>247</v>
      </c>
      <c r="B3356" s="224" t="s">
        <v>25</v>
      </c>
      <c r="C3356" s="224" t="s">
        <v>86</v>
      </c>
      <c r="D3356" s="224" t="s">
        <v>9</v>
      </c>
      <c r="E3356" s="224" t="s">
        <v>256</v>
      </c>
      <c r="F3356" s="224" t="s">
        <v>10</v>
      </c>
      <c r="G3356" s="223" t="str">
        <f>VLOOKUP($B3356,'FRS geographical categories'!$A$2:$C$45,2,FALSE)</f>
        <v>Significantly Rural</v>
      </c>
      <c r="H3356" s="223" t="str">
        <f>VLOOKUP($B3356,'FRS geographical categories'!$A$2:$C$45,3,FALSE)</f>
        <v>Non-metropolitan</v>
      </c>
      <c r="I3356" s="224">
        <v>5180</v>
      </c>
    </row>
    <row r="3357" spans="1:9" ht="15.5" x14ac:dyDescent="0.35">
      <c r="A3357" s="224" t="s">
        <v>247</v>
      </c>
      <c r="B3357" s="224" t="s">
        <v>25</v>
      </c>
      <c r="C3357" s="224" t="s">
        <v>86</v>
      </c>
      <c r="D3357" s="224" t="s">
        <v>55</v>
      </c>
      <c r="E3357" s="224" t="s">
        <v>256</v>
      </c>
      <c r="F3357" s="224" t="s">
        <v>248</v>
      </c>
      <c r="G3357" s="223" t="str">
        <f>VLOOKUP($B3357,'FRS geographical categories'!$A$2:$C$45,2,FALSE)</f>
        <v>Significantly Rural</v>
      </c>
      <c r="H3357" s="223" t="str">
        <f>VLOOKUP($B3357,'FRS geographical categories'!$A$2:$C$45,3,FALSE)</f>
        <v>Non-metropolitan</v>
      </c>
      <c r="I3357" s="224">
        <v>6</v>
      </c>
    </row>
    <row r="3358" spans="1:9" ht="15.5" x14ac:dyDescent="0.35">
      <c r="A3358" s="224" t="s">
        <v>247</v>
      </c>
      <c r="B3358" s="224" t="s">
        <v>25</v>
      </c>
      <c r="C3358" s="224" t="s">
        <v>86</v>
      </c>
      <c r="D3358" s="224" t="s">
        <v>55</v>
      </c>
      <c r="E3358" s="224" t="s">
        <v>256</v>
      </c>
      <c r="F3358" s="224" t="s">
        <v>249</v>
      </c>
      <c r="G3358" s="223" t="str">
        <f>VLOOKUP($B3358,'FRS geographical categories'!$A$2:$C$45,2,FALSE)</f>
        <v>Significantly Rural</v>
      </c>
      <c r="H3358" s="223" t="str">
        <f>VLOOKUP($B3358,'FRS geographical categories'!$A$2:$C$45,3,FALSE)</f>
        <v>Non-metropolitan</v>
      </c>
      <c r="I3358" s="224">
        <v>10</v>
      </c>
    </row>
    <row r="3359" spans="1:9" ht="15.5" x14ac:dyDescent="0.35">
      <c r="A3359" s="224" t="s">
        <v>247</v>
      </c>
      <c r="B3359" s="224" t="s">
        <v>25</v>
      </c>
      <c r="C3359" s="224" t="s">
        <v>86</v>
      </c>
      <c r="D3359" s="224" t="s">
        <v>55</v>
      </c>
      <c r="E3359" s="224" t="s">
        <v>256</v>
      </c>
      <c r="F3359" s="224" t="s">
        <v>250</v>
      </c>
      <c r="G3359" s="223" t="str">
        <f>VLOOKUP($B3359,'FRS geographical categories'!$A$2:$C$45,2,FALSE)</f>
        <v>Significantly Rural</v>
      </c>
      <c r="H3359" s="223" t="str">
        <f>VLOOKUP($B3359,'FRS geographical categories'!$A$2:$C$45,3,FALSE)</f>
        <v>Non-metropolitan</v>
      </c>
      <c r="I3359" s="224">
        <v>5</v>
      </c>
    </row>
    <row r="3360" spans="1:9" ht="15.5" x14ac:dyDescent="0.35">
      <c r="A3360" s="224" t="s">
        <v>247</v>
      </c>
      <c r="B3360" s="224" t="s">
        <v>25</v>
      </c>
      <c r="C3360" s="224" t="s">
        <v>86</v>
      </c>
      <c r="D3360" s="224" t="s">
        <v>55</v>
      </c>
      <c r="E3360" s="224" t="s">
        <v>256</v>
      </c>
      <c r="F3360" s="224" t="s">
        <v>111</v>
      </c>
      <c r="G3360" s="223" t="str">
        <f>VLOOKUP($B3360,'FRS geographical categories'!$A$2:$C$45,2,FALSE)</f>
        <v>Significantly Rural</v>
      </c>
      <c r="H3360" s="223" t="str">
        <f>VLOOKUP($B3360,'FRS geographical categories'!$A$2:$C$45,3,FALSE)</f>
        <v>Non-metropolitan</v>
      </c>
      <c r="I3360" s="224">
        <v>24</v>
      </c>
    </row>
    <row r="3361" spans="1:9" ht="15.5" x14ac:dyDescent="0.35">
      <c r="A3361" s="224" t="s">
        <v>247</v>
      </c>
      <c r="B3361" s="224" t="s">
        <v>25</v>
      </c>
      <c r="C3361" s="224" t="s">
        <v>86</v>
      </c>
      <c r="D3361" s="224" t="s">
        <v>55</v>
      </c>
      <c r="E3361" s="224" t="s">
        <v>256</v>
      </c>
      <c r="F3361" s="224" t="s">
        <v>10</v>
      </c>
      <c r="G3361" s="223" t="str">
        <f>VLOOKUP($B3361,'FRS geographical categories'!$A$2:$C$45,2,FALSE)</f>
        <v>Significantly Rural</v>
      </c>
      <c r="H3361" s="223" t="str">
        <f>VLOOKUP($B3361,'FRS geographical categories'!$A$2:$C$45,3,FALSE)</f>
        <v>Non-metropolitan</v>
      </c>
      <c r="I3361" s="224">
        <v>42</v>
      </c>
    </row>
    <row r="3362" spans="1:9" ht="15.5" x14ac:dyDescent="0.35">
      <c r="A3362" s="224" t="s">
        <v>247</v>
      </c>
      <c r="B3362" s="224" t="s">
        <v>25</v>
      </c>
      <c r="C3362" s="224" t="s">
        <v>89</v>
      </c>
      <c r="D3362" s="224" t="s">
        <v>9</v>
      </c>
      <c r="E3362" s="224" t="s">
        <v>256</v>
      </c>
      <c r="F3362" s="224" t="s">
        <v>248</v>
      </c>
      <c r="G3362" s="223" t="str">
        <f>VLOOKUP($B3362,'FRS geographical categories'!$A$2:$C$45,2,FALSE)</f>
        <v>Significantly Rural</v>
      </c>
      <c r="H3362" s="223" t="str">
        <f>VLOOKUP($B3362,'FRS geographical categories'!$A$2:$C$45,3,FALSE)</f>
        <v>Non-metropolitan</v>
      </c>
      <c r="I3362" s="224">
        <v>0</v>
      </c>
    </row>
    <row r="3363" spans="1:9" ht="15.5" x14ac:dyDescent="0.35">
      <c r="A3363" s="224" t="s">
        <v>247</v>
      </c>
      <c r="B3363" s="224" t="s">
        <v>25</v>
      </c>
      <c r="C3363" s="224" t="s">
        <v>89</v>
      </c>
      <c r="D3363" s="224" t="s">
        <v>9</v>
      </c>
      <c r="E3363" s="224" t="s">
        <v>256</v>
      </c>
      <c r="F3363" s="224" t="s">
        <v>249</v>
      </c>
      <c r="G3363" s="223" t="str">
        <f>VLOOKUP($B3363,'FRS geographical categories'!$A$2:$C$45,2,FALSE)</f>
        <v>Significantly Rural</v>
      </c>
      <c r="H3363" s="223" t="str">
        <f>VLOOKUP($B3363,'FRS geographical categories'!$A$2:$C$45,3,FALSE)</f>
        <v>Non-metropolitan</v>
      </c>
      <c r="I3363" s="224">
        <v>0</v>
      </c>
    </row>
    <row r="3364" spans="1:9" ht="15.5" x14ac:dyDescent="0.35">
      <c r="A3364" s="224" t="s">
        <v>247</v>
      </c>
      <c r="B3364" s="224" t="s">
        <v>25</v>
      </c>
      <c r="C3364" s="224" t="s">
        <v>89</v>
      </c>
      <c r="D3364" s="224" t="s">
        <v>9</v>
      </c>
      <c r="E3364" s="224" t="s">
        <v>256</v>
      </c>
      <c r="F3364" s="224" t="s">
        <v>250</v>
      </c>
      <c r="G3364" s="223" t="str">
        <f>VLOOKUP($B3364,'FRS geographical categories'!$A$2:$C$45,2,FALSE)</f>
        <v>Significantly Rural</v>
      </c>
      <c r="H3364" s="223" t="str">
        <f>VLOOKUP($B3364,'FRS geographical categories'!$A$2:$C$45,3,FALSE)</f>
        <v>Non-metropolitan</v>
      </c>
      <c r="I3364" s="224">
        <v>0</v>
      </c>
    </row>
    <row r="3365" spans="1:9" ht="15.5" x14ac:dyDescent="0.35">
      <c r="A3365" s="224" t="s">
        <v>247</v>
      </c>
      <c r="B3365" s="224" t="s">
        <v>25</v>
      </c>
      <c r="C3365" s="224" t="s">
        <v>89</v>
      </c>
      <c r="D3365" s="224" t="s">
        <v>9</v>
      </c>
      <c r="E3365" s="224" t="s">
        <v>256</v>
      </c>
      <c r="F3365" s="224" t="s">
        <v>10</v>
      </c>
      <c r="G3365" s="223" t="str">
        <f>VLOOKUP($B3365,'FRS geographical categories'!$A$2:$C$45,2,FALSE)</f>
        <v>Significantly Rural</v>
      </c>
      <c r="H3365" s="223" t="str">
        <f>VLOOKUP($B3365,'FRS geographical categories'!$A$2:$C$45,3,FALSE)</f>
        <v>Non-metropolitan</v>
      </c>
      <c r="I3365" s="224">
        <v>0</v>
      </c>
    </row>
    <row r="3366" spans="1:9" ht="15.5" x14ac:dyDescent="0.35">
      <c r="A3366" s="224" t="s">
        <v>247</v>
      </c>
      <c r="B3366" s="224" t="s">
        <v>25</v>
      </c>
      <c r="C3366" s="224" t="s">
        <v>89</v>
      </c>
      <c r="D3366" s="224" t="s">
        <v>55</v>
      </c>
      <c r="E3366" s="224" t="s">
        <v>256</v>
      </c>
      <c r="F3366" s="224" t="s">
        <v>248</v>
      </c>
      <c r="G3366" s="223" t="str">
        <f>VLOOKUP($B3366,'FRS geographical categories'!$A$2:$C$45,2,FALSE)</f>
        <v>Significantly Rural</v>
      </c>
      <c r="H3366" s="223" t="str">
        <f>VLOOKUP($B3366,'FRS geographical categories'!$A$2:$C$45,3,FALSE)</f>
        <v>Non-metropolitan</v>
      </c>
      <c r="I3366" s="224">
        <v>0</v>
      </c>
    </row>
    <row r="3367" spans="1:9" ht="15.5" x14ac:dyDescent="0.35">
      <c r="A3367" s="224" t="s">
        <v>247</v>
      </c>
      <c r="B3367" s="224" t="s">
        <v>25</v>
      </c>
      <c r="C3367" s="224" t="s">
        <v>89</v>
      </c>
      <c r="D3367" s="224" t="s">
        <v>55</v>
      </c>
      <c r="E3367" s="224" t="s">
        <v>256</v>
      </c>
      <c r="F3367" s="224" t="s">
        <v>249</v>
      </c>
      <c r="G3367" s="223" t="str">
        <f>VLOOKUP($B3367,'FRS geographical categories'!$A$2:$C$45,2,FALSE)</f>
        <v>Significantly Rural</v>
      </c>
      <c r="H3367" s="223" t="str">
        <f>VLOOKUP($B3367,'FRS geographical categories'!$A$2:$C$45,3,FALSE)</f>
        <v>Non-metropolitan</v>
      </c>
      <c r="I3367" s="224">
        <v>0</v>
      </c>
    </row>
    <row r="3368" spans="1:9" ht="15.5" x14ac:dyDescent="0.35">
      <c r="A3368" s="224" t="s">
        <v>247</v>
      </c>
      <c r="B3368" s="224" t="s">
        <v>25</v>
      </c>
      <c r="C3368" s="224" t="s">
        <v>89</v>
      </c>
      <c r="D3368" s="224" t="s">
        <v>55</v>
      </c>
      <c r="E3368" s="224" t="s">
        <v>256</v>
      </c>
      <c r="F3368" s="224" t="s">
        <v>250</v>
      </c>
      <c r="G3368" s="223" t="str">
        <f>VLOOKUP($B3368,'FRS geographical categories'!$A$2:$C$45,2,FALSE)</f>
        <v>Significantly Rural</v>
      </c>
      <c r="H3368" s="223" t="str">
        <f>VLOOKUP($B3368,'FRS geographical categories'!$A$2:$C$45,3,FALSE)</f>
        <v>Non-metropolitan</v>
      </c>
      <c r="I3368" s="224">
        <v>0</v>
      </c>
    </row>
    <row r="3369" spans="1:9" ht="15.5" x14ac:dyDescent="0.35">
      <c r="A3369" s="224" t="s">
        <v>247</v>
      </c>
      <c r="B3369" s="224" t="s">
        <v>25</v>
      </c>
      <c r="C3369" s="224" t="s">
        <v>89</v>
      </c>
      <c r="D3369" s="224" t="s">
        <v>55</v>
      </c>
      <c r="E3369" s="224" t="s">
        <v>256</v>
      </c>
      <c r="F3369" s="224" t="s">
        <v>10</v>
      </c>
      <c r="G3369" s="223" t="str">
        <f>VLOOKUP($B3369,'FRS geographical categories'!$A$2:$C$45,2,FALSE)</f>
        <v>Significantly Rural</v>
      </c>
      <c r="H3369" s="223" t="str">
        <f>VLOOKUP($B3369,'FRS geographical categories'!$A$2:$C$45,3,FALSE)</f>
        <v>Non-metropolitan</v>
      </c>
      <c r="I3369" s="224">
        <v>0</v>
      </c>
    </row>
    <row r="3370" spans="1:9" ht="15.5" x14ac:dyDescent="0.35">
      <c r="A3370" s="224" t="s">
        <v>247</v>
      </c>
      <c r="B3370" s="224" t="s">
        <v>26</v>
      </c>
      <c r="C3370" s="224" t="s">
        <v>86</v>
      </c>
      <c r="D3370" s="224" t="s">
        <v>9</v>
      </c>
      <c r="E3370" s="224" t="s">
        <v>256</v>
      </c>
      <c r="F3370" s="224" t="s">
        <v>248</v>
      </c>
      <c r="G3370" s="223" t="str">
        <f>VLOOKUP($B3370,'FRS geographical categories'!$A$2:$C$45,2,FALSE)</f>
        <v>Predominantly Urban</v>
      </c>
      <c r="H3370" s="223" t="str">
        <f>VLOOKUP($B3370,'FRS geographical categories'!$A$2:$C$45,3,FALSE)</f>
        <v>Metropolitan</v>
      </c>
      <c r="I3370" s="224">
        <v>2816</v>
      </c>
    </row>
    <row r="3371" spans="1:9" ht="15.5" x14ac:dyDescent="0.35">
      <c r="A3371" s="224" t="s">
        <v>247</v>
      </c>
      <c r="B3371" s="224" t="s">
        <v>26</v>
      </c>
      <c r="C3371" s="224" t="s">
        <v>86</v>
      </c>
      <c r="D3371" s="224" t="s">
        <v>9</v>
      </c>
      <c r="E3371" s="224" t="s">
        <v>256</v>
      </c>
      <c r="F3371" s="224" t="s">
        <v>249</v>
      </c>
      <c r="G3371" s="223" t="str">
        <f>VLOOKUP($B3371,'FRS geographical categories'!$A$2:$C$45,2,FALSE)</f>
        <v>Predominantly Urban</v>
      </c>
      <c r="H3371" s="223" t="str">
        <f>VLOOKUP($B3371,'FRS geographical categories'!$A$2:$C$45,3,FALSE)</f>
        <v>Metropolitan</v>
      </c>
      <c r="I3371" s="224">
        <v>10827</v>
      </c>
    </row>
    <row r="3372" spans="1:9" ht="15.5" x14ac:dyDescent="0.35">
      <c r="A3372" s="224" t="s">
        <v>247</v>
      </c>
      <c r="B3372" s="224" t="s">
        <v>26</v>
      </c>
      <c r="C3372" s="224" t="s">
        <v>86</v>
      </c>
      <c r="D3372" s="224" t="s">
        <v>9</v>
      </c>
      <c r="E3372" s="224" t="s">
        <v>256</v>
      </c>
      <c r="F3372" s="224" t="s">
        <v>250</v>
      </c>
      <c r="G3372" s="223" t="str">
        <f>VLOOKUP($B3372,'FRS geographical categories'!$A$2:$C$45,2,FALSE)</f>
        <v>Predominantly Urban</v>
      </c>
      <c r="H3372" s="223" t="str">
        <f>VLOOKUP($B3372,'FRS geographical categories'!$A$2:$C$45,3,FALSE)</f>
        <v>Metropolitan</v>
      </c>
      <c r="I3372" s="224">
        <v>5621</v>
      </c>
    </row>
    <row r="3373" spans="1:9" ht="15.5" x14ac:dyDescent="0.35">
      <c r="A3373" s="224" t="s">
        <v>247</v>
      </c>
      <c r="B3373" s="224" t="s">
        <v>26</v>
      </c>
      <c r="C3373" s="224" t="s">
        <v>86</v>
      </c>
      <c r="D3373" s="224" t="s">
        <v>9</v>
      </c>
      <c r="E3373" s="224" t="s">
        <v>256</v>
      </c>
      <c r="F3373" s="224" t="s">
        <v>111</v>
      </c>
      <c r="G3373" s="223" t="str">
        <f>VLOOKUP($B3373,'FRS geographical categories'!$A$2:$C$45,2,FALSE)</f>
        <v>Predominantly Urban</v>
      </c>
      <c r="H3373" s="223" t="str">
        <f>VLOOKUP($B3373,'FRS geographical categories'!$A$2:$C$45,3,FALSE)</f>
        <v>Metropolitan</v>
      </c>
      <c r="I3373" s="224">
        <v>19875</v>
      </c>
    </row>
    <row r="3374" spans="1:9" ht="15.5" x14ac:dyDescent="0.35">
      <c r="A3374" s="224" t="s">
        <v>247</v>
      </c>
      <c r="B3374" s="224" t="s">
        <v>26</v>
      </c>
      <c r="C3374" s="224" t="s">
        <v>86</v>
      </c>
      <c r="D3374" s="224" t="s">
        <v>9</v>
      </c>
      <c r="E3374" s="224" t="s">
        <v>256</v>
      </c>
      <c r="F3374" s="224" t="s">
        <v>10</v>
      </c>
      <c r="G3374" s="223" t="str">
        <f>VLOOKUP($B3374,'FRS geographical categories'!$A$2:$C$45,2,FALSE)</f>
        <v>Predominantly Urban</v>
      </c>
      <c r="H3374" s="223" t="str">
        <f>VLOOKUP($B3374,'FRS geographical categories'!$A$2:$C$45,3,FALSE)</f>
        <v>Metropolitan</v>
      </c>
      <c r="I3374" s="224">
        <v>26840</v>
      </c>
    </row>
    <row r="3375" spans="1:9" ht="15.5" x14ac:dyDescent="0.35">
      <c r="A3375" s="224" t="s">
        <v>247</v>
      </c>
      <c r="B3375" s="224" t="s">
        <v>26</v>
      </c>
      <c r="C3375" s="224" t="s">
        <v>86</v>
      </c>
      <c r="D3375" s="224" t="s">
        <v>55</v>
      </c>
      <c r="E3375" s="224" t="s">
        <v>256</v>
      </c>
      <c r="F3375" s="224" t="s">
        <v>248</v>
      </c>
      <c r="G3375" s="223" t="str">
        <f>VLOOKUP($B3375,'FRS geographical categories'!$A$2:$C$45,2,FALSE)</f>
        <v>Predominantly Urban</v>
      </c>
      <c r="H3375" s="223" t="str">
        <f>VLOOKUP($B3375,'FRS geographical categories'!$A$2:$C$45,3,FALSE)</f>
        <v>Metropolitan</v>
      </c>
      <c r="I3375" s="224">
        <v>0</v>
      </c>
    </row>
    <row r="3376" spans="1:9" ht="15.5" x14ac:dyDescent="0.35">
      <c r="A3376" s="224" t="s">
        <v>247</v>
      </c>
      <c r="B3376" s="224" t="s">
        <v>26</v>
      </c>
      <c r="C3376" s="224" t="s">
        <v>86</v>
      </c>
      <c r="D3376" s="224" t="s">
        <v>55</v>
      </c>
      <c r="E3376" s="224" t="s">
        <v>256</v>
      </c>
      <c r="F3376" s="224" t="s">
        <v>249</v>
      </c>
      <c r="G3376" s="223" t="str">
        <f>VLOOKUP($B3376,'FRS geographical categories'!$A$2:$C$45,2,FALSE)</f>
        <v>Predominantly Urban</v>
      </c>
      <c r="H3376" s="223" t="str">
        <f>VLOOKUP($B3376,'FRS geographical categories'!$A$2:$C$45,3,FALSE)</f>
        <v>Metropolitan</v>
      </c>
      <c r="I3376" s="224">
        <v>0</v>
      </c>
    </row>
    <row r="3377" spans="1:9" ht="15.5" x14ac:dyDescent="0.35">
      <c r="A3377" s="224" t="s">
        <v>247</v>
      </c>
      <c r="B3377" s="224" t="s">
        <v>26</v>
      </c>
      <c r="C3377" s="224" t="s">
        <v>86</v>
      </c>
      <c r="D3377" s="224" t="s">
        <v>55</v>
      </c>
      <c r="E3377" s="224" t="s">
        <v>256</v>
      </c>
      <c r="F3377" s="224" t="s">
        <v>250</v>
      </c>
      <c r="G3377" s="223" t="str">
        <f>VLOOKUP($B3377,'FRS geographical categories'!$A$2:$C$45,2,FALSE)</f>
        <v>Predominantly Urban</v>
      </c>
      <c r="H3377" s="223" t="str">
        <f>VLOOKUP($B3377,'FRS geographical categories'!$A$2:$C$45,3,FALSE)</f>
        <v>Metropolitan</v>
      </c>
      <c r="I3377" s="224">
        <v>0</v>
      </c>
    </row>
    <row r="3378" spans="1:9" ht="15.5" x14ac:dyDescent="0.35">
      <c r="A3378" s="224" t="s">
        <v>247</v>
      </c>
      <c r="B3378" s="224" t="s">
        <v>26</v>
      </c>
      <c r="C3378" s="224" t="s">
        <v>86</v>
      </c>
      <c r="D3378" s="224" t="s">
        <v>55</v>
      </c>
      <c r="E3378" s="224" t="s">
        <v>256</v>
      </c>
      <c r="F3378" s="224" t="s">
        <v>111</v>
      </c>
      <c r="G3378" s="223" t="str">
        <f>VLOOKUP($B3378,'FRS geographical categories'!$A$2:$C$45,2,FALSE)</f>
        <v>Predominantly Urban</v>
      </c>
      <c r="H3378" s="223" t="str">
        <f>VLOOKUP($B3378,'FRS geographical categories'!$A$2:$C$45,3,FALSE)</f>
        <v>Metropolitan</v>
      </c>
      <c r="I3378" s="224">
        <v>0</v>
      </c>
    </row>
    <row r="3379" spans="1:9" ht="15.5" x14ac:dyDescent="0.35">
      <c r="A3379" s="224" t="s">
        <v>247</v>
      </c>
      <c r="B3379" s="224" t="s">
        <v>26</v>
      </c>
      <c r="C3379" s="224" t="s">
        <v>86</v>
      </c>
      <c r="D3379" s="224" t="s">
        <v>55</v>
      </c>
      <c r="E3379" s="224" t="s">
        <v>256</v>
      </c>
      <c r="F3379" s="224" t="s">
        <v>10</v>
      </c>
      <c r="G3379" s="223" t="str">
        <f>VLOOKUP($B3379,'FRS geographical categories'!$A$2:$C$45,2,FALSE)</f>
        <v>Predominantly Urban</v>
      </c>
      <c r="H3379" s="223" t="str">
        <f>VLOOKUP($B3379,'FRS geographical categories'!$A$2:$C$45,3,FALSE)</f>
        <v>Metropolitan</v>
      </c>
      <c r="I3379" s="224">
        <v>0</v>
      </c>
    </row>
    <row r="3380" spans="1:9" ht="15.5" x14ac:dyDescent="0.35">
      <c r="A3380" s="224" t="s">
        <v>247</v>
      </c>
      <c r="B3380" s="224" t="s">
        <v>26</v>
      </c>
      <c r="C3380" s="224" t="s">
        <v>89</v>
      </c>
      <c r="D3380" s="224" t="s">
        <v>9</v>
      </c>
      <c r="E3380" s="224" t="s">
        <v>256</v>
      </c>
      <c r="F3380" s="224" t="s">
        <v>248</v>
      </c>
      <c r="G3380" s="223" t="str">
        <f>VLOOKUP($B3380,'FRS geographical categories'!$A$2:$C$45,2,FALSE)</f>
        <v>Predominantly Urban</v>
      </c>
      <c r="H3380" s="223" t="str">
        <f>VLOOKUP($B3380,'FRS geographical categories'!$A$2:$C$45,3,FALSE)</f>
        <v>Metropolitan</v>
      </c>
      <c r="I3380" s="224">
        <v>0</v>
      </c>
    </row>
    <row r="3381" spans="1:9" ht="15.5" x14ac:dyDescent="0.35">
      <c r="A3381" s="224" t="s">
        <v>247</v>
      </c>
      <c r="B3381" s="224" t="s">
        <v>26</v>
      </c>
      <c r="C3381" s="224" t="s">
        <v>89</v>
      </c>
      <c r="D3381" s="224" t="s">
        <v>9</v>
      </c>
      <c r="E3381" s="224" t="s">
        <v>256</v>
      </c>
      <c r="F3381" s="224" t="s">
        <v>249</v>
      </c>
      <c r="G3381" s="223" t="str">
        <f>VLOOKUP($B3381,'FRS geographical categories'!$A$2:$C$45,2,FALSE)</f>
        <v>Predominantly Urban</v>
      </c>
      <c r="H3381" s="223" t="str">
        <f>VLOOKUP($B3381,'FRS geographical categories'!$A$2:$C$45,3,FALSE)</f>
        <v>Metropolitan</v>
      </c>
      <c r="I3381" s="224">
        <v>0</v>
      </c>
    </row>
    <row r="3382" spans="1:9" ht="15.5" x14ac:dyDescent="0.35">
      <c r="A3382" s="224" t="s">
        <v>247</v>
      </c>
      <c r="B3382" s="224" t="s">
        <v>26</v>
      </c>
      <c r="C3382" s="224" t="s">
        <v>89</v>
      </c>
      <c r="D3382" s="224" t="s">
        <v>9</v>
      </c>
      <c r="E3382" s="224" t="s">
        <v>256</v>
      </c>
      <c r="F3382" s="224" t="s">
        <v>250</v>
      </c>
      <c r="G3382" s="223" t="str">
        <f>VLOOKUP($B3382,'FRS geographical categories'!$A$2:$C$45,2,FALSE)</f>
        <v>Predominantly Urban</v>
      </c>
      <c r="H3382" s="223" t="str">
        <f>VLOOKUP($B3382,'FRS geographical categories'!$A$2:$C$45,3,FALSE)</f>
        <v>Metropolitan</v>
      </c>
      <c r="I3382" s="224">
        <v>0</v>
      </c>
    </row>
    <row r="3383" spans="1:9" ht="15.5" x14ac:dyDescent="0.35">
      <c r="A3383" s="224" t="s">
        <v>247</v>
      </c>
      <c r="B3383" s="224" t="s">
        <v>26</v>
      </c>
      <c r="C3383" s="224" t="s">
        <v>89</v>
      </c>
      <c r="D3383" s="224" t="s">
        <v>9</v>
      </c>
      <c r="E3383" s="224" t="s">
        <v>256</v>
      </c>
      <c r="F3383" s="224" t="s">
        <v>10</v>
      </c>
      <c r="G3383" s="223" t="str">
        <f>VLOOKUP($B3383,'FRS geographical categories'!$A$2:$C$45,2,FALSE)</f>
        <v>Predominantly Urban</v>
      </c>
      <c r="H3383" s="223" t="str">
        <f>VLOOKUP($B3383,'FRS geographical categories'!$A$2:$C$45,3,FALSE)</f>
        <v>Metropolitan</v>
      </c>
      <c r="I3383" s="224">
        <v>26335</v>
      </c>
    </row>
    <row r="3384" spans="1:9" ht="15.5" x14ac:dyDescent="0.35">
      <c r="A3384" s="224" t="s">
        <v>247</v>
      </c>
      <c r="B3384" s="224" t="s">
        <v>26</v>
      </c>
      <c r="C3384" s="224" t="s">
        <v>89</v>
      </c>
      <c r="D3384" s="224" t="s">
        <v>55</v>
      </c>
      <c r="E3384" s="224" t="s">
        <v>256</v>
      </c>
      <c r="F3384" s="224" t="s">
        <v>248</v>
      </c>
      <c r="G3384" s="223" t="str">
        <f>VLOOKUP($B3384,'FRS geographical categories'!$A$2:$C$45,2,FALSE)</f>
        <v>Predominantly Urban</v>
      </c>
      <c r="H3384" s="223" t="str">
        <f>VLOOKUP($B3384,'FRS geographical categories'!$A$2:$C$45,3,FALSE)</f>
        <v>Metropolitan</v>
      </c>
      <c r="I3384" s="224">
        <v>0</v>
      </c>
    </row>
    <row r="3385" spans="1:9" ht="15.5" x14ac:dyDescent="0.35">
      <c r="A3385" s="224" t="s">
        <v>247</v>
      </c>
      <c r="B3385" s="224" t="s">
        <v>26</v>
      </c>
      <c r="C3385" s="224" t="s">
        <v>89</v>
      </c>
      <c r="D3385" s="224" t="s">
        <v>55</v>
      </c>
      <c r="E3385" s="224" t="s">
        <v>256</v>
      </c>
      <c r="F3385" s="224" t="s">
        <v>249</v>
      </c>
      <c r="G3385" s="223" t="str">
        <f>VLOOKUP($B3385,'FRS geographical categories'!$A$2:$C$45,2,FALSE)</f>
        <v>Predominantly Urban</v>
      </c>
      <c r="H3385" s="223" t="str">
        <f>VLOOKUP($B3385,'FRS geographical categories'!$A$2:$C$45,3,FALSE)</f>
        <v>Metropolitan</v>
      </c>
      <c r="I3385" s="224">
        <v>0</v>
      </c>
    </row>
    <row r="3386" spans="1:9" ht="15.5" x14ac:dyDescent="0.35">
      <c r="A3386" s="224" t="s">
        <v>247</v>
      </c>
      <c r="B3386" s="224" t="s">
        <v>26</v>
      </c>
      <c r="C3386" s="224" t="s">
        <v>89</v>
      </c>
      <c r="D3386" s="224" t="s">
        <v>55</v>
      </c>
      <c r="E3386" s="224" t="s">
        <v>256</v>
      </c>
      <c r="F3386" s="224" t="s">
        <v>250</v>
      </c>
      <c r="G3386" s="223" t="str">
        <f>VLOOKUP($B3386,'FRS geographical categories'!$A$2:$C$45,2,FALSE)</f>
        <v>Predominantly Urban</v>
      </c>
      <c r="H3386" s="223" t="str">
        <f>VLOOKUP($B3386,'FRS geographical categories'!$A$2:$C$45,3,FALSE)</f>
        <v>Metropolitan</v>
      </c>
      <c r="I3386" s="224">
        <v>0</v>
      </c>
    </row>
    <row r="3387" spans="1:9" ht="15.5" x14ac:dyDescent="0.35">
      <c r="A3387" s="224" t="s">
        <v>247</v>
      </c>
      <c r="B3387" s="224" t="s">
        <v>26</v>
      </c>
      <c r="C3387" s="224" t="s">
        <v>89</v>
      </c>
      <c r="D3387" s="224" t="s">
        <v>55</v>
      </c>
      <c r="E3387" s="224" t="s">
        <v>256</v>
      </c>
      <c r="F3387" s="224" t="s">
        <v>10</v>
      </c>
      <c r="G3387" s="223" t="str">
        <f>VLOOKUP($B3387,'FRS geographical categories'!$A$2:$C$45,2,FALSE)</f>
        <v>Predominantly Urban</v>
      </c>
      <c r="H3387" s="223" t="str">
        <f>VLOOKUP($B3387,'FRS geographical categories'!$A$2:$C$45,3,FALSE)</f>
        <v>Metropolitan</v>
      </c>
      <c r="I3387" s="224">
        <v>0</v>
      </c>
    </row>
    <row r="3388" spans="1:9" ht="15.5" x14ac:dyDescent="0.35">
      <c r="A3388" s="224" t="s">
        <v>247</v>
      </c>
      <c r="B3388" s="224" t="s">
        <v>27</v>
      </c>
      <c r="C3388" s="224" t="s">
        <v>86</v>
      </c>
      <c r="D3388" s="224" t="s">
        <v>9</v>
      </c>
      <c r="E3388" s="224" t="s">
        <v>256</v>
      </c>
      <c r="F3388" s="224" t="s">
        <v>248</v>
      </c>
      <c r="G3388" s="223" t="str">
        <f>VLOOKUP($B3388,'FRS geographical categories'!$A$2:$C$45,2,FALSE)</f>
        <v>Predominantly Urban</v>
      </c>
      <c r="H3388" s="223" t="str">
        <f>VLOOKUP($B3388,'FRS geographical categories'!$A$2:$C$45,3,FALSE)</f>
        <v>Metropolitan</v>
      </c>
      <c r="I3388" s="224">
        <v>1429</v>
      </c>
    </row>
    <row r="3389" spans="1:9" ht="15.5" x14ac:dyDescent="0.35">
      <c r="A3389" s="224" t="s">
        <v>247</v>
      </c>
      <c r="B3389" s="224" t="s">
        <v>27</v>
      </c>
      <c r="C3389" s="224" t="s">
        <v>86</v>
      </c>
      <c r="D3389" s="224" t="s">
        <v>9</v>
      </c>
      <c r="E3389" s="224" t="s">
        <v>256</v>
      </c>
      <c r="F3389" s="224" t="s">
        <v>249</v>
      </c>
      <c r="G3389" s="223" t="str">
        <f>VLOOKUP($B3389,'FRS geographical categories'!$A$2:$C$45,2,FALSE)</f>
        <v>Predominantly Urban</v>
      </c>
      <c r="H3389" s="223" t="str">
        <f>VLOOKUP($B3389,'FRS geographical categories'!$A$2:$C$45,3,FALSE)</f>
        <v>Metropolitan</v>
      </c>
      <c r="I3389" s="224">
        <v>3395</v>
      </c>
    </row>
    <row r="3390" spans="1:9" ht="15.5" x14ac:dyDescent="0.35">
      <c r="A3390" s="224" t="s">
        <v>247</v>
      </c>
      <c r="B3390" s="224" t="s">
        <v>27</v>
      </c>
      <c r="C3390" s="224" t="s">
        <v>86</v>
      </c>
      <c r="D3390" s="224" t="s">
        <v>9</v>
      </c>
      <c r="E3390" s="224" t="s">
        <v>256</v>
      </c>
      <c r="F3390" s="224" t="s">
        <v>250</v>
      </c>
      <c r="G3390" s="223" t="str">
        <f>VLOOKUP($B3390,'FRS geographical categories'!$A$2:$C$45,2,FALSE)</f>
        <v>Predominantly Urban</v>
      </c>
      <c r="H3390" s="223" t="str">
        <f>VLOOKUP($B3390,'FRS geographical categories'!$A$2:$C$45,3,FALSE)</f>
        <v>Metropolitan</v>
      </c>
      <c r="I3390" s="224">
        <v>10808</v>
      </c>
    </row>
    <row r="3391" spans="1:9" ht="15.5" x14ac:dyDescent="0.35">
      <c r="A3391" s="224" t="s">
        <v>247</v>
      </c>
      <c r="B3391" s="224" t="s">
        <v>27</v>
      </c>
      <c r="C3391" s="224" t="s">
        <v>86</v>
      </c>
      <c r="D3391" s="224" t="s">
        <v>9</v>
      </c>
      <c r="E3391" s="224" t="s">
        <v>256</v>
      </c>
      <c r="F3391" s="224" t="s">
        <v>111</v>
      </c>
      <c r="G3391" s="223" t="str">
        <f>VLOOKUP($B3391,'FRS geographical categories'!$A$2:$C$45,2,FALSE)</f>
        <v>Predominantly Urban</v>
      </c>
      <c r="H3391" s="223" t="str">
        <f>VLOOKUP($B3391,'FRS geographical categories'!$A$2:$C$45,3,FALSE)</f>
        <v>Metropolitan</v>
      </c>
      <c r="I3391" s="224">
        <v>29503</v>
      </c>
    </row>
    <row r="3392" spans="1:9" ht="15.5" x14ac:dyDescent="0.35">
      <c r="A3392" s="224" t="s">
        <v>247</v>
      </c>
      <c r="B3392" s="224" t="s">
        <v>27</v>
      </c>
      <c r="C3392" s="224" t="s">
        <v>86</v>
      </c>
      <c r="D3392" s="224" t="s">
        <v>9</v>
      </c>
      <c r="E3392" s="224" t="s">
        <v>256</v>
      </c>
      <c r="F3392" s="224" t="s">
        <v>10</v>
      </c>
      <c r="G3392" s="223" t="str">
        <f>VLOOKUP($B3392,'FRS geographical categories'!$A$2:$C$45,2,FALSE)</f>
        <v>Predominantly Urban</v>
      </c>
      <c r="H3392" s="223" t="str">
        <f>VLOOKUP($B3392,'FRS geographical categories'!$A$2:$C$45,3,FALSE)</f>
        <v>Metropolitan</v>
      </c>
      <c r="I3392" s="224">
        <v>30534</v>
      </c>
    </row>
    <row r="3393" spans="1:9" ht="15.5" x14ac:dyDescent="0.35">
      <c r="A3393" s="224" t="s">
        <v>247</v>
      </c>
      <c r="B3393" s="224" t="s">
        <v>27</v>
      </c>
      <c r="C3393" s="224" t="s">
        <v>86</v>
      </c>
      <c r="D3393" s="224" t="s">
        <v>55</v>
      </c>
      <c r="E3393" s="224" t="s">
        <v>256</v>
      </c>
      <c r="F3393" s="224" t="s">
        <v>248</v>
      </c>
      <c r="G3393" s="223" t="str">
        <f>VLOOKUP($B3393,'FRS geographical categories'!$A$2:$C$45,2,FALSE)</f>
        <v>Predominantly Urban</v>
      </c>
      <c r="H3393" s="223" t="str">
        <f>VLOOKUP($B3393,'FRS geographical categories'!$A$2:$C$45,3,FALSE)</f>
        <v>Metropolitan</v>
      </c>
      <c r="I3393" s="224">
        <v>0</v>
      </c>
    </row>
    <row r="3394" spans="1:9" ht="15.5" x14ac:dyDescent="0.35">
      <c r="A3394" s="224" t="s">
        <v>247</v>
      </c>
      <c r="B3394" s="224" t="s">
        <v>27</v>
      </c>
      <c r="C3394" s="224" t="s">
        <v>86</v>
      </c>
      <c r="D3394" s="224" t="s">
        <v>55</v>
      </c>
      <c r="E3394" s="224" t="s">
        <v>256</v>
      </c>
      <c r="F3394" s="224" t="s">
        <v>249</v>
      </c>
      <c r="G3394" s="223" t="str">
        <f>VLOOKUP($B3394,'FRS geographical categories'!$A$2:$C$45,2,FALSE)</f>
        <v>Predominantly Urban</v>
      </c>
      <c r="H3394" s="223" t="str">
        <f>VLOOKUP($B3394,'FRS geographical categories'!$A$2:$C$45,3,FALSE)</f>
        <v>Metropolitan</v>
      </c>
      <c r="I3394" s="224">
        <v>0</v>
      </c>
    </row>
    <row r="3395" spans="1:9" ht="15.5" x14ac:dyDescent="0.35">
      <c r="A3395" s="224" t="s">
        <v>247</v>
      </c>
      <c r="B3395" s="224" t="s">
        <v>27</v>
      </c>
      <c r="C3395" s="224" t="s">
        <v>86</v>
      </c>
      <c r="D3395" s="224" t="s">
        <v>55</v>
      </c>
      <c r="E3395" s="224" t="s">
        <v>256</v>
      </c>
      <c r="F3395" s="224" t="s">
        <v>250</v>
      </c>
      <c r="G3395" s="223" t="str">
        <f>VLOOKUP($B3395,'FRS geographical categories'!$A$2:$C$45,2,FALSE)</f>
        <v>Predominantly Urban</v>
      </c>
      <c r="H3395" s="223" t="str">
        <f>VLOOKUP($B3395,'FRS geographical categories'!$A$2:$C$45,3,FALSE)</f>
        <v>Metropolitan</v>
      </c>
      <c r="I3395" s="224">
        <v>0</v>
      </c>
    </row>
    <row r="3396" spans="1:9" ht="15.5" x14ac:dyDescent="0.35">
      <c r="A3396" s="224" t="s">
        <v>247</v>
      </c>
      <c r="B3396" s="224" t="s">
        <v>27</v>
      </c>
      <c r="C3396" s="224" t="s">
        <v>86</v>
      </c>
      <c r="D3396" s="224" t="s">
        <v>55</v>
      </c>
      <c r="E3396" s="224" t="s">
        <v>256</v>
      </c>
      <c r="F3396" s="224" t="s">
        <v>111</v>
      </c>
      <c r="G3396" s="223" t="str">
        <f>VLOOKUP($B3396,'FRS geographical categories'!$A$2:$C$45,2,FALSE)</f>
        <v>Predominantly Urban</v>
      </c>
      <c r="H3396" s="223" t="str">
        <f>VLOOKUP($B3396,'FRS geographical categories'!$A$2:$C$45,3,FALSE)</f>
        <v>Metropolitan</v>
      </c>
      <c r="I3396" s="224">
        <v>0</v>
      </c>
    </row>
    <row r="3397" spans="1:9" ht="15.5" x14ac:dyDescent="0.35">
      <c r="A3397" s="224" t="s">
        <v>247</v>
      </c>
      <c r="B3397" s="224" t="s">
        <v>27</v>
      </c>
      <c r="C3397" s="224" t="s">
        <v>86</v>
      </c>
      <c r="D3397" s="224" t="s">
        <v>55</v>
      </c>
      <c r="E3397" s="224" t="s">
        <v>256</v>
      </c>
      <c r="F3397" s="224" t="s">
        <v>10</v>
      </c>
      <c r="G3397" s="223" t="str">
        <f>VLOOKUP($B3397,'FRS geographical categories'!$A$2:$C$45,2,FALSE)</f>
        <v>Predominantly Urban</v>
      </c>
      <c r="H3397" s="223" t="str">
        <f>VLOOKUP($B3397,'FRS geographical categories'!$A$2:$C$45,3,FALSE)</f>
        <v>Metropolitan</v>
      </c>
      <c r="I3397" s="224">
        <v>0</v>
      </c>
    </row>
    <row r="3398" spans="1:9" ht="15.5" x14ac:dyDescent="0.35">
      <c r="A3398" s="224" t="s">
        <v>247</v>
      </c>
      <c r="B3398" s="224" t="s">
        <v>27</v>
      </c>
      <c r="C3398" s="224" t="s">
        <v>89</v>
      </c>
      <c r="D3398" s="224" t="s">
        <v>9</v>
      </c>
      <c r="E3398" s="224" t="s">
        <v>256</v>
      </c>
      <c r="F3398" s="224" t="s">
        <v>248</v>
      </c>
      <c r="G3398" s="223" t="str">
        <f>VLOOKUP($B3398,'FRS geographical categories'!$A$2:$C$45,2,FALSE)</f>
        <v>Predominantly Urban</v>
      </c>
      <c r="H3398" s="223" t="str">
        <f>VLOOKUP($B3398,'FRS geographical categories'!$A$2:$C$45,3,FALSE)</f>
        <v>Metropolitan</v>
      </c>
      <c r="I3398" s="224">
        <v>0</v>
      </c>
    </row>
    <row r="3399" spans="1:9" ht="15.5" x14ac:dyDescent="0.35">
      <c r="A3399" s="224" t="s">
        <v>247</v>
      </c>
      <c r="B3399" s="224" t="s">
        <v>27</v>
      </c>
      <c r="C3399" s="224" t="s">
        <v>89</v>
      </c>
      <c r="D3399" s="224" t="s">
        <v>9</v>
      </c>
      <c r="E3399" s="224" t="s">
        <v>256</v>
      </c>
      <c r="F3399" s="224" t="s">
        <v>249</v>
      </c>
      <c r="G3399" s="223" t="str">
        <f>VLOOKUP($B3399,'FRS geographical categories'!$A$2:$C$45,2,FALSE)</f>
        <v>Predominantly Urban</v>
      </c>
      <c r="H3399" s="223" t="str">
        <f>VLOOKUP($B3399,'FRS geographical categories'!$A$2:$C$45,3,FALSE)</f>
        <v>Metropolitan</v>
      </c>
      <c r="I3399" s="224">
        <v>0</v>
      </c>
    </row>
    <row r="3400" spans="1:9" ht="15.5" x14ac:dyDescent="0.35">
      <c r="A3400" s="224" t="s">
        <v>247</v>
      </c>
      <c r="B3400" s="224" t="s">
        <v>27</v>
      </c>
      <c r="C3400" s="224" t="s">
        <v>89</v>
      </c>
      <c r="D3400" s="224" t="s">
        <v>9</v>
      </c>
      <c r="E3400" s="224" t="s">
        <v>256</v>
      </c>
      <c r="F3400" s="224" t="s">
        <v>250</v>
      </c>
      <c r="G3400" s="223" t="str">
        <f>VLOOKUP($B3400,'FRS geographical categories'!$A$2:$C$45,2,FALSE)</f>
        <v>Predominantly Urban</v>
      </c>
      <c r="H3400" s="223" t="str">
        <f>VLOOKUP($B3400,'FRS geographical categories'!$A$2:$C$45,3,FALSE)</f>
        <v>Metropolitan</v>
      </c>
      <c r="I3400" s="224">
        <v>0</v>
      </c>
    </row>
    <row r="3401" spans="1:9" ht="15.5" x14ac:dyDescent="0.35">
      <c r="A3401" s="224" t="s">
        <v>247</v>
      </c>
      <c r="B3401" s="224" t="s">
        <v>27</v>
      </c>
      <c r="C3401" s="224" t="s">
        <v>89</v>
      </c>
      <c r="D3401" s="224" t="s">
        <v>9</v>
      </c>
      <c r="E3401" s="224" t="s">
        <v>256</v>
      </c>
      <c r="F3401" s="224" t="s">
        <v>10</v>
      </c>
      <c r="G3401" s="223" t="str">
        <f>VLOOKUP($B3401,'FRS geographical categories'!$A$2:$C$45,2,FALSE)</f>
        <v>Predominantly Urban</v>
      </c>
      <c r="H3401" s="223" t="str">
        <f>VLOOKUP($B3401,'FRS geographical categories'!$A$2:$C$45,3,FALSE)</f>
        <v>Metropolitan</v>
      </c>
      <c r="I3401" s="224">
        <v>0</v>
      </c>
    </row>
    <row r="3402" spans="1:9" ht="15.5" x14ac:dyDescent="0.35">
      <c r="A3402" s="224" t="s">
        <v>247</v>
      </c>
      <c r="B3402" s="224" t="s">
        <v>27</v>
      </c>
      <c r="C3402" s="224" t="s">
        <v>89</v>
      </c>
      <c r="D3402" s="224" t="s">
        <v>55</v>
      </c>
      <c r="E3402" s="224" t="s">
        <v>256</v>
      </c>
      <c r="F3402" s="224" t="s">
        <v>248</v>
      </c>
      <c r="G3402" s="223" t="str">
        <f>VLOOKUP($B3402,'FRS geographical categories'!$A$2:$C$45,2,FALSE)</f>
        <v>Predominantly Urban</v>
      </c>
      <c r="H3402" s="223" t="str">
        <f>VLOOKUP($B3402,'FRS geographical categories'!$A$2:$C$45,3,FALSE)</f>
        <v>Metropolitan</v>
      </c>
      <c r="I3402" s="224">
        <v>0</v>
      </c>
    </row>
    <row r="3403" spans="1:9" ht="15.5" x14ac:dyDescent="0.35">
      <c r="A3403" s="224" t="s">
        <v>247</v>
      </c>
      <c r="B3403" s="224" t="s">
        <v>27</v>
      </c>
      <c r="C3403" s="224" t="s">
        <v>89</v>
      </c>
      <c r="D3403" s="224" t="s">
        <v>55</v>
      </c>
      <c r="E3403" s="224" t="s">
        <v>256</v>
      </c>
      <c r="F3403" s="224" t="s">
        <v>249</v>
      </c>
      <c r="G3403" s="223" t="str">
        <f>VLOOKUP($B3403,'FRS geographical categories'!$A$2:$C$45,2,FALSE)</f>
        <v>Predominantly Urban</v>
      </c>
      <c r="H3403" s="223" t="str">
        <f>VLOOKUP($B3403,'FRS geographical categories'!$A$2:$C$45,3,FALSE)</f>
        <v>Metropolitan</v>
      </c>
      <c r="I3403" s="224">
        <v>0</v>
      </c>
    </row>
    <row r="3404" spans="1:9" ht="15.5" x14ac:dyDescent="0.35">
      <c r="A3404" s="224" t="s">
        <v>247</v>
      </c>
      <c r="B3404" s="224" t="s">
        <v>27</v>
      </c>
      <c r="C3404" s="224" t="s">
        <v>89</v>
      </c>
      <c r="D3404" s="224" t="s">
        <v>55</v>
      </c>
      <c r="E3404" s="224" t="s">
        <v>256</v>
      </c>
      <c r="F3404" s="224" t="s">
        <v>250</v>
      </c>
      <c r="G3404" s="223" t="str">
        <f>VLOOKUP($B3404,'FRS geographical categories'!$A$2:$C$45,2,FALSE)</f>
        <v>Predominantly Urban</v>
      </c>
      <c r="H3404" s="223" t="str">
        <f>VLOOKUP($B3404,'FRS geographical categories'!$A$2:$C$45,3,FALSE)</f>
        <v>Metropolitan</v>
      </c>
      <c r="I3404" s="224">
        <v>0</v>
      </c>
    </row>
    <row r="3405" spans="1:9" ht="15.5" x14ac:dyDescent="0.35">
      <c r="A3405" s="224" t="s">
        <v>247</v>
      </c>
      <c r="B3405" s="224" t="s">
        <v>27</v>
      </c>
      <c r="C3405" s="224" t="s">
        <v>89</v>
      </c>
      <c r="D3405" s="224" t="s">
        <v>55</v>
      </c>
      <c r="E3405" s="224" t="s">
        <v>256</v>
      </c>
      <c r="F3405" s="224" t="s">
        <v>10</v>
      </c>
      <c r="G3405" s="223" t="str">
        <f>VLOOKUP($B3405,'FRS geographical categories'!$A$2:$C$45,2,FALSE)</f>
        <v>Predominantly Urban</v>
      </c>
      <c r="H3405" s="223" t="str">
        <f>VLOOKUP($B3405,'FRS geographical categories'!$A$2:$C$45,3,FALSE)</f>
        <v>Metropolitan</v>
      </c>
      <c r="I3405" s="224">
        <v>0</v>
      </c>
    </row>
    <row r="3406" spans="1:9" ht="15.5" x14ac:dyDescent="0.35">
      <c r="A3406" s="224" t="s">
        <v>247</v>
      </c>
      <c r="B3406" s="224" t="s">
        <v>93</v>
      </c>
      <c r="C3406" s="224" t="s">
        <v>86</v>
      </c>
      <c r="D3406" s="224" t="s">
        <v>9</v>
      </c>
      <c r="E3406" s="224" t="s">
        <v>256</v>
      </c>
      <c r="F3406" s="224" t="s">
        <v>248</v>
      </c>
      <c r="G3406" s="223" t="str">
        <f>VLOOKUP($B3406,'FRS geographical categories'!$A$2:$C$45,2,FALSE)</f>
        <v>Significantly Rural</v>
      </c>
      <c r="H3406" s="223" t="str">
        <f>VLOOKUP($B3406,'FRS geographical categories'!$A$2:$C$45,3,FALSE)</f>
        <v>Non-metropolitan</v>
      </c>
      <c r="I3406" s="224">
        <v>1970</v>
      </c>
    </row>
    <row r="3407" spans="1:9" ht="15.5" x14ac:dyDescent="0.35">
      <c r="A3407" s="224" t="s">
        <v>247</v>
      </c>
      <c r="B3407" s="224" t="s">
        <v>93</v>
      </c>
      <c r="C3407" s="224" t="s">
        <v>86</v>
      </c>
      <c r="D3407" s="224" t="s">
        <v>9</v>
      </c>
      <c r="E3407" s="224" t="s">
        <v>256</v>
      </c>
      <c r="F3407" s="224" t="s">
        <v>249</v>
      </c>
      <c r="G3407" s="223" t="str">
        <f>VLOOKUP($B3407,'FRS geographical categories'!$A$2:$C$45,2,FALSE)</f>
        <v>Significantly Rural</v>
      </c>
      <c r="H3407" s="223" t="str">
        <f>VLOOKUP($B3407,'FRS geographical categories'!$A$2:$C$45,3,FALSE)</f>
        <v>Non-metropolitan</v>
      </c>
      <c r="I3407" s="224">
        <v>7661</v>
      </c>
    </row>
    <row r="3408" spans="1:9" ht="15.5" x14ac:dyDescent="0.35">
      <c r="A3408" s="224" t="s">
        <v>247</v>
      </c>
      <c r="B3408" s="224" t="s">
        <v>93</v>
      </c>
      <c r="C3408" s="224" t="s">
        <v>86</v>
      </c>
      <c r="D3408" s="224" t="s">
        <v>9</v>
      </c>
      <c r="E3408" s="224" t="s">
        <v>256</v>
      </c>
      <c r="F3408" s="224" t="s">
        <v>250</v>
      </c>
      <c r="G3408" s="223" t="str">
        <f>VLOOKUP($B3408,'FRS geographical categories'!$A$2:$C$45,2,FALSE)</f>
        <v>Significantly Rural</v>
      </c>
      <c r="H3408" s="223" t="str">
        <f>VLOOKUP($B3408,'FRS geographical categories'!$A$2:$C$45,3,FALSE)</f>
        <v>Non-metropolitan</v>
      </c>
      <c r="I3408" s="224">
        <v>1450</v>
      </c>
    </row>
    <row r="3409" spans="1:9" ht="15.5" x14ac:dyDescent="0.35">
      <c r="A3409" s="224" t="s">
        <v>247</v>
      </c>
      <c r="B3409" s="224" t="s">
        <v>93</v>
      </c>
      <c r="C3409" s="224" t="s">
        <v>86</v>
      </c>
      <c r="D3409" s="224" t="s">
        <v>9</v>
      </c>
      <c r="E3409" s="224" t="s">
        <v>256</v>
      </c>
      <c r="F3409" s="224" t="s">
        <v>111</v>
      </c>
      <c r="G3409" s="223" t="str">
        <f>VLOOKUP($B3409,'FRS geographical categories'!$A$2:$C$45,2,FALSE)</f>
        <v>Significantly Rural</v>
      </c>
      <c r="H3409" s="223" t="str">
        <f>VLOOKUP($B3409,'FRS geographical categories'!$A$2:$C$45,3,FALSE)</f>
        <v>Non-metropolitan</v>
      </c>
      <c r="I3409" s="224">
        <v>11667</v>
      </c>
    </row>
    <row r="3410" spans="1:9" ht="15.5" x14ac:dyDescent="0.35">
      <c r="A3410" s="224" t="s">
        <v>247</v>
      </c>
      <c r="B3410" s="224" t="s">
        <v>93</v>
      </c>
      <c r="C3410" s="224" t="s">
        <v>86</v>
      </c>
      <c r="D3410" s="224" t="s">
        <v>9</v>
      </c>
      <c r="E3410" s="224" t="s">
        <v>256</v>
      </c>
      <c r="F3410" s="224" t="s">
        <v>10</v>
      </c>
      <c r="G3410" s="223" t="str">
        <f>VLOOKUP($B3410,'FRS geographical categories'!$A$2:$C$45,2,FALSE)</f>
        <v>Significantly Rural</v>
      </c>
      <c r="H3410" s="223" t="str">
        <f>VLOOKUP($B3410,'FRS geographical categories'!$A$2:$C$45,3,FALSE)</f>
        <v>Non-metropolitan</v>
      </c>
      <c r="I3410" s="224">
        <v>12183</v>
      </c>
    </row>
    <row r="3411" spans="1:9" ht="15.5" x14ac:dyDescent="0.35">
      <c r="A3411" s="224" t="s">
        <v>247</v>
      </c>
      <c r="B3411" s="224" t="s">
        <v>93</v>
      </c>
      <c r="C3411" s="224" t="s">
        <v>86</v>
      </c>
      <c r="D3411" s="224" t="s">
        <v>55</v>
      </c>
      <c r="E3411" s="224" t="s">
        <v>256</v>
      </c>
      <c r="F3411" s="224" t="s">
        <v>248</v>
      </c>
      <c r="G3411" s="223" t="str">
        <f>VLOOKUP($B3411,'FRS geographical categories'!$A$2:$C$45,2,FALSE)</f>
        <v>Significantly Rural</v>
      </c>
      <c r="H3411" s="223" t="str">
        <f>VLOOKUP($B3411,'FRS geographical categories'!$A$2:$C$45,3,FALSE)</f>
        <v>Non-metropolitan</v>
      </c>
      <c r="I3411" s="224">
        <v>0</v>
      </c>
    </row>
    <row r="3412" spans="1:9" ht="15.5" x14ac:dyDescent="0.35">
      <c r="A3412" s="224" t="s">
        <v>247</v>
      </c>
      <c r="B3412" s="224" t="s">
        <v>93</v>
      </c>
      <c r="C3412" s="224" t="s">
        <v>86</v>
      </c>
      <c r="D3412" s="224" t="s">
        <v>55</v>
      </c>
      <c r="E3412" s="224" t="s">
        <v>256</v>
      </c>
      <c r="F3412" s="224" t="s">
        <v>249</v>
      </c>
      <c r="G3412" s="223" t="str">
        <f>VLOOKUP($B3412,'FRS geographical categories'!$A$2:$C$45,2,FALSE)</f>
        <v>Significantly Rural</v>
      </c>
      <c r="H3412" s="223" t="str">
        <f>VLOOKUP($B3412,'FRS geographical categories'!$A$2:$C$45,3,FALSE)</f>
        <v>Non-metropolitan</v>
      </c>
      <c r="I3412" s="224">
        <v>0</v>
      </c>
    </row>
    <row r="3413" spans="1:9" ht="15.5" x14ac:dyDescent="0.35">
      <c r="A3413" s="224" t="s">
        <v>247</v>
      </c>
      <c r="B3413" s="224" t="s">
        <v>93</v>
      </c>
      <c r="C3413" s="224" t="s">
        <v>86</v>
      </c>
      <c r="D3413" s="224" t="s">
        <v>55</v>
      </c>
      <c r="E3413" s="224" t="s">
        <v>256</v>
      </c>
      <c r="F3413" s="224" t="s">
        <v>250</v>
      </c>
      <c r="G3413" s="223" t="str">
        <f>VLOOKUP($B3413,'FRS geographical categories'!$A$2:$C$45,2,FALSE)</f>
        <v>Significantly Rural</v>
      </c>
      <c r="H3413" s="223" t="str">
        <f>VLOOKUP($B3413,'FRS geographical categories'!$A$2:$C$45,3,FALSE)</f>
        <v>Non-metropolitan</v>
      </c>
      <c r="I3413" s="224">
        <v>0</v>
      </c>
    </row>
    <row r="3414" spans="1:9" ht="15.5" x14ac:dyDescent="0.35">
      <c r="A3414" s="224" t="s">
        <v>247</v>
      </c>
      <c r="B3414" s="224" t="s">
        <v>93</v>
      </c>
      <c r="C3414" s="224" t="s">
        <v>86</v>
      </c>
      <c r="D3414" s="224" t="s">
        <v>55</v>
      </c>
      <c r="E3414" s="224" t="s">
        <v>256</v>
      </c>
      <c r="F3414" s="224" t="s">
        <v>111</v>
      </c>
      <c r="G3414" s="223" t="str">
        <f>VLOOKUP($B3414,'FRS geographical categories'!$A$2:$C$45,2,FALSE)</f>
        <v>Significantly Rural</v>
      </c>
      <c r="H3414" s="223" t="str">
        <f>VLOOKUP($B3414,'FRS geographical categories'!$A$2:$C$45,3,FALSE)</f>
        <v>Non-metropolitan</v>
      </c>
      <c r="I3414" s="224">
        <v>0</v>
      </c>
    </row>
    <row r="3415" spans="1:9" ht="15.5" x14ac:dyDescent="0.35">
      <c r="A3415" s="224" t="s">
        <v>247</v>
      </c>
      <c r="B3415" s="224" t="s">
        <v>93</v>
      </c>
      <c r="C3415" s="224" t="s">
        <v>86</v>
      </c>
      <c r="D3415" s="224" t="s">
        <v>55</v>
      </c>
      <c r="E3415" s="224" t="s">
        <v>256</v>
      </c>
      <c r="F3415" s="224" t="s">
        <v>10</v>
      </c>
      <c r="G3415" s="223" t="str">
        <f>VLOOKUP($B3415,'FRS geographical categories'!$A$2:$C$45,2,FALSE)</f>
        <v>Significantly Rural</v>
      </c>
      <c r="H3415" s="223" t="str">
        <f>VLOOKUP($B3415,'FRS geographical categories'!$A$2:$C$45,3,FALSE)</f>
        <v>Non-metropolitan</v>
      </c>
      <c r="I3415" s="224">
        <v>0</v>
      </c>
    </row>
    <row r="3416" spans="1:9" ht="15.5" x14ac:dyDescent="0.35">
      <c r="A3416" s="224" t="s">
        <v>247</v>
      </c>
      <c r="B3416" s="224" t="s">
        <v>93</v>
      </c>
      <c r="C3416" s="224" t="s">
        <v>89</v>
      </c>
      <c r="D3416" s="224" t="s">
        <v>9</v>
      </c>
      <c r="E3416" s="224" t="s">
        <v>256</v>
      </c>
      <c r="F3416" s="224" t="s">
        <v>248</v>
      </c>
      <c r="G3416" s="223" t="str">
        <f>VLOOKUP($B3416,'FRS geographical categories'!$A$2:$C$45,2,FALSE)</f>
        <v>Significantly Rural</v>
      </c>
      <c r="H3416" s="223" t="str">
        <f>VLOOKUP($B3416,'FRS geographical categories'!$A$2:$C$45,3,FALSE)</f>
        <v>Non-metropolitan</v>
      </c>
      <c r="I3416" s="224">
        <v>0</v>
      </c>
    </row>
    <row r="3417" spans="1:9" ht="15.5" x14ac:dyDescent="0.35">
      <c r="A3417" s="224" t="s">
        <v>247</v>
      </c>
      <c r="B3417" s="224" t="s">
        <v>93</v>
      </c>
      <c r="C3417" s="224" t="s">
        <v>89</v>
      </c>
      <c r="D3417" s="224" t="s">
        <v>9</v>
      </c>
      <c r="E3417" s="224" t="s">
        <v>256</v>
      </c>
      <c r="F3417" s="224" t="s">
        <v>249</v>
      </c>
      <c r="G3417" s="223" t="str">
        <f>VLOOKUP($B3417,'FRS geographical categories'!$A$2:$C$45,2,FALSE)</f>
        <v>Significantly Rural</v>
      </c>
      <c r="H3417" s="223" t="str">
        <f>VLOOKUP($B3417,'FRS geographical categories'!$A$2:$C$45,3,FALSE)</f>
        <v>Non-metropolitan</v>
      </c>
      <c r="I3417" s="224">
        <v>0</v>
      </c>
    </row>
    <row r="3418" spans="1:9" ht="15.5" x14ac:dyDescent="0.35">
      <c r="A3418" s="224" t="s">
        <v>247</v>
      </c>
      <c r="B3418" s="224" t="s">
        <v>93</v>
      </c>
      <c r="C3418" s="224" t="s">
        <v>89</v>
      </c>
      <c r="D3418" s="224" t="s">
        <v>9</v>
      </c>
      <c r="E3418" s="224" t="s">
        <v>256</v>
      </c>
      <c r="F3418" s="224" t="s">
        <v>250</v>
      </c>
      <c r="G3418" s="223" t="str">
        <f>VLOOKUP($B3418,'FRS geographical categories'!$A$2:$C$45,2,FALSE)</f>
        <v>Significantly Rural</v>
      </c>
      <c r="H3418" s="223" t="str">
        <f>VLOOKUP($B3418,'FRS geographical categories'!$A$2:$C$45,3,FALSE)</f>
        <v>Non-metropolitan</v>
      </c>
      <c r="I3418" s="224">
        <v>0</v>
      </c>
    </row>
    <row r="3419" spans="1:9" ht="15.5" x14ac:dyDescent="0.35">
      <c r="A3419" s="224" t="s">
        <v>247</v>
      </c>
      <c r="B3419" s="224" t="s">
        <v>93</v>
      </c>
      <c r="C3419" s="224" t="s">
        <v>89</v>
      </c>
      <c r="D3419" s="224" t="s">
        <v>9</v>
      </c>
      <c r="E3419" s="224" t="s">
        <v>256</v>
      </c>
      <c r="F3419" s="224" t="s">
        <v>10</v>
      </c>
      <c r="G3419" s="223" t="str">
        <f>VLOOKUP($B3419,'FRS geographical categories'!$A$2:$C$45,2,FALSE)</f>
        <v>Significantly Rural</v>
      </c>
      <c r="H3419" s="223" t="str">
        <f>VLOOKUP($B3419,'FRS geographical categories'!$A$2:$C$45,3,FALSE)</f>
        <v>Non-metropolitan</v>
      </c>
      <c r="I3419" s="224">
        <v>0</v>
      </c>
    </row>
    <row r="3420" spans="1:9" ht="15.5" x14ac:dyDescent="0.35">
      <c r="A3420" s="224" t="s">
        <v>247</v>
      </c>
      <c r="B3420" s="224" t="s">
        <v>93</v>
      </c>
      <c r="C3420" s="224" t="s">
        <v>89</v>
      </c>
      <c r="D3420" s="224" t="s">
        <v>55</v>
      </c>
      <c r="E3420" s="224" t="s">
        <v>256</v>
      </c>
      <c r="F3420" s="224" t="s">
        <v>248</v>
      </c>
      <c r="G3420" s="223" t="str">
        <f>VLOOKUP($B3420,'FRS geographical categories'!$A$2:$C$45,2,FALSE)</f>
        <v>Significantly Rural</v>
      </c>
      <c r="H3420" s="223" t="str">
        <f>VLOOKUP($B3420,'FRS geographical categories'!$A$2:$C$45,3,FALSE)</f>
        <v>Non-metropolitan</v>
      </c>
      <c r="I3420" s="224">
        <v>0</v>
      </c>
    </row>
    <row r="3421" spans="1:9" ht="15.5" x14ac:dyDescent="0.35">
      <c r="A3421" s="224" t="s">
        <v>247</v>
      </c>
      <c r="B3421" s="224" t="s">
        <v>93</v>
      </c>
      <c r="C3421" s="224" t="s">
        <v>89</v>
      </c>
      <c r="D3421" s="224" t="s">
        <v>55</v>
      </c>
      <c r="E3421" s="224" t="s">
        <v>256</v>
      </c>
      <c r="F3421" s="224" t="s">
        <v>249</v>
      </c>
      <c r="G3421" s="223" t="str">
        <f>VLOOKUP($B3421,'FRS geographical categories'!$A$2:$C$45,2,FALSE)</f>
        <v>Significantly Rural</v>
      </c>
      <c r="H3421" s="223" t="str">
        <f>VLOOKUP($B3421,'FRS geographical categories'!$A$2:$C$45,3,FALSE)</f>
        <v>Non-metropolitan</v>
      </c>
      <c r="I3421" s="224">
        <v>0</v>
      </c>
    </row>
    <row r="3422" spans="1:9" ht="15.5" x14ac:dyDescent="0.35">
      <c r="A3422" s="224" t="s">
        <v>247</v>
      </c>
      <c r="B3422" s="224" t="s">
        <v>93</v>
      </c>
      <c r="C3422" s="224" t="s">
        <v>89</v>
      </c>
      <c r="D3422" s="224" t="s">
        <v>55</v>
      </c>
      <c r="E3422" s="224" t="s">
        <v>256</v>
      </c>
      <c r="F3422" s="224" t="s">
        <v>250</v>
      </c>
      <c r="G3422" s="223" t="str">
        <f>VLOOKUP($B3422,'FRS geographical categories'!$A$2:$C$45,2,FALSE)</f>
        <v>Significantly Rural</v>
      </c>
      <c r="H3422" s="223" t="str">
        <f>VLOOKUP($B3422,'FRS geographical categories'!$A$2:$C$45,3,FALSE)</f>
        <v>Non-metropolitan</v>
      </c>
      <c r="I3422" s="224">
        <v>0</v>
      </c>
    </row>
    <row r="3423" spans="1:9" ht="15.5" x14ac:dyDescent="0.35">
      <c r="A3423" s="224" t="s">
        <v>247</v>
      </c>
      <c r="B3423" s="224" t="s">
        <v>93</v>
      </c>
      <c r="C3423" s="224" t="s">
        <v>89</v>
      </c>
      <c r="D3423" s="224" t="s">
        <v>55</v>
      </c>
      <c r="E3423" s="224" t="s">
        <v>256</v>
      </c>
      <c r="F3423" s="224" t="s">
        <v>10</v>
      </c>
      <c r="G3423" s="223" t="str">
        <f>VLOOKUP($B3423,'FRS geographical categories'!$A$2:$C$45,2,FALSE)</f>
        <v>Significantly Rural</v>
      </c>
      <c r="H3423" s="223" t="str">
        <f>VLOOKUP($B3423,'FRS geographical categories'!$A$2:$C$45,3,FALSE)</f>
        <v>Non-metropolitan</v>
      </c>
      <c r="I3423" s="224">
        <v>0</v>
      </c>
    </row>
    <row r="3424" spans="1:9" ht="15.5" x14ac:dyDescent="0.35">
      <c r="A3424" s="224" t="s">
        <v>247</v>
      </c>
      <c r="B3424" s="224" t="s">
        <v>28</v>
      </c>
      <c r="C3424" s="224" t="s">
        <v>86</v>
      </c>
      <c r="D3424" s="224" t="s">
        <v>9</v>
      </c>
      <c r="E3424" s="224" t="s">
        <v>256</v>
      </c>
      <c r="F3424" s="224" t="s">
        <v>248</v>
      </c>
      <c r="G3424" s="223" t="str">
        <f>VLOOKUP($B3424,'FRS geographical categories'!$A$2:$C$45,2,FALSE)</f>
        <v>Significantly Rural</v>
      </c>
      <c r="H3424" s="223" t="str">
        <f>VLOOKUP($B3424,'FRS geographical categories'!$A$2:$C$45,3,FALSE)</f>
        <v>Non-metropolitan</v>
      </c>
      <c r="I3424" s="224">
        <v>699</v>
      </c>
    </row>
    <row r="3425" spans="1:9" ht="15.5" x14ac:dyDescent="0.35">
      <c r="A3425" s="224" t="s">
        <v>247</v>
      </c>
      <c r="B3425" s="224" t="s">
        <v>28</v>
      </c>
      <c r="C3425" s="224" t="s">
        <v>86</v>
      </c>
      <c r="D3425" s="224" t="s">
        <v>9</v>
      </c>
      <c r="E3425" s="224" t="s">
        <v>256</v>
      </c>
      <c r="F3425" s="224" t="s">
        <v>249</v>
      </c>
      <c r="G3425" s="223" t="str">
        <f>VLOOKUP($B3425,'FRS geographical categories'!$A$2:$C$45,2,FALSE)</f>
        <v>Significantly Rural</v>
      </c>
      <c r="H3425" s="223" t="str">
        <f>VLOOKUP($B3425,'FRS geographical categories'!$A$2:$C$45,3,FALSE)</f>
        <v>Non-metropolitan</v>
      </c>
      <c r="I3425" s="224">
        <v>2716</v>
      </c>
    </row>
    <row r="3426" spans="1:9" ht="15.5" x14ac:dyDescent="0.35">
      <c r="A3426" s="224" t="s">
        <v>247</v>
      </c>
      <c r="B3426" s="224" t="s">
        <v>28</v>
      </c>
      <c r="C3426" s="224" t="s">
        <v>86</v>
      </c>
      <c r="D3426" s="224" t="s">
        <v>9</v>
      </c>
      <c r="E3426" s="224" t="s">
        <v>256</v>
      </c>
      <c r="F3426" s="224" t="s">
        <v>250</v>
      </c>
      <c r="G3426" s="223" t="str">
        <f>VLOOKUP($B3426,'FRS geographical categories'!$A$2:$C$45,2,FALSE)</f>
        <v>Significantly Rural</v>
      </c>
      <c r="H3426" s="223" t="str">
        <f>VLOOKUP($B3426,'FRS geographical categories'!$A$2:$C$45,3,FALSE)</f>
        <v>Non-metropolitan</v>
      </c>
      <c r="I3426" s="224">
        <v>2051</v>
      </c>
    </row>
    <row r="3427" spans="1:9" ht="15.5" x14ac:dyDescent="0.35">
      <c r="A3427" s="224" t="s">
        <v>247</v>
      </c>
      <c r="B3427" s="224" t="s">
        <v>28</v>
      </c>
      <c r="C3427" s="224" t="s">
        <v>86</v>
      </c>
      <c r="D3427" s="224" t="s">
        <v>9</v>
      </c>
      <c r="E3427" s="224" t="s">
        <v>256</v>
      </c>
      <c r="F3427" s="224" t="s">
        <v>111</v>
      </c>
      <c r="G3427" s="223" t="str">
        <f>VLOOKUP($B3427,'FRS geographical categories'!$A$2:$C$45,2,FALSE)</f>
        <v>Significantly Rural</v>
      </c>
      <c r="H3427" s="223" t="str">
        <f>VLOOKUP($B3427,'FRS geographical categories'!$A$2:$C$45,3,FALSE)</f>
        <v>Non-metropolitan</v>
      </c>
      <c r="I3427" s="224">
        <v>7103</v>
      </c>
    </row>
    <row r="3428" spans="1:9" ht="15.5" x14ac:dyDescent="0.35">
      <c r="A3428" s="224" t="s">
        <v>247</v>
      </c>
      <c r="B3428" s="224" t="s">
        <v>28</v>
      </c>
      <c r="C3428" s="224" t="s">
        <v>86</v>
      </c>
      <c r="D3428" s="224" t="s">
        <v>9</v>
      </c>
      <c r="E3428" s="224" t="s">
        <v>256</v>
      </c>
      <c r="F3428" s="224" t="s">
        <v>10</v>
      </c>
      <c r="G3428" s="223" t="str">
        <f>VLOOKUP($B3428,'FRS geographical categories'!$A$2:$C$45,2,FALSE)</f>
        <v>Significantly Rural</v>
      </c>
      <c r="H3428" s="223" t="str">
        <f>VLOOKUP($B3428,'FRS geographical categories'!$A$2:$C$45,3,FALSE)</f>
        <v>Non-metropolitan</v>
      </c>
      <c r="I3428" s="224">
        <v>7660</v>
      </c>
    </row>
    <row r="3429" spans="1:9" ht="15.5" x14ac:dyDescent="0.35">
      <c r="A3429" s="224" t="s">
        <v>247</v>
      </c>
      <c r="B3429" s="224" t="s">
        <v>28</v>
      </c>
      <c r="C3429" s="224" t="s">
        <v>86</v>
      </c>
      <c r="D3429" s="224" t="s">
        <v>55</v>
      </c>
      <c r="E3429" s="224" t="s">
        <v>256</v>
      </c>
      <c r="F3429" s="224" t="s">
        <v>248</v>
      </c>
      <c r="G3429" s="223" t="str">
        <f>VLOOKUP($B3429,'FRS geographical categories'!$A$2:$C$45,2,FALSE)</f>
        <v>Significantly Rural</v>
      </c>
      <c r="H3429" s="223" t="str">
        <f>VLOOKUP($B3429,'FRS geographical categories'!$A$2:$C$45,3,FALSE)</f>
        <v>Non-metropolitan</v>
      </c>
      <c r="I3429" s="224">
        <v>3</v>
      </c>
    </row>
    <row r="3430" spans="1:9" ht="15.5" x14ac:dyDescent="0.35">
      <c r="A3430" s="224" t="s">
        <v>247</v>
      </c>
      <c r="B3430" s="224" t="s">
        <v>28</v>
      </c>
      <c r="C3430" s="224" t="s">
        <v>86</v>
      </c>
      <c r="D3430" s="224" t="s">
        <v>55</v>
      </c>
      <c r="E3430" s="224" t="s">
        <v>256</v>
      </c>
      <c r="F3430" s="224" t="s">
        <v>249</v>
      </c>
      <c r="G3430" s="223" t="str">
        <f>VLOOKUP($B3430,'FRS geographical categories'!$A$2:$C$45,2,FALSE)</f>
        <v>Significantly Rural</v>
      </c>
      <c r="H3430" s="223" t="str">
        <f>VLOOKUP($B3430,'FRS geographical categories'!$A$2:$C$45,3,FALSE)</f>
        <v>Non-metropolitan</v>
      </c>
      <c r="I3430" s="224">
        <v>8</v>
      </c>
    </row>
    <row r="3431" spans="1:9" ht="15.5" x14ac:dyDescent="0.35">
      <c r="A3431" s="224" t="s">
        <v>247</v>
      </c>
      <c r="B3431" s="224" t="s">
        <v>28</v>
      </c>
      <c r="C3431" s="224" t="s">
        <v>86</v>
      </c>
      <c r="D3431" s="224" t="s">
        <v>55</v>
      </c>
      <c r="E3431" s="224" t="s">
        <v>256</v>
      </c>
      <c r="F3431" s="224" t="s">
        <v>250</v>
      </c>
      <c r="G3431" s="223" t="str">
        <f>VLOOKUP($B3431,'FRS geographical categories'!$A$2:$C$45,2,FALSE)</f>
        <v>Significantly Rural</v>
      </c>
      <c r="H3431" s="223" t="str">
        <f>VLOOKUP($B3431,'FRS geographical categories'!$A$2:$C$45,3,FALSE)</f>
        <v>Non-metropolitan</v>
      </c>
      <c r="I3431" s="224">
        <v>10</v>
      </c>
    </row>
    <row r="3432" spans="1:9" ht="15.5" x14ac:dyDescent="0.35">
      <c r="A3432" s="224" t="s">
        <v>247</v>
      </c>
      <c r="B3432" s="224" t="s">
        <v>28</v>
      </c>
      <c r="C3432" s="224" t="s">
        <v>86</v>
      </c>
      <c r="D3432" s="224" t="s">
        <v>55</v>
      </c>
      <c r="E3432" s="224" t="s">
        <v>256</v>
      </c>
      <c r="F3432" s="224" t="s">
        <v>111</v>
      </c>
      <c r="G3432" s="223" t="str">
        <f>VLOOKUP($B3432,'FRS geographical categories'!$A$2:$C$45,2,FALSE)</f>
        <v>Significantly Rural</v>
      </c>
      <c r="H3432" s="223" t="str">
        <f>VLOOKUP($B3432,'FRS geographical categories'!$A$2:$C$45,3,FALSE)</f>
        <v>Non-metropolitan</v>
      </c>
      <c r="I3432" s="224">
        <v>33</v>
      </c>
    </row>
    <row r="3433" spans="1:9" ht="15.5" x14ac:dyDescent="0.35">
      <c r="A3433" s="224" t="s">
        <v>247</v>
      </c>
      <c r="B3433" s="224" t="s">
        <v>28</v>
      </c>
      <c r="C3433" s="224" t="s">
        <v>86</v>
      </c>
      <c r="D3433" s="224" t="s">
        <v>55</v>
      </c>
      <c r="E3433" s="224" t="s">
        <v>256</v>
      </c>
      <c r="F3433" s="224" t="s">
        <v>10</v>
      </c>
      <c r="G3433" s="223" t="str">
        <f>VLOOKUP($B3433,'FRS geographical categories'!$A$2:$C$45,2,FALSE)</f>
        <v>Significantly Rural</v>
      </c>
      <c r="H3433" s="223" t="str">
        <f>VLOOKUP($B3433,'FRS geographical categories'!$A$2:$C$45,3,FALSE)</f>
        <v>Non-metropolitan</v>
      </c>
      <c r="I3433" s="224">
        <v>37</v>
      </c>
    </row>
    <row r="3434" spans="1:9" ht="15.5" x14ac:dyDescent="0.35">
      <c r="A3434" s="224" t="s">
        <v>247</v>
      </c>
      <c r="B3434" s="224" t="s">
        <v>28</v>
      </c>
      <c r="C3434" s="224" t="s">
        <v>89</v>
      </c>
      <c r="D3434" s="224" t="s">
        <v>9</v>
      </c>
      <c r="E3434" s="224" t="s">
        <v>256</v>
      </c>
      <c r="F3434" s="224" t="s">
        <v>248</v>
      </c>
      <c r="G3434" s="223" t="str">
        <f>VLOOKUP($B3434,'FRS geographical categories'!$A$2:$C$45,2,FALSE)</f>
        <v>Significantly Rural</v>
      </c>
      <c r="H3434" s="223" t="str">
        <f>VLOOKUP($B3434,'FRS geographical categories'!$A$2:$C$45,3,FALSE)</f>
        <v>Non-metropolitan</v>
      </c>
      <c r="I3434" s="224">
        <v>0</v>
      </c>
    </row>
    <row r="3435" spans="1:9" ht="15.5" x14ac:dyDescent="0.35">
      <c r="A3435" s="224" t="s">
        <v>247</v>
      </c>
      <c r="B3435" s="224" t="s">
        <v>28</v>
      </c>
      <c r="C3435" s="224" t="s">
        <v>89</v>
      </c>
      <c r="D3435" s="224" t="s">
        <v>9</v>
      </c>
      <c r="E3435" s="224" t="s">
        <v>256</v>
      </c>
      <c r="F3435" s="224" t="s">
        <v>249</v>
      </c>
      <c r="G3435" s="223" t="str">
        <f>VLOOKUP($B3435,'FRS geographical categories'!$A$2:$C$45,2,FALSE)</f>
        <v>Significantly Rural</v>
      </c>
      <c r="H3435" s="223" t="str">
        <f>VLOOKUP($B3435,'FRS geographical categories'!$A$2:$C$45,3,FALSE)</f>
        <v>Non-metropolitan</v>
      </c>
      <c r="I3435" s="224">
        <v>0</v>
      </c>
    </row>
    <row r="3436" spans="1:9" ht="15.5" x14ac:dyDescent="0.35">
      <c r="A3436" s="224" t="s">
        <v>247</v>
      </c>
      <c r="B3436" s="224" t="s">
        <v>28</v>
      </c>
      <c r="C3436" s="224" t="s">
        <v>89</v>
      </c>
      <c r="D3436" s="224" t="s">
        <v>9</v>
      </c>
      <c r="E3436" s="224" t="s">
        <v>256</v>
      </c>
      <c r="F3436" s="224" t="s">
        <v>250</v>
      </c>
      <c r="G3436" s="223" t="str">
        <f>VLOOKUP($B3436,'FRS geographical categories'!$A$2:$C$45,2,FALSE)</f>
        <v>Significantly Rural</v>
      </c>
      <c r="H3436" s="223" t="str">
        <f>VLOOKUP($B3436,'FRS geographical categories'!$A$2:$C$45,3,FALSE)</f>
        <v>Non-metropolitan</v>
      </c>
      <c r="I3436" s="224">
        <v>0</v>
      </c>
    </row>
    <row r="3437" spans="1:9" ht="15.5" x14ac:dyDescent="0.35">
      <c r="A3437" s="224" t="s">
        <v>247</v>
      </c>
      <c r="B3437" s="224" t="s">
        <v>28</v>
      </c>
      <c r="C3437" s="224" t="s">
        <v>89</v>
      </c>
      <c r="D3437" s="224" t="s">
        <v>9</v>
      </c>
      <c r="E3437" s="224" t="s">
        <v>256</v>
      </c>
      <c r="F3437" s="224" t="s">
        <v>10</v>
      </c>
      <c r="G3437" s="223" t="str">
        <f>VLOOKUP($B3437,'FRS geographical categories'!$A$2:$C$45,2,FALSE)</f>
        <v>Significantly Rural</v>
      </c>
      <c r="H3437" s="223" t="str">
        <f>VLOOKUP($B3437,'FRS geographical categories'!$A$2:$C$45,3,FALSE)</f>
        <v>Non-metropolitan</v>
      </c>
      <c r="I3437" s="224">
        <v>0</v>
      </c>
    </row>
    <row r="3438" spans="1:9" ht="15.5" x14ac:dyDescent="0.35">
      <c r="A3438" s="224" t="s">
        <v>247</v>
      </c>
      <c r="B3438" s="224" t="s">
        <v>28</v>
      </c>
      <c r="C3438" s="224" t="s">
        <v>89</v>
      </c>
      <c r="D3438" s="224" t="s">
        <v>55</v>
      </c>
      <c r="E3438" s="224" t="s">
        <v>256</v>
      </c>
      <c r="F3438" s="224" t="s">
        <v>248</v>
      </c>
      <c r="G3438" s="223" t="str">
        <f>VLOOKUP($B3438,'FRS geographical categories'!$A$2:$C$45,2,FALSE)</f>
        <v>Significantly Rural</v>
      </c>
      <c r="H3438" s="223" t="str">
        <f>VLOOKUP($B3438,'FRS geographical categories'!$A$2:$C$45,3,FALSE)</f>
        <v>Non-metropolitan</v>
      </c>
      <c r="I3438" s="224">
        <v>0</v>
      </c>
    </row>
    <row r="3439" spans="1:9" ht="15.5" x14ac:dyDescent="0.35">
      <c r="A3439" s="224" t="s">
        <v>247</v>
      </c>
      <c r="B3439" s="224" t="s">
        <v>28</v>
      </c>
      <c r="C3439" s="224" t="s">
        <v>89</v>
      </c>
      <c r="D3439" s="224" t="s">
        <v>55</v>
      </c>
      <c r="E3439" s="224" t="s">
        <v>256</v>
      </c>
      <c r="F3439" s="224" t="s">
        <v>249</v>
      </c>
      <c r="G3439" s="223" t="str">
        <f>VLOOKUP($B3439,'FRS geographical categories'!$A$2:$C$45,2,FALSE)</f>
        <v>Significantly Rural</v>
      </c>
      <c r="H3439" s="223" t="str">
        <f>VLOOKUP($B3439,'FRS geographical categories'!$A$2:$C$45,3,FALSE)</f>
        <v>Non-metropolitan</v>
      </c>
      <c r="I3439" s="224">
        <v>0</v>
      </c>
    </row>
    <row r="3440" spans="1:9" ht="15.5" x14ac:dyDescent="0.35">
      <c r="A3440" s="224" t="s">
        <v>247</v>
      </c>
      <c r="B3440" s="224" t="s">
        <v>28</v>
      </c>
      <c r="C3440" s="224" t="s">
        <v>89</v>
      </c>
      <c r="D3440" s="224" t="s">
        <v>55</v>
      </c>
      <c r="E3440" s="224" t="s">
        <v>256</v>
      </c>
      <c r="F3440" s="224" t="s">
        <v>250</v>
      </c>
      <c r="G3440" s="223" t="str">
        <f>VLOOKUP($B3440,'FRS geographical categories'!$A$2:$C$45,2,FALSE)</f>
        <v>Significantly Rural</v>
      </c>
      <c r="H3440" s="223" t="str">
        <f>VLOOKUP($B3440,'FRS geographical categories'!$A$2:$C$45,3,FALSE)</f>
        <v>Non-metropolitan</v>
      </c>
      <c r="I3440" s="224">
        <v>0</v>
      </c>
    </row>
    <row r="3441" spans="1:9" ht="15.5" x14ac:dyDescent="0.35">
      <c r="A3441" s="224" t="s">
        <v>247</v>
      </c>
      <c r="B3441" s="224" t="s">
        <v>28</v>
      </c>
      <c r="C3441" s="224" t="s">
        <v>89</v>
      </c>
      <c r="D3441" s="224" t="s">
        <v>55</v>
      </c>
      <c r="E3441" s="224" t="s">
        <v>256</v>
      </c>
      <c r="F3441" s="224" t="s">
        <v>10</v>
      </c>
      <c r="G3441" s="223" t="str">
        <f>VLOOKUP($B3441,'FRS geographical categories'!$A$2:$C$45,2,FALSE)</f>
        <v>Significantly Rural</v>
      </c>
      <c r="H3441" s="223" t="str">
        <f>VLOOKUP($B3441,'FRS geographical categories'!$A$2:$C$45,3,FALSE)</f>
        <v>Non-metropolitan</v>
      </c>
      <c r="I3441" s="224">
        <v>0</v>
      </c>
    </row>
    <row r="3442" spans="1:9" ht="15.5" x14ac:dyDescent="0.35">
      <c r="A3442" s="224" t="s">
        <v>247</v>
      </c>
      <c r="B3442" s="224" t="s">
        <v>29</v>
      </c>
      <c r="C3442" s="224" t="s">
        <v>86</v>
      </c>
      <c r="D3442" s="224" t="s">
        <v>9</v>
      </c>
      <c r="E3442" s="224" t="s">
        <v>256</v>
      </c>
      <c r="F3442" s="224" t="s">
        <v>248</v>
      </c>
      <c r="G3442" s="223" t="str">
        <f>VLOOKUP($B3442,'FRS geographical categories'!$A$2:$C$45,2,FALSE)</f>
        <v>Predominantly Urban</v>
      </c>
      <c r="H3442" s="223" t="str">
        <f>VLOOKUP($B3442,'FRS geographical categories'!$A$2:$C$45,3,FALSE)</f>
        <v>Non-metropolitan</v>
      </c>
      <c r="I3442" s="224">
        <v>315</v>
      </c>
    </row>
    <row r="3443" spans="1:9" ht="15.5" x14ac:dyDescent="0.35">
      <c r="A3443" s="224" t="s">
        <v>247</v>
      </c>
      <c r="B3443" s="224" t="s">
        <v>29</v>
      </c>
      <c r="C3443" s="224" t="s">
        <v>86</v>
      </c>
      <c r="D3443" s="224" t="s">
        <v>9</v>
      </c>
      <c r="E3443" s="224" t="s">
        <v>256</v>
      </c>
      <c r="F3443" s="224" t="s">
        <v>249</v>
      </c>
      <c r="G3443" s="223" t="str">
        <f>VLOOKUP($B3443,'FRS geographical categories'!$A$2:$C$45,2,FALSE)</f>
        <v>Predominantly Urban</v>
      </c>
      <c r="H3443" s="223" t="str">
        <f>VLOOKUP($B3443,'FRS geographical categories'!$A$2:$C$45,3,FALSE)</f>
        <v>Non-metropolitan</v>
      </c>
      <c r="I3443" s="224">
        <v>1002</v>
      </c>
    </row>
    <row r="3444" spans="1:9" ht="15.5" x14ac:dyDescent="0.35">
      <c r="A3444" s="224" t="s">
        <v>247</v>
      </c>
      <c r="B3444" s="224" t="s">
        <v>29</v>
      </c>
      <c r="C3444" s="224" t="s">
        <v>86</v>
      </c>
      <c r="D3444" s="224" t="s">
        <v>9</v>
      </c>
      <c r="E3444" s="224" t="s">
        <v>256</v>
      </c>
      <c r="F3444" s="224" t="s">
        <v>250</v>
      </c>
      <c r="G3444" s="223" t="str">
        <f>VLOOKUP($B3444,'FRS geographical categories'!$A$2:$C$45,2,FALSE)</f>
        <v>Predominantly Urban</v>
      </c>
      <c r="H3444" s="223" t="str">
        <f>VLOOKUP($B3444,'FRS geographical categories'!$A$2:$C$45,3,FALSE)</f>
        <v>Non-metropolitan</v>
      </c>
      <c r="I3444" s="224">
        <v>1709</v>
      </c>
    </row>
    <row r="3445" spans="1:9" ht="15.5" x14ac:dyDescent="0.35">
      <c r="A3445" s="224" t="s">
        <v>247</v>
      </c>
      <c r="B3445" s="224" t="s">
        <v>29</v>
      </c>
      <c r="C3445" s="224" t="s">
        <v>86</v>
      </c>
      <c r="D3445" s="224" t="s">
        <v>9</v>
      </c>
      <c r="E3445" s="224" t="s">
        <v>256</v>
      </c>
      <c r="F3445" s="224" t="s">
        <v>111</v>
      </c>
      <c r="G3445" s="223" t="str">
        <f>VLOOKUP($B3445,'FRS geographical categories'!$A$2:$C$45,2,FALSE)</f>
        <v>Predominantly Urban</v>
      </c>
      <c r="H3445" s="223" t="str">
        <f>VLOOKUP($B3445,'FRS geographical categories'!$A$2:$C$45,3,FALSE)</f>
        <v>Non-metropolitan</v>
      </c>
      <c r="I3445" s="224">
        <v>3026</v>
      </c>
    </row>
    <row r="3446" spans="1:9" ht="15.5" x14ac:dyDescent="0.35">
      <c r="A3446" s="224" t="s">
        <v>247</v>
      </c>
      <c r="B3446" s="224" t="s">
        <v>29</v>
      </c>
      <c r="C3446" s="224" t="s">
        <v>86</v>
      </c>
      <c r="D3446" s="224" t="s">
        <v>9</v>
      </c>
      <c r="E3446" s="224" t="s">
        <v>256</v>
      </c>
      <c r="F3446" s="224" t="s">
        <v>10</v>
      </c>
      <c r="G3446" s="223" t="str">
        <f>VLOOKUP($B3446,'FRS geographical categories'!$A$2:$C$45,2,FALSE)</f>
        <v>Predominantly Urban</v>
      </c>
      <c r="H3446" s="223" t="str">
        <f>VLOOKUP($B3446,'FRS geographical categories'!$A$2:$C$45,3,FALSE)</f>
        <v>Non-metropolitan</v>
      </c>
      <c r="I3446" s="224">
        <v>6411</v>
      </c>
    </row>
    <row r="3447" spans="1:9" ht="15.5" x14ac:dyDescent="0.35">
      <c r="A3447" s="224" t="s">
        <v>247</v>
      </c>
      <c r="B3447" s="224" t="s">
        <v>29</v>
      </c>
      <c r="C3447" s="224" t="s">
        <v>86</v>
      </c>
      <c r="D3447" s="224" t="s">
        <v>55</v>
      </c>
      <c r="E3447" s="224" t="s">
        <v>256</v>
      </c>
      <c r="F3447" s="224" t="s">
        <v>248</v>
      </c>
      <c r="G3447" s="223" t="str">
        <f>VLOOKUP($B3447,'FRS geographical categories'!$A$2:$C$45,2,FALSE)</f>
        <v>Predominantly Urban</v>
      </c>
      <c r="H3447" s="223" t="str">
        <f>VLOOKUP($B3447,'FRS geographical categories'!$A$2:$C$45,3,FALSE)</f>
        <v>Non-metropolitan</v>
      </c>
      <c r="I3447" s="224">
        <v>0</v>
      </c>
    </row>
    <row r="3448" spans="1:9" ht="15.5" x14ac:dyDescent="0.35">
      <c r="A3448" s="224" t="s">
        <v>247</v>
      </c>
      <c r="B3448" s="224" t="s">
        <v>29</v>
      </c>
      <c r="C3448" s="224" t="s">
        <v>86</v>
      </c>
      <c r="D3448" s="224" t="s">
        <v>55</v>
      </c>
      <c r="E3448" s="224" t="s">
        <v>256</v>
      </c>
      <c r="F3448" s="224" t="s">
        <v>249</v>
      </c>
      <c r="G3448" s="223" t="str">
        <f>VLOOKUP($B3448,'FRS geographical categories'!$A$2:$C$45,2,FALSE)</f>
        <v>Predominantly Urban</v>
      </c>
      <c r="H3448" s="223" t="str">
        <f>VLOOKUP($B3448,'FRS geographical categories'!$A$2:$C$45,3,FALSE)</f>
        <v>Non-metropolitan</v>
      </c>
      <c r="I3448" s="224">
        <v>0</v>
      </c>
    </row>
    <row r="3449" spans="1:9" ht="15.5" x14ac:dyDescent="0.35">
      <c r="A3449" s="224" t="s">
        <v>247</v>
      </c>
      <c r="B3449" s="224" t="s">
        <v>29</v>
      </c>
      <c r="C3449" s="224" t="s">
        <v>86</v>
      </c>
      <c r="D3449" s="224" t="s">
        <v>55</v>
      </c>
      <c r="E3449" s="224" t="s">
        <v>256</v>
      </c>
      <c r="F3449" s="224" t="s">
        <v>250</v>
      </c>
      <c r="G3449" s="223" t="str">
        <f>VLOOKUP($B3449,'FRS geographical categories'!$A$2:$C$45,2,FALSE)</f>
        <v>Predominantly Urban</v>
      </c>
      <c r="H3449" s="223" t="str">
        <f>VLOOKUP($B3449,'FRS geographical categories'!$A$2:$C$45,3,FALSE)</f>
        <v>Non-metropolitan</v>
      </c>
      <c r="I3449" s="224">
        <v>0</v>
      </c>
    </row>
    <row r="3450" spans="1:9" ht="15.5" x14ac:dyDescent="0.35">
      <c r="A3450" s="224" t="s">
        <v>247</v>
      </c>
      <c r="B3450" s="224" t="s">
        <v>29</v>
      </c>
      <c r="C3450" s="224" t="s">
        <v>86</v>
      </c>
      <c r="D3450" s="224" t="s">
        <v>55</v>
      </c>
      <c r="E3450" s="224" t="s">
        <v>256</v>
      </c>
      <c r="F3450" s="224" t="s">
        <v>111</v>
      </c>
      <c r="G3450" s="223" t="str">
        <f>VLOOKUP($B3450,'FRS geographical categories'!$A$2:$C$45,2,FALSE)</f>
        <v>Predominantly Urban</v>
      </c>
      <c r="H3450" s="223" t="str">
        <f>VLOOKUP($B3450,'FRS geographical categories'!$A$2:$C$45,3,FALSE)</f>
        <v>Non-metropolitan</v>
      </c>
      <c r="I3450" s="224">
        <v>0</v>
      </c>
    </row>
    <row r="3451" spans="1:9" ht="15.5" x14ac:dyDescent="0.35">
      <c r="A3451" s="224" t="s">
        <v>247</v>
      </c>
      <c r="B3451" s="224" t="s">
        <v>29</v>
      </c>
      <c r="C3451" s="224" t="s">
        <v>86</v>
      </c>
      <c r="D3451" s="224" t="s">
        <v>55</v>
      </c>
      <c r="E3451" s="224" t="s">
        <v>256</v>
      </c>
      <c r="F3451" s="224" t="s">
        <v>10</v>
      </c>
      <c r="G3451" s="223" t="str">
        <f>VLOOKUP($B3451,'FRS geographical categories'!$A$2:$C$45,2,FALSE)</f>
        <v>Predominantly Urban</v>
      </c>
      <c r="H3451" s="223" t="str">
        <f>VLOOKUP($B3451,'FRS geographical categories'!$A$2:$C$45,3,FALSE)</f>
        <v>Non-metropolitan</v>
      </c>
      <c r="I3451" s="224">
        <v>0</v>
      </c>
    </row>
    <row r="3452" spans="1:9" ht="15.5" x14ac:dyDescent="0.35">
      <c r="A3452" s="224" t="s">
        <v>247</v>
      </c>
      <c r="B3452" s="224" t="s">
        <v>29</v>
      </c>
      <c r="C3452" s="224" t="s">
        <v>89</v>
      </c>
      <c r="D3452" s="224" t="s">
        <v>9</v>
      </c>
      <c r="E3452" s="224" t="s">
        <v>256</v>
      </c>
      <c r="F3452" s="224" t="s">
        <v>248</v>
      </c>
      <c r="G3452" s="223" t="str">
        <f>VLOOKUP($B3452,'FRS geographical categories'!$A$2:$C$45,2,FALSE)</f>
        <v>Predominantly Urban</v>
      </c>
      <c r="H3452" s="223" t="str">
        <f>VLOOKUP($B3452,'FRS geographical categories'!$A$2:$C$45,3,FALSE)</f>
        <v>Non-metropolitan</v>
      </c>
      <c r="I3452" s="224">
        <v>389</v>
      </c>
    </row>
    <row r="3453" spans="1:9" ht="15.5" x14ac:dyDescent="0.35">
      <c r="A3453" s="224" t="s">
        <v>247</v>
      </c>
      <c r="B3453" s="224" t="s">
        <v>29</v>
      </c>
      <c r="C3453" s="224" t="s">
        <v>89</v>
      </c>
      <c r="D3453" s="224" t="s">
        <v>9</v>
      </c>
      <c r="E3453" s="224" t="s">
        <v>256</v>
      </c>
      <c r="F3453" s="224" t="s">
        <v>249</v>
      </c>
      <c r="G3453" s="223" t="str">
        <f>VLOOKUP($B3453,'FRS geographical categories'!$A$2:$C$45,2,FALSE)</f>
        <v>Predominantly Urban</v>
      </c>
      <c r="H3453" s="223" t="str">
        <f>VLOOKUP($B3453,'FRS geographical categories'!$A$2:$C$45,3,FALSE)</f>
        <v>Non-metropolitan</v>
      </c>
      <c r="I3453" s="224">
        <v>949</v>
      </c>
    </row>
    <row r="3454" spans="1:9" ht="15.5" x14ac:dyDescent="0.35">
      <c r="A3454" s="224" t="s">
        <v>247</v>
      </c>
      <c r="B3454" s="224" t="s">
        <v>29</v>
      </c>
      <c r="C3454" s="224" t="s">
        <v>89</v>
      </c>
      <c r="D3454" s="224" t="s">
        <v>9</v>
      </c>
      <c r="E3454" s="224" t="s">
        <v>256</v>
      </c>
      <c r="F3454" s="224" t="s">
        <v>250</v>
      </c>
      <c r="G3454" s="223" t="str">
        <f>VLOOKUP($B3454,'FRS geographical categories'!$A$2:$C$45,2,FALSE)</f>
        <v>Predominantly Urban</v>
      </c>
      <c r="H3454" s="223" t="str">
        <f>VLOOKUP($B3454,'FRS geographical categories'!$A$2:$C$45,3,FALSE)</f>
        <v>Non-metropolitan</v>
      </c>
      <c r="I3454" s="224">
        <v>411</v>
      </c>
    </row>
    <row r="3455" spans="1:9" ht="15.5" x14ac:dyDescent="0.35">
      <c r="A3455" s="224" t="s">
        <v>247</v>
      </c>
      <c r="B3455" s="224" t="s">
        <v>29</v>
      </c>
      <c r="C3455" s="224" t="s">
        <v>89</v>
      </c>
      <c r="D3455" s="224" t="s">
        <v>9</v>
      </c>
      <c r="E3455" s="224" t="s">
        <v>256</v>
      </c>
      <c r="F3455" s="224" t="s">
        <v>10</v>
      </c>
      <c r="G3455" s="223" t="str">
        <f>VLOOKUP($B3455,'FRS geographical categories'!$A$2:$C$45,2,FALSE)</f>
        <v>Predominantly Urban</v>
      </c>
      <c r="H3455" s="223" t="str">
        <f>VLOOKUP($B3455,'FRS geographical categories'!$A$2:$C$45,3,FALSE)</f>
        <v>Non-metropolitan</v>
      </c>
      <c r="I3455" s="224">
        <v>3514</v>
      </c>
    </row>
    <row r="3456" spans="1:9" ht="15.5" x14ac:dyDescent="0.35">
      <c r="A3456" s="224" t="s">
        <v>247</v>
      </c>
      <c r="B3456" s="224" t="s">
        <v>29</v>
      </c>
      <c r="C3456" s="224" t="s">
        <v>89</v>
      </c>
      <c r="D3456" s="224" t="s">
        <v>55</v>
      </c>
      <c r="E3456" s="224" t="s">
        <v>256</v>
      </c>
      <c r="F3456" s="224" t="s">
        <v>248</v>
      </c>
      <c r="G3456" s="223" t="str">
        <f>VLOOKUP($B3456,'FRS geographical categories'!$A$2:$C$45,2,FALSE)</f>
        <v>Predominantly Urban</v>
      </c>
      <c r="H3456" s="223" t="str">
        <f>VLOOKUP($B3456,'FRS geographical categories'!$A$2:$C$45,3,FALSE)</f>
        <v>Non-metropolitan</v>
      </c>
      <c r="I3456" s="224">
        <v>0</v>
      </c>
    </row>
    <row r="3457" spans="1:9" ht="15.5" x14ac:dyDescent="0.35">
      <c r="A3457" s="224" t="s">
        <v>247</v>
      </c>
      <c r="B3457" s="224" t="s">
        <v>29</v>
      </c>
      <c r="C3457" s="224" t="s">
        <v>89</v>
      </c>
      <c r="D3457" s="224" t="s">
        <v>55</v>
      </c>
      <c r="E3457" s="224" t="s">
        <v>256</v>
      </c>
      <c r="F3457" s="224" t="s">
        <v>249</v>
      </c>
      <c r="G3457" s="223" t="str">
        <f>VLOOKUP($B3457,'FRS geographical categories'!$A$2:$C$45,2,FALSE)</f>
        <v>Predominantly Urban</v>
      </c>
      <c r="H3457" s="223" t="str">
        <f>VLOOKUP($B3457,'FRS geographical categories'!$A$2:$C$45,3,FALSE)</f>
        <v>Non-metropolitan</v>
      </c>
      <c r="I3457" s="224">
        <v>0</v>
      </c>
    </row>
    <row r="3458" spans="1:9" ht="15.5" x14ac:dyDescent="0.35">
      <c r="A3458" s="224" t="s">
        <v>247</v>
      </c>
      <c r="B3458" s="224" t="s">
        <v>29</v>
      </c>
      <c r="C3458" s="224" t="s">
        <v>89</v>
      </c>
      <c r="D3458" s="224" t="s">
        <v>55</v>
      </c>
      <c r="E3458" s="224" t="s">
        <v>256</v>
      </c>
      <c r="F3458" s="224" t="s">
        <v>250</v>
      </c>
      <c r="G3458" s="223" t="str">
        <f>VLOOKUP($B3458,'FRS geographical categories'!$A$2:$C$45,2,FALSE)</f>
        <v>Predominantly Urban</v>
      </c>
      <c r="H3458" s="223" t="str">
        <f>VLOOKUP($B3458,'FRS geographical categories'!$A$2:$C$45,3,FALSE)</f>
        <v>Non-metropolitan</v>
      </c>
      <c r="I3458" s="224">
        <v>0</v>
      </c>
    </row>
    <row r="3459" spans="1:9" ht="15.5" x14ac:dyDescent="0.35">
      <c r="A3459" s="224" t="s">
        <v>247</v>
      </c>
      <c r="B3459" s="224" t="s">
        <v>29</v>
      </c>
      <c r="C3459" s="224" t="s">
        <v>89</v>
      </c>
      <c r="D3459" s="224" t="s">
        <v>55</v>
      </c>
      <c r="E3459" s="224" t="s">
        <v>256</v>
      </c>
      <c r="F3459" s="224" t="s">
        <v>10</v>
      </c>
      <c r="G3459" s="223" t="str">
        <f>VLOOKUP($B3459,'FRS geographical categories'!$A$2:$C$45,2,FALSE)</f>
        <v>Predominantly Urban</v>
      </c>
      <c r="H3459" s="223" t="str">
        <f>VLOOKUP($B3459,'FRS geographical categories'!$A$2:$C$45,3,FALSE)</f>
        <v>Non-metropolitan</v>
      </c>
      <c r="I3459" s="224">
        <v>0</v>
      </c>
    </row>
    <row r="3460" spans="1:9" ht="15.5" x14ac:dyDescent="0.35">
      <c r="A3460" s="224" t="s">
        <v>247</v>
      </c>
      <c r="B3460" s="224" t="s">
        <v>30</v>
      </c>
      <c r="C3460" s="224" t="s">
        <v>86</v>
      </c>
      <c r="D3460" s="224" t="s">
        <v>9</v>
      </c>
      <c r="E3460" s="224" t="s">
        <v>256</v>
      </c>
      <c r="F3460" s="224" t="s">
        <v>248</v>
      </c>
      <c r="G3460" s="223" t="str">
        <f>VLOOKUP($B3460,'FRS geographical categories'!$A$2:$C$45,2,FALSE)</f>
        <v>Significantly Rural</v>
      </c>
      <c r="H3460" s="223" t="str">
        <f>VLOOKUP($B3460,'FRS geographical categories'!$A$2:$C$45,3,FALSE)</f>
        <v>Non-metropolitan</v>
      </c>
      <c r="I3460" s="224">
        <v>483</v>
      </c>
    </row>
    <row r="3461" spans="1:9" ht="15.5" x14ac:dyDescent="0.35">
      <c r="A3461" s="224" t="s">
        <v>247</v>
      </c>
      <c r="B3461" s="224" t="s">
        <v>30</v>
      </c>
      <c r="C3461" s="224" t="s">
        <v>86</v>
      </c>
      <c r="D3461" s="224" t="s">
        <v>9</v>
      </c>
      <c r="E3461" s="224" t="s">
        <v>256</v>
      </c>
      <c r="F3461" s="224" t="s">
        <v>249</v>
      </c>
      <c r="G3461" s="223" t="str">
        <f>VLOOKUP($B3461,'FRS geographical categories'!$A$2:$C$45,2,FALSE)</f>
        <v>Significantly Rural</v>
      </c>
      <c r="H3461" s="223" t="str">
        <f>VLOOKUP($B3461,'FRS geographical categories'!$A$2:$C$45,3,FALSE)</f>
        <v>Non-metropolitan</v>
      </c>
      <c r="I3461" s="224">
        <v>2556</v>
      </c>
    </row>
    <row r="3462" spans="1:9" ht="15.5" x14ac:dyDescent="0.35">
      <c r="A3462" s="224" t="s">
        <v>247</v>
      </c>
      <c r="B3462" s="224" t="s">
        <v>30</v>
      </c>
      <c r="C3462" s="224" t="s">
        <v>86</v>
      </c>
      <c r="D3462" s="224" t="s">
        <v>9</v>
      </c>
      <c r="E3462" s="224" t="s">
        <v>256</v>
      </c>
      <c r="F3462" s="224" t="s">
        <v>250</v>
      </c>
      <c r="G3462" s="223" t="str">
        <f>VLOOKUP($B3462,'FRS geographical categories'!$A$2:$C$45,2,FALSE)</f>
        <v>Significantly Rural</v>
      </c>
      <c r="H3462" s="223" t="str">
        <f>VLOOKUP($B3462,'FRS geographical categories'!$A$2:$C$45,3,FALSE)</f>
        <v>Non-metropolitan</v>
      </c>
      <c r="I3462" s="224">
        <v>4788</v>
      </c>
    </row>
    <row r="3463" spans="1:9" ht="15.5" x14ac:dyDescent="0.35">
      <c r="A3463" s="224" t="s">
        <v>247</v>
      </c>
      <c r="B3463" s="224" t="s">
        <v>30</v>
      </c>
      <c r="C3463" s="224" t="s">
        <v>86</v>
      </c>
      <c r="D3463" s="224" t="s">
        <v>9</v>
      </c>
      <c r="E3463" s="224" t="s">
        <v>256</v>
      </c>
      <c r="F3463" s="224" t="s">
        <v>111</v>
      </c>
      <c r="G3463" s="223" t="str">
        <f>VLOOKUP($B3463,'FRS geographical categories'!$A$2:$C$45,2,FALSE)</f>
        <v>Significantly Rural</v>
      </c>
      <c r="H3463" s="223" t="str">
        <f>VLOOKUP($B3463,'FRS geographical categories'!$A$2:$C$45,3,FALSE)</f>
        <v>Non-metropolitan</v>
      </c>
      <c r="I3463" s="224">
        <v>9173</v>
      </c>
    </row>
    <row r="3464" spans="1:9" ht="15.5" x14ac:dyDescent="0.35">
      <c r="A3464" s="224" t="s">
        <v>247</v>
      </c>
      <c r="B3464" s="224" t="s">
        <v>30</v>
      </c>
      <c r="C3464" s="224" t="s">
        <v>86</v>
      </c>
      <c r="D3464" s="224" t="s">
        <v>9</v>
      </c>
      <c r="E3464" s="224" t="s">
        <v>256</v>
      </c>
      <c r="F3464" s="224" t="s">
        <v>10</v>
      </c>
      <c r="G3464" s="223" t="str">
        <f>VLOOKUP($B3464,'FRS geographical categories'!$A$2:$C$45,2,FALSE)</f>
        <v>Significantly Rural</v>
      </c>
      <c r="H3464" s="223" t="str">
        <f>VLOOKUP($B3464,'FRS geographical categories'!$A$2:$C$45,3,FALSE)</f>
        <v>Non-metropolitan</v>
      </c>
      <c r="I3464" s="224">
        <v>9836</v>
      </c>
    </row>
    <row r="3465" spans="1:9" ht="15.5" x14ac:dyDescent="0.35">
      <c r="A3465" s="224" t="s">
        <v>247</v>
      </c>
      <c r="B3465" s="224" t="s">
        <v>30</v>
      </c>
      <c r="C3465" s="224" t="s">
        <v>86</v>
      </c>
      <c r="D3465" s="224" t="s">
        <v>55</v>
      </c>
      <c r="E3465" s="224" t="s">
        <v>256</v>
      </c>
      <c r="F3465" s="224" t="s">
        <v>248</v>
      </c>
      <c r="G3465" s="223" t="str">
        <f>VLOOKUP($B3465,'FRS geographical categories'!$A$2:$C$45,2,FALSE)</f>
        <v>Significantly Rural</v>
      </c>
      <c r="H3465" s="223" t="str">
        <f>VLOOKUP($B3465,'FRS geographical categories'!$A$2:$C$45,3,FALSE)</f>
        <v>Non-metropolitan</v>
      </c>
      <c r="I3465" s="224">
        <v>0</v>
      </c>
    </row>
    <row r="3466" spans="1:9" ht="15.5" x14ac:dyDescent="0.35">
      <c r="A3466" s="224" t="s">
        <v>247</v>
      </c>
      <c r="B3466" s="224" t="s">
        <v>30</v>
      </c>
      <c r="C3466" s="224" t="s">
        <v>86</v>
      </c>
      <c r="D3466" s="224" t="s">
        <v>55</v>
      </c>
      <c r="E3466" s="224" t="s">
        <v>256</v>
      </c>
      <c r="F3466" s="224" t="s">
        <v>249</v>
      </c>
      <c r="G3466" s="223" t="str">
        <f>VLOOKUP($B3466,'FRS geographical categories'!$A$2:$C$45,2,FALSE)</f>
        <v>Significantly Rural</v>
      </c>
      <c r="H3466" s="223" t="str">
        <f>VLOOKUP($B3466,'FRS geographical categories'!$A$2:$C$45,3,FALSE)</f>
        <v>Non-metropolitan</v>
      </c>
      <c r="I3466" s="224">
        <v>0</v>
      </c>
    </row>
    <row r="3467" spans="1:9" ht="15.5" x14ac:dyDescent="0.35">
      <c r="A3467" s="224" t="s">
        <v>247</v>
      </c>
      <c r="B3467" s="224" t="s">
        <v>30</v>
      </c>
      <c r="C3467" s="224" t="s">
        <v>86</v>
      </c>
      <c r="D3467" s="224" t="s">
        <v>55</v>
      </c>
      <c r="E3467" s="224" t="s">
        <v>256</v>
      </c>
      <c r="F3467" s="224" t="s">
        <v>250</v>
      </c>
      <c r="G3467" s="223" t="str">
        <f>VLOOKUP($B3467,'FRS geographical categories'!$A$2:$C$45,2,FALSE)</f>
        <v>Significantly Rural</v>
      </c>
      <c r="H3467" s="223" t="str">
        <f>VLOOKUP($B3467,'FRS geographical categories'!$A$2:$C$45,3,FALSE)</f>
        <v>Non-metropolitan</v>
      </c>
      <c r="I3467" s="224">
        <v>0</v>
      </c>
    </row>
    <row r="3468" spans="1:9" ht="15.5" x14ac:dyDescent="0.35">
      <c r="A3468" s="224" t="s">
        <v>247</v>
      </c>
      <c r="B3468" s="224" t="s">
        <v>30</v>
      </c>
      <c r="C3468" s="224" t="s">
        <v>86</v>
      </c>
      <c r="D3468" s="224" t="s">
        <v>55</v>
      </c>
      <c r="E3468" s="224" t="s">
        <v>256</v>
      </c>
      <c r="F3468" s="224" t="s">
        <v>111</v>
      </c>
      <c r="G3468" s="223" t="str">
        <f>VLOOKUP($B3468,'FRS geographical categories'!$A$2:$C$45,2,FALSE)</f>
        <v>Significantly Rural</v>
      </c>
      <c r="H3468" s="223" t="str">
        <f>VLOOKUP($B3468,'FRS geographical categories'!$A$2:$C$45,3,FALSE)</f>
        <v>Non-metropolitan</v>
      </c>
      <c r="I3468" s="224">
        <v>0</v>
      </c>
    </row>
    <row r="3469" spans="1:9" ht="15.5" x14ac:dyDescent="0.35">
      <c r="A3469" s="224" t="s">
        <v>247</v>
      </c>
      <c r="B3469" s="224" t="s">
        <v>30</v>
      </c>
      <c r="C3469" s="224" t="s">
        <v>86</v>
      </c>
      <c r="D3469" s="224" t="s">
        <v>55</v>
      </c>
      <c r="E3469" s="224" t="s">
        <v>256</v>
      </c>
      <c r="F3469" s="224" t="s">
        <v>10</v>
      </c>
      <c r="G3469" s="223" t="str">
        <f>VLOOKUP($B3469,'FRS geographical categories'!$A$2:$C$45,2,FALSE)</f>
        <v>Significantly Rural</v>
      </c>
      <c r="H3469" s="223" t="str">
        <f>VLOOKUP($B3469,'FRS geographical categories'!$A$2:$C$45,3,FALSE)</f>
        <v>Non-metropolitan</v>
      </c>
      <c r="I3469" s="224">
        <v>0</v>
      </c>
    </row>
    <row r="3470" spans="1:9" ht="15.5" x14ac:dyDescent="0.35">
      <c r="A3470" s="224" t="s">
        <v>247</v>
      </c>
      <c r="B3470" s="224" t="s">
        <v>30</v>
      </c>
      <c r="C3470" s="224" t="s">
        <v>89</v>
      </c>
      <c r="D3470" s="224" t="s">
        <v>9</v>
      </c>
      <c r="E3470" s="224" t="s">
        <v>256</v>
      </c>
      <c r="F3470" s="224" t="s">
        <v>248</v>
      </c>
      <c r="G3470" s="223" t="str">
        <f>VLOOKUP($B3470,'FRS geographical categories'!$A$2:$C$45,2,FALSE)</f>
        <v>Significantly Rural</v>
      </c>
      <c r="H3470" s="223" t="str">
        <f>VLOOKUP($B3470,'FRS geographical categories'!$A$2:$C$45,3,FALSE)</f>
        <v>Non-metropolitan</v>
      </c>
      <c r="I3470" s="224">
        <v>0</v>
      </c>
    </row>
    <row r="3471" spans="1:9" ht="15.5" x14ac:dyDescent="0.35">
      <c r="A3471" s="224" t="s">
        <v>247</v>
      </c>
      <c r="B3471" s="224" t="s">
        <v>30</v>
      </c>
      <c r="C3471" s="224" t="s">
        <v>89</v>
      </c>
      <c r="D3471" s="224" t="s">
        <v>9</v>
      </c>
      <c r="E3471" s="224" t="s">
        <v>256</v>
      </c>
      <c r="F3471" s="224" t="s">
        <v>249</v>
      </c>
      <c r="G3471" s="223" t="str">
        <f>VLOOKUP($B3471,'FRS geographical categories'!$A$2:$C$45,2,FALSE)</f>
        <v>Significantly Rural</v>
      </c>
      <c r="H3471" s="223" t="str">
        <f>VLOOKUP($B3471,'FRS geographical categories'!$A$2:$C$45,3,FALSE)</f>
        <v>Non-metropolitan</v>
      </c>
      <c r="I3471" s="224">
        <v>0</v>
      </c>
    </row>
    <row r="3472" spans="1:9" ht="15.5" x14ac:dyDescent="0.35">
      <c r="A3472" s="224" t="s">
        <v>247</v>
      </c>
      <c r="B3472" s="224" t="s">
        <v>30</v>
      </c>
      <c r="C3472" s="224" t="s">
        <v>89</v>
      </c>
      <c r="D3472" s="224" t="s">
        <v>9</v>
      </c>
      <c r="E3472" s="224" t="s">
        <v>256</v>
      </c>
      <c r="F3472" s="224" t="s">
        <v>250</v>
      </c>
      <c r="G3472" s="223" t="str">
        <f>VLOOKUP($B3472,'FRS geographical categories'!$A$2:$C$45,2,FALSE)</f>
        <v>Significantly Rural</v>
      </c>
      <c r="H3472" s="223" t="str">
        <f>VLOOKUP($B3472,'FRS geographical categories'!$A$2:$C$45,3,FALSE)</f>
        <v>Non-metropolitan</v>
      </c>
      <c r="I3472" s="224">
        <v>0</v>
      </c>
    </row>
    <row r="3473" spans="1:9" ht="15.5" x14ac:dyDescent="0.35">
      <c r="A3473" s="224" t="s">
        <v>247</v>
      </c>
      <c r="B3473" s="224" t="s">
        <v>30</v>
      </c>
      <c r="C3473" s="224" t="s">
        <v>89</v>
      </c>
      <c r="D3473" s="224" t="s">
        <v>9</v>
      </c>
      <c r="E3473" s="224" t="s">
        <v>256</v>
      </c>
      <c r="F3473" s="224" t="s">
        <v>10</v>
      </c>
      <c r="G3473" s="223" t="str">
        <f>VLOOKUP($B3473,'FRS geographical categories'!$A$2:$C$45,2,FALSE)</f>
        <v>Significantly Rural</v>
      </c>
      <c r="H3473" s="223" t="str">
        <f>VLOOKUP($B3473,'FRS geographical categories'!$A$2:$C$45,3,FALSE)</f>
        <v>Non-metropolitan</v>
      </c>
      <c r="I3473" s="224">
        <v>0</v>
      </c>
    </row>
    <row r="3474" spans="1:9" ht="15.5" x14ac:dyDescent="0.35">
      <c r="A3474" s="224" t="s">
        <v>247</v>
      </c>
      <c r="B3474" s="224" t="s">
        <v>30</v>
      </c>
      <c r="C3474" s="224" t="s">
        <v>89</v>
      </c>
      <c r="D3474" s="224" t="s">
        <v>55</v>
      </c>
      <c r="E3474" s="224" t="s">
        <v>256</v>
      </c>
      <c r="F3474" s="224" t="s">
        <v>248</v>
      </c>
      <c r="G3474" s="223" t="str">
        <f>VLOOKUP($B3474,'FRS geographical categories'!$A$2:$C$45,2,FALSE)</f>
        <v>Significantly Rural</v>
      </c>
      <c r="H3474" s="223" t="str">
        <f>VLOOKUP($B3474,'FRS geographical categories'!$A$2:$C$45,3,FALSE)</f>
        <v>Non-metropolitan</v>
      </c>
      <c r="I3474" s="224">
        <v>0</v>
      </c>
    </row>
    <row r="3475" spans="1:9" ht="15.5" x14ac:dyDescent="0.35">
      <c r="A3475" s="224" t="s">
        <v>247</v>
      </c>
      <c r="B3475" s="224" t="s">
        <v>30</v>
      </c>
      <c r="C3475" s="224" t="s">
        <v>89</v>
      </c>
      <c r="D3475" s="224" t="s">
        <v>55</v>
      </c>
      <c r="E3475" s="224" t="s">
        <v>256</v>
      </c>
      <c r="F3475" s="224" t="s">
        <v>249</v>
      </c>
      <c r="G3475" s="223" t="str">
        <f>VLOOKUP($B3475,'FRS geographical categories'!$A$2:$C$45,2,FALSE)</f>
        <v>Significantly Rural</v>
      </c>
      <c r="H3475" s="223" t="str">
        <f>VLOOKUP($B3475,'FRS geographical categories'!$A$2:$C$45,3,FALSE)</f>
        <v>Non-metropolitan</v>
      </c>
      <c r="I3475" s="224">
        <v>0</v>
      </c>
    </row>
    <row r="3476" spans="1:9" ht="15.5" x14ac:dyDescent="0.35">
      <c r="A3476" s="224" t="s">
        <v>247</v>
      </c>
      <c r="B3476" s="224" t="s">
        <v>30</v>
      </c>
      <c r="C3476" s="224" t="s">
        <v>89</v>
      </c>
      <c r="D3476" s="224" t="s">
        <v>55</v>
      </c>
      <c r="E3476" s="224" t="s">
        <v>256</v>
      </c>
      <c r="F3476" s="224" t="s">
        <v>250</v>
      </c>
      <c r="G3476" s="223" t="str">
        <f>VLOOKUP($B3476,'FRS geographical categories'!$A$2:$C$45,2,FALSE)</f>
        <v>Significantly Rural</v>
      </c>
      <c r="H3476" s="223" t="str">
        <f>VLOOKUP($B3476,'FRS geographical categories'!$A$2:$C$45,3,FALSE)</f>
        <v>Non-metropolitan</v>
      </c>
      <c r="I3476" s="224">
        <v>0</v>
      </c>
    </row>
    <row r="3477" spans="1:9" ht="15.5" x14ac:dyDescent="0.35">
      <c r="A3477" s="224" t="s">
        <v>247</v>
      </c>
      <c r="B3477" s="224" t="s">
        <v>30</v>
      </c>
      <c r="C3477" s="224" t="s">
        <v>89</v>
      </c>
      <c r="D3477" s="224" t="s">
        <v>55</v>
      </c>
      <c r="E3477" s="224" t="s">
        <v>256</v>
      </c>
      <c r="F3477" s="224" t="s">
        <v>10</v>
      </c>
      <c r="G3477" s="223" t="str">
        <f>VLOOKUP($B3477,'FRS geographical categories'!$A$2:$C$45,2,FALSE)</f>
        <v>Significantly Rural</v>
      </c>
      <c r="H3477" s="223" t="str">
        <f>VLOOKUP($B3477,'FRS geographical categories'!$A$2:$C$45,3,FALSE)</f>
        <v>Non-metropolitan</v>
      </c>
      <c r="I3477" s="224">
        <v>0</v>
      </c>
    </row>
    <row r="3478" spans="1:9" ht="15.5" x14ac:dyDescent="0.35">
      <c r="A3478" s="224" t="s">
        <v>247</v>
      </c>
      <c r="B3478" s="224" t="s">
        <v>31</v>
      </c>
      <c r="C3478" s="224" t="s">
        <v>86</v>
      </c>
      <c r="D3478" s="224" t="s">
        <v>9</v>
      </c>
      <c r="E3478" s="224" t="s">
        <v>256</v>
      </c>
      <c r="F3478" s="224" t="s">
        <v>248</v>
      </c>
      <c r="G3478" s="223" t="str">
        <f>VLOOKUP($B3478,'FRS geographical categories'!$A$2:$C$45,2,FALSE)</f>
        <v>Predominantly Rural</v>
      </c>
      <c r="H3478" s="223" t="str">
        <f>VLOOKUP($B3478,'FRS geographical categories'!$A$2:$C$45,3,FALSE)</f>
        <v>Non-metropolitan</v>
      </c>
      <c r="I3478" s="224">
        <v>3</v>
      </c>
    </row>
    <row r="3479" spans="1:9" ht="15.5" x14ac:dyDescent="0.35">
      <c r="A3479" s="224" t="s">
        <v>247</v>
      </c>
      <c r="B3479" s="224" t="s">
        <v>31</v>
      </c>
      <c r="C3479" s="224" t="s">
        <v>86</v>
      </c>
      <c r="D3479" s="224" t="s">
        <v>9</v>
      </c>
      <c r="E3479" s="224" t="s">
        <v>256</v>
      </c>
      <c r="F3479" s="224" t="s">
        <v>249</v>
      </c>
      <c r="G3479" s="223" t="str">
        <f>VLOOKUP($B3479,'FRS geographical categories'!$A$2:$C$45,2,FALSE)</f>
        <v>Predominantly Rural</v>
      </c>
      <c r="H3479" s="223" t="str">
        <f>VLOOKUP($B3479,'FRS geographical categories'!$A$2:$C$45,3,FALSE)</f>
        <v>Non-metropolitan</v>
      </c>
      <c r="I3479" s="224">
        <v>23</v>
      </c>
    </row>
    <row r="3480" spans="1:9" ht="15.5" x14ac:dyDescent="0.35">
      <c r="A3480" s="224" t="s">
        <v>247</v>
      </c>
      <c r="B3480" s="224" t="s">
        <v>31</v>
      </c>
      <c r="C3480" s="224" t="s">
        <v>86</v>
      </c>
      <c r="D3480" s="224" t="s">
        <v>9</v>
      </c>
      <c r="E3480" s="224" t="s">
        <v>256</v>
      </c>
      <c r="F3480" s="224" t="s">
        <v>250</v>
      </c>
      <c r="G3480" s="223" t="str">
        <f>VLOOKUP($B3480,'FRS geographical categories'!$A$2:$C$45,2,FALSE)</f>
        <v>Predominantly Rural</v>
      </c>
      <c r="H3480" s="223" t="str">
        <f>VLOOKUP($B3480,'FRS geographical categories'!$A$2:$C$45,3,FALSE)</f>
        <v>Non-metropolitan</v>
      </c>
      <c r="I3480" s="224">
        <v>41</v>
      </c>
    </row>
    <row r="3481" spans="1:9" ht="15.5" x14ac:dyDescent="0.35">
      <c r="A3481" s="224" t="s">
        <v>247</v>
      </c>
      <c r="B3481" s="224" t="s">
        <v>31</v>
      </c>
      <c r="C3481" s="224" t="s">
        <v>86</v>
      </c>
      <c r="D3481" s="224" t="s">
        <v>9</v>
      </c>
      <c r="E3481" s="224" t="s">
        <v>256</v>
      </c>
      <c r="F3481" s="224" t="s">
        <v>111</v>
      </c>
      <c r="G3481" s="223" t="str">
        <f>VLOOKUP($B3481,'FRS geographical categories'!$A$2:$C$45,2,FALSE)</f>
        <v>Predominantly Rural</v>
      </c>
      <c r="H3481" s="223" t="str">
        <f>VLOOKUP($B3481,'FRS geographical categories'!$A$2:$C$45,3,FALSE)</f>
        <v>Non-metropolitan</v>
      </c>
      <c r="I3481" s="224">
        <v>117</v>
      </c>
    </row>
    <row r="3482" spans="1:9" ht="15.5" x14ac:dyDescent="0.35">
      <c r="A3482" s="224" t="s">
        <v>247</v>
      </c>
      <c r="B3482" s="224" t="s">
        <v>31</v>
      </c>
      <c r="C3482" s="224" t="s">
        <v>86</v>
      </c>
      <c r="D3482" s="224" t="s">
        <v>9</v>
      </c>
      <c r="E3482" s="224" t="s">
        <v>256</v>
      </c>
      <c r="F3482" s="224" t="s">
        <v>10</v>
      </c>
      <c r="G3482" s="223" t="str">
        <f>VLOOKUP($B3482,'FRS geographical categories'!$A$2:$C$45,2,FALSE)</f>
        <v>Predominantly Rural</v>
      </c>
      <c r="H3482" s="223" t="str">
        <f>VLOOKUP($B3482,'FRS geographical categories'!$A$2:$C$45,3,FALSE)</f>
        <v>Non-metropolitan</v>
      </c>
      <c r="I3482" s="224">
        <v>117</v>
      </c>
    </row>
    <row r="3483" spans="1:9" ht="15.5" x14ac:dyDescent="0.35">
      <c r="A3483" s="224" t="s">
        <v>247</v>
      </c>
      <c r="B3483" s="224" t="s">
        <v>31</v>
      </c>
      <c r="C3483" s="224" t="s">
        <v>86</v>
      </c>
      <c r="D3483" s="224" t="s">
        <v>55</v>
      </c>
      <c r="E3483" s="224" t="s">
        <v>256</v>
      </c>
      <c r="F3483" s="224" t="s">
        <v>248</v>
      </c>
      <c r="G3483" s="223" t="str">
        <f>VLOOKUP($B3483,'FRS geographical categories'!$A$2:$C$45,2,FALSE)</f>
        <v>Predominantly Rural</v>
      </c>
      <c r="H3483" s="223" t="str">
        <f>VLOOKUP($B3483,'FRS geographical categories'!$A$2:$C$45,3,FALSE)</f>
        <v>Non-metropolitan</v>
      </c>
      <c r="I3483" s="224">
        <v>0</v>
      </c>
    </row>
    <row r="3484" spans="1:9" ht="15.5" x14ac:dyDescent="0.35">
      <c r="A3484" s="224" t="s">
        <v>247</v>
      </c>
      <c r="B3484" s="224" t="s">
        <v>31</v>
      </c>
      <c r="C3484" s="224" t="s">
        <v>86</v>
      </c>
      <c r="D3484" s="224" t="s">
        <v>55</v>
      </c>
      <c r="E3484" s="224" t="s">
        <v>256</v>
      </c>
      <c r="F3484" s="224" t="s">
        <v>249</v>
      </c>
      <c r="G3484" s="223" t="str">
        <f>VLOOKUP($B3484,'FRS geographical categories'!$A$2:$C$45,2,FALSE)</f>
        <v>Predominantly Rural</v>
      </c>
      <c r="H3484" s="223" t="str">
        <f>VLOOKUP($B3484,'FRS geographical categories'!$A$2:$C$45,3,FALSE)</f>
        <v>Non-metropolitan</v>
      </c>
      <c r="I3484" s="224">
        <v>0</v>
      </c>
    </row>
    <row r="3485" spans="1:9" ht="15.5" x14ac:dyDescent="0.35">
      <c r="A3485" s="224" t="s">
        <v>247</v>
      </c>
      <c r="B3485" s="224" t="s">
        <v>31</v>
      </c>
      <c r="C3485" s="224" t="s">
        <v>86</v>
      </c>
      <c r="D3485" s="224" t="s">
        <v>55</v>
      </c>
      <c r="E3485" s="224" t="s">
        <v>256</v>
      </c>
      <c r="F3485" s="224" t="s">
        <v>250</v>
      </c>
      <c r="G3485" s="223" t="str">
        <f>VLOOKUP($B3485,'FRS geographical categories'!$A$2:$C$45,2,FALSE)</f>
        <v>Predominantly Rural</v>
      </c>
      <c r="H3485" s="223" t="str">
        <f>VLOOKUP($B3485,'FRS geographical categories'!$A$2:$C$45,3,FALSE)</f>
        <v>Non-metropolitan</v>
      </c>
      <c r="I3485" s="224">
        <v>0</v>
      </c>
    </row>
    <row r="3486" spans="1:9" ht="15.5" x14ac:dyDescent="0.35">
      <c r="A3486" s="224" t="s">
        <v>247</v>
      </c>
      <c r="B3486" s="224" t="s">
        <v>31</v>
      </c>
      <c r="C3486" s="224" t="s">
        <v>86</v>
      </c>
      <c r="D3486" s="224" t="s">
        <v>55</v>
      </c>
      <c r="E3486" s="224" t="s">
        <v>256</v>
      </c>
      <c r="F3486" s="224" t="s">
        <v>111</v>
      </c>
      <c r="G3486" s="223" t="str">
        <f>VLOOKUP($B3486,'FRS geographical categories'!$A$2:$C$45,2,FALSE)</f>
        <v>Predominantly Rural</v>
      </c>
      <c r="H3486" s="223" t="str">
        <f>VLOOKUP($B3486,'FRS geographical categories'!$A$2:$C$45,3,FALSE)</f>
        <v>Non-metropolitan</v>
      </c>
      <c r="I3486" s="224">
        <v>0</v>
      </c>
    </row>
    <row r="3487" spans="1:9" ht="15.5" x14ac:dyDescent="0.35">
      <c r="A3487" s="224" t="s">
        <v>247</v>
      </c>
      <c r="B3487" s="224" t="s">
        <v>31</v>
      </c>
      <c r="C3487" s="224" t="s">
        <v>86</v>
      </c>
      <c r="D3487" s="224" t="s">
        <v>55</v>
      </c>
      <c r="E3487" s="224" t="s">
        <v>256</v>
      </c>
      <c r="F3487" s="224" t="s">
        <v>10</v>
      </c>
      <c r="G3487" s="223" t="str">
        <f>VLOOKUP($B3487,'FRS geographical categories'!$A$2:$C$45,2,FALSE)</f>
        <v>Predominantly Rural</v>
      </c>
      <c r="H3487" s="223" t="str">
        <f>VLOOKUP($B3487,'FRS geographical categories'!$A$2:$C$45,3,FALSE)</f>
        <v>Non-metropolitan</v>
      </c>
      <c r="I3487" s="224">
        <v>0</v>
      </c>
    </row>
    <row r="3488" spans="1:9" ht="15.5" x14ac:dyDescent="0.35">
      <c r="A3488" s="224" t="s">
        <v>247</v>
      </c>
      <c r="B3488" s="224" t="s">
        <v>31</v>
      </c>
      <c r="C3488" s="224" t="s">
        <v>89</v>
      </c>
      <c r="D3488" s="224" t="s">
        <v>9</v>
      </c>
      <c r="E3488" s="224" t="s">
        <v>256</v>
      </c>
      <c r="F3488" s="224" t="s">
        <v>248</v>
      </c>
      <c r="G3488" s="223" t="str">
        <f>VLOOKUP($B3488,'FRS geographical categories'!$A$2:$C$45,2,FALSE)</f>
        <v>Predominantly Rural</v>
      </c>
      <c r="H3488" s="223" t="str">
        <f>VLOOKUP($B3488,'FRS geographical categories'!$A$2:$C$45,3,FALSE)</f>
        <v>Non-metropolitan</v>
      </c>
      <c r="I3488" s="224">
        <v>0</v>
      </c>
    </row>
    <row r="3489" spans="1:9" ht="15.5" x14ac:dyDescent="0.35">
      <c r="A3489" s="224" t="s">
        <v>247</v>
      </c>
      <c r="B3489" s="224" t="s">
        <v>31</v>
      </c>
      <c r="C3489" s="224" t="s">
        <v>89</v>
      </c>
      <c r="D3489" s="224" t="s">
        <v>9</v>
      </c>
      <c r="E3489" s="224" t="s">
        <v>256</v>
      </c>
      <c r="F3489" s="224" t="s">
        <v>249</v>
      </c>
      <c r="G3489" s="223" t="str">
        <f>VLOOKUP($B3489,'FRS geographical categories'!$A$2:$C$45,2,FALSE)</f>
        <v>Predominantly Rural</v>
      </c>
      <c r="H3489" s="223" t="str">
        <f>VLOOKUP($B3489,'FRS geographical categories'!$A$2:$C$45,3,FALSE)</f>
        <v>Non-metropolitan</v>
      </c>
      <c r="I3489" s="224">
        <v>0</v>
      </c>
    </row>
    <row r="3490" spans="1:9" ht="15.5" x14ac:dyDescent="0.35">
      <c r="A3490" s="224" t="s">
        <v>247</v>
      </c>
      <c r="B3490" s="224" t="s">
        <v>31</v>
      </c>
      <c r="C3490" s="224" t="s">
        <v>89</v>
      </c>
      <c r="D3490" s="224" t="s">
        <v>9</v>
      </c>
      <c r="E3490" s="224" t="s">
        <v>256</v>
      </c>
      <c r="F3490" s="224" t="s">
        <v>250</v>
      </c>
      <c r="G3490" s="223" t="str">
        <f>VLOOKUP($B3490,'FRS geographical categories'!$A$2:$C$45,2,FALSE)</f>
        <v>Predominantly Rural</v>
      </c>
      <c r="H3490" s="223" t="str">
        <f>VLOOKUP($B3490,'FRS geographical categories'!$A$2:$C$45,3,FALSE)</f>
        <v>Non-metropolitan</v>
      </c>
      <c r="I3490" s="224">
        <v>0</v>
      </c>
    </row>
    <row r="3491" spans="1:9" ht="15.5" x14ac:dyDescent="0.35">
      <c r="A3491" s="224" t="s">
        <v>247</v>
      </c>
      <c r="B3491" s="224" t="s">
        <v>31</v>
      </c>
      <c r="C3491" s="224" t="s">
        <v>89</v>
      </c>
      <c r="D3491" s="224" t="s">
        <v>9</v>
      </c>
      <c r="E3491" s="224" t="s">
        <v>256</v>
      </c>
      <c r="F3491" s="224" t="s">
        <v>10</v>
      </c>
      <c r="G3491" s="223" t="str">
        <f>VLOOKUP($B3491,'FRS geographical categories'!$A$2:$C$45,2,FALSE)</f>
        <v>Predominantly Rural</v>
      </c>
      <c r="H3491" s="223" t="str">
        <f>VLOOKUP($B3491,'FRS geographical categories'!$A$2:$C$45,3,FALSE)</f>
        <v>Non-metropolitan</v>
      </c>
      <c r="I3491" s="224">
        <v>0</v>
      </c>
    </row>
    <row r="3492" spans="1:9" ht="15.5" x14ac:dyDescent="0.35">
      <c r="A3492" s="224" t="s">
        <v>247</v>
      </c>
      <c r="B3492" s="224" t="s">
        <v>31</v>
      </c>
      <c r="C3492" s="224" t="s">
        <v>89</v>
      </c>
      <c r="D3492" s="224" t="s">
        <v>55</v>
      </c>
      <c r="E3492" s="224" t="s">
        <v>256</v>
      </c>
      <c r="F3492" s="224" t="s">
        <v>248</v>
      </c>
      <c r="G3492" s="223" t="str">
        <f>VLOOKUP($B3492,'FRS geographical categories'!$A$2:$C$45,2,FALSE)</f>
        <v>Predominantly Rural</v>
      </c>
      <c r="H3492" s="223" t="str">
        <f>VLOOKUP($B3492,'FRS geographical categories'!$A$2:$C$45,3,FALSE)</f>
        <v>Non-metropolitan</v>
      </c>
      <c r="I3492" s="224">
        <v>0</v>
      </c>
    </row>
    <row r="3493" spans="1:9" ht="15.5" x14ac:dyDescent="0.35">
      <c r="A3493" s="224" t="s">
        <v>247</v>
      </c>
      <c r="B3493" s="224" t="s">
        <v>31</v>
      </c>
      <c r="C3493" s="224" t="s">
        <v>89</v>
      </c>
      <c r="D3493" s="224" t="s">
        <v>55</v>
      </c>
      <c r="E3493" s="224" t="s">
        <v>256</v>
      </c>
      <c r="F3493" s="224" t="s">
        <v>249</v>
      </c>
      <c r="G3493" s="223" t="str">
        <f>VLOOKUP($B3493,'FRS geographical categories'!$A$2:$C$45,2,FALSE)</f>
        <v>Predominantly Rural</v>
      </c>
      <c r="H3493" s="223" t="str">
        <f>VLOOKUP($B3493,'FRS geographical categories'!$A$2:$C$45,3,FALSE)</f>
        <v>Non-metropolitan</v>
      </c>
      <c r="I3493" s="224">
        <v>0</v>
      </c>
    </row>
    <row r="3494" spans="1:9" ht="15.5" x14ac:dyDescent="0.35">
      <c r="A3494" s="224" t="s">
        <v>247</v>
      </c>
      <c r="B3494" s="224" t="s">
        <v>31</v>
      </c>
      <c r="C3494" s="224" t="s">
        <v>89</v>
      </c>
      <c r="D3494" s="224" t="s">
        <v>55</v>
      </c>
      <c r="E3494" s="224" t="s">
        <v>256</v>
      </c>
      <c r="F3494" s="224" t="s">
        <v>250</v>
      </c>
      <c r="G3494" s="223" t="str">
        <f>VLOOKUP($B3494,'FRS geographical categories'!$A$2:$C$45,2,FALSE)</f>
        <v>Predominantly Rural</v>
      </c>
      <c r="H3494" s="223" t="str">
        <f>VLOOKUP($B3494,'FRS geographical categories'!$A$2:$C$45,3,FALSE)</f>
        <v>Non-metropolitan</v>
      </c>
      <c r="I3494" s="224">
        <v>0</v>
      </c>
    </row>
    <row r="3495" spans="1:9" ht="15.5" x14ac:dyDescent="0.35">
      <c r="A3495" s="224" t="s">
        <v>247</v>
      </c>
      <c r="B3495" s="224" t="s">
        <v>31</v>
      </c>
      <c r="C3495" s="224" t="s">
        <v>89</v>
      </c>
      <c r="D3495" s="224" t="s">
        <v>55</v>
      </c>
      <c r="E3495" s="224" t="s">
        <v>256</v>
      </c>
      <c r="F3495" s="224" t="s">
        <v>10</v>
      </c>
      <c r="G3495" s="223" t="str">
        <f>VLOOKUP($B3495,'FRS geographical categories'!$A$2:$C$45,2,FALSE)</f>
        <v>Predominantly Rural</v>
      </c>
      <c r="H3495" s="223" t="str">
        <f>VLOOKUP($B3495,'FRS geographical categories'!$A$2:$C$45,3,FALSE)</f>
        <v>Non-metropolitan</v>
      </c>
      <c r="I3495" s="224">
        <v>0</v>
      </c>
    </row>
    <row r="3496" spans="1:9" ht="15.5" x14ac:dyDescent="0.35">
      <c r="A3496" s="224" t="s">
        <v>247</v>
      </c>
      <c r="B3496" s="224" t="s">
        <v>32</v>
      </c>
      <c r="C3496" s="224" t="s">
        <v>86</v>
      </c>
      <c r="D3496" s="224" t="s">
        <v>9</v>
      </c>
      <c r="E3496" s="224" t="s">
        <v>256</v>
      </c>
      <c r="F3496" s="224" t="s">
        <v>248</v>
      </c>
      <c r="G3496" s="223" t="str">
        <f>VLOOKUP($B3496,'FRS geographical categories'!$A$2:$C$45,2,FALSE)</f>
        <v>Significantly Rural</v>
      </c>
      <c r="H3496" s="223" t="str">
        <f>VLOOKUP($B3496,'FRS geographical categories'!$A$2:$C$45,3,FALSE)</f>
        <v>Non-metropolitan</v>
      </c>
      <c r="I3496" s="224">
        <v>1770</v>
      </c>
    </row>
    <row r="3497" spans="1:9" ht="15.5" x14ac:dyDescent="0.35">
      <c r="A3497" s="224" t="s">
        <v>247</v>
      </c>
      <c r="B3497" s="224" t="s">
        <v>32</v>
      </c>
      <c r="C3497" s="224" t="s">
        <v>86</v>
      </c>
      <c r="D3497" s="224" t="s">
        <v>9</v>
      </c>
      <c r="E3497" s="224" t="s">
        <v>256</v>
      </c>
      <c r="F3497" s="224" t="s">
        <v>249</v>
      </c>
      <c r="G3497" s="223" t="str">
        <f>VLOOKUP($B3497,'FRS geographical categories'!$A$2:$C$45,2,FALSE)</f>
        <v>Significantly Rural</v>
      </c>
      <c r="H3497" s="223" t="str">
        <f>VLOOKUP($B3497,'FRS geographical categories'!$A$2:$C$45,3,FALSE)</f>
        <v>Non-metropolitan</v>
      </c>
      <c r="I3497" s="224">
        <v>5232</v>
      </c>
    </row>
    <row r="3498" spans="1:9" ht="15.5" x14ac:dyDescent="0.35">
      <c r="A3498" s="224" t="s">
        <v>247</v>
      </c>
      <c r="B3498" s="224" t="s">
        <v>32</v>
      </c>
      <c r="C3498" s="224" t="s">
        <v>86</v>
      </c>
      <c r="D3498" s="224" t="s">
        <v>9</v>
      </c>
      <c r="E3498" s="224" t="s">
        <v>256</v>
      </c>
      <c r="F3498" s="224" t="s">
        <v>250</v>
      </c>
      <c r="G3498" s="223" t="str">
        <f>VLOOKUP($B3498,'FRS geographical categories'!$A$2:$C$45,2,FALSE)</f>
        <v>Significantly Rural</v>
      </c>
      <c r="H3498" s="223" t="str">
        <f>VLOOKUP($B3498,'FRS geographical categories'!$A$2:$C$45,3,FALSE)</f>
        <v>Non-metropolitan</v>
      </c>
      <c r="I3498" s="224">
        <v>11436</v>
      </c>
    </row>
    <row r="3499" spans="1:9" ht="15.5" x14ac:dyDescent="0.35">
      <c r="A3499" s="224" t="s">
        <v>247</v>
      </c>
      <c r="B3499" s="224" t="s">
        <v>32</v>
      </c>
      <c r="C3499" s="224" t="s">
        <v>86</v>
      </c>
      <c r="D3499" s="224" t="s">
        <v>9</v>
      </c>
      <c r="E3499" s="224" t="s">
        <v>256</v>
      </c>
      <c r="F3499" s="224" t="s">
        <v>111</v>
      </c>
      <c r="G3499" s="223" t="str">
        <f>VLOOKUP($B3499,'FRS geographical categories'!$A$2:$C$45,2,FALSE)</f>
        <v>Significantly Rural</v>
      </c>
      <c r="H3499" s="223" t="str">
        <f>VLOOKUP($B3499,'FRS geographical categories'!$A$2:$C$45,3,FALSE)</f>
        <v>Non-metropolitan</v>
      </c>
      <c r="I3499" s="224">
        <v>35728</v>
      </c>
    </row>
    <row r="3500" spans="1:9" ht="15.5" x14ac:dyDescent="0.35">
      <c r="A3500" s="224" t="s">
        <v>247</v>
      </c>
      <c r="B3500" s="224" t="s">
        <v>32</v>
      </c>
      <c r="C3500" s="224" t="s">
        <v>86</v>
      </c>
      <c r="D3500" s="224" t="s">
        <v>9</v>
      </c>
      <c r="E3500" s="224" t="s">
        <v>256</v>
      </c>
      <c r="F3500" s="224" t="s">
        <v>10</v>
      </c>
      <c r="G3500" s="223" t="str">
        <f>VLOOKUP($B3500,'FRS geographical categories'!$A$2:$C$45,2,FALSE)</f>
        <v>Significantly Rural</v>
      </c>
      <c r="H3500" s="223" t="str">
        <f>VLOOKUP($B3500,'FRS geographical categories'!$A$2:$C$45,3,FALSE)</f>
        <v>Non-metropolitan</v>
      </c>
      <c r="I3500" s="224">
        <v>35728</v>
      </c>
    </row>
    <row r="3501" spans="1:9" ht="15.5" x14ac:dyDescent="0.35">
      <c r="A3501" s="224" t="s">
        <v>247</v>
      </c>
      <c r="B3501" s="224" t="s">
        <v>32</v>
      </c>
      <c r="C3501" s="224" t="s">
        <v>86</v>
      </c>
      <c r="D3501" s="224" t="s">
        <v>55</v>
      </c>
      <c r="E3501" s="224" t="s">
        <v>256</v>
      </c>
      <c r="F3501" s="224" t="s">
        <v>248</v>
      </c>
      <c r="G3501" s="223" t="str">
        <f>VLOOKUP($B3501,'FRS geographical categories'!$A$2:$C$45,2,FALSE)</f>
        <v>Significantly Rural</v>
      </c>
      <c r="H3501" s="223" t="str">
        <f>VLOOKUP($B3501,'FRS geographical categories'!$A$2:$C$45,3,FALSE)</f>
        <v>Non-metropolitan</v>
      </c>
      <c r="I3501" s="224">
        <v>0</v>
      </c>
    </row>
    <row r="3502" spans="1:9" ht="15.5" x14ac:dyDescent="0.35">
      <c r="A3502" s="224" t="s">
        <v>247</v>
      </c>
      <c r="B3502" s="224" t="s">
        <v>32</v>
      </c>
      <c r="C3502" s="224" t="s">
        <v>86</v>
      </c>
      <c r="D3502" s="224" t="s">
        <v>55</v>
      </c>
      <c r="E3502" s="224" t="s">
        <v>256</v>
      </c>
      <c r="F3502" s="224" t="s">
        <v>249</v>
      </c>
      <c r="G3502" s="223" t="str">
        <f>VLOOKUP($B3502,'FRS geographical categories'!$A$2:$C$45,2,FALSE)</f>
        <v>Significantly Rural</v>
      </c>
      <c r="H3502" s="223" t="str">
        <f>VLOOKUP($B3502,'FRS geographical categories'!$A$2:$C$45,3,FALSE)</f>
        <v>Non-metropolitan</v>
      </c>
      <c r="I3502" s="224">
        <v>0</v>
      </c>
    </row>
    <row r="3503" spans="1:9" ht="15.5" x14ac:dyDescent="0.35">
      <c r="A3503" s="224" t="s">
        <v>247</v>
      </c>
      <c r="B3503" s="224" t="s">
        <v>32</v>
      </c>
      <c r="C3503" s="224" t="s">
        <v>86</v>
      </c>
      <c r="D3503" s="224" t="s">
        <v>55</v>
      </c>
      <c r="E3503" s="224" t="s">
        <v>256</v>
      </c>
      <c r="F3503" s="224" t="s">
        <v>250</v>
      </c>
      <c r="G3503" s="223" t="str">
        <f>VLOOKUP($B3503,'FRS geographical categories'!$A$2:$C$45,2,FALSE)</f>
        <v>Significantly Rural</v>
      </c>
      <c r="H3503" s="223" t="str">
        <f>VLOOKUP($B3503,'FRS geographical categories'!$A$2:$C$45,3,FALSE)</f>
        <v>Non-metropolitan</v>
      </c>
      <c r="I3503" s="224">
        <v>1</v>
      </c>
    </row>
    <row r="3504" spans="1:9" ht="15.5" x14ac:dyDescent="0.35">
      <c r="A3504" s="224" t="s">
        <v>247</v>
      </c>
      <c r="B3504" s="224" t="s">
        <v>32</v>
      </c>
      <c r="C3504" s="224" t="s">
        <v>86</v>
      </c>
      <c r="D3504" s="224" t="s">
        <v>55</v>
      </c>
      <c r="E3504" s="224" t="s">
        <v>256</v>
      </c>
      <c r="F3504" s="224" t="s">
        <v>111</v>
      </c>
      <c r="G3504" s="223" t="str">
        <f>VLOOKUP($B3504,'FRS geographical categories'!$A$2:$C$45,2,FALSE)</f>
        <v>Significantly Rural</v>
      </c>
      <c r="H3504" s="223" t="str">
        <f>VLOOKUP($B3504,'FRS geographical categories'!$A$2:$C$45,3,FALSE)</f>
        <v>Non-metropolitan</v>
      </c>
      <c r="I3504" s="224">
        <v>1</v>
      </c>
    </row>
    <row r="3505" spans="1:9" ht="15.5" x14ac:dyDescent="0.35">
      <c r="A3505" s="224" t="s">
        <v>247</v>
      </c>
      <c r="B3505" s="224" t="s">
        <v>32</v>
      </c>
      <c r="C3505" s="224" t="s">
        <v>86</v>
      </c>
      <c r="D3505" s="224" t="s">
        <v>55</v>
      </c>
      <c r="E3505" s="224" t="s">
        <v>256</v>
      </c>
      <c r="F3505" s="224" t="s">
        <v>10</v>
      </c>
      <c r="G3505" s="223" t="str">
        <f>VLOOKUP($B3505,'FRS geographical categories'!$A$2:$C$45,2,FALSE)</f>
        <v>Significantly Rural</v>
      </c>
      <c r="H3505" s="223" t="str">
        <f>VLOOKUP($B3505,'FRS geographical categories'!$A$2:$C$45,3,FALSE)</f>
        <v>Non-metropolitan</v>
      </c>
      <c r="I3505" s="224">
        <v>1</v>
      </c>
    </row>
    <row r="3506" spans="1:9" ht="15.5" x14ac:dyDescent="0.35">
      <c r="A3506" s="224" t="s">
        <v>247</v>
      </c>
      <c r="B3506" s="224" t="s">
        <v>32</v>
      </c>
      <c r="C3506" s="224" t="s">
        <v>89</v>
      </c>
      <c r="D3506" s="224" t="s">
        <v>9</v>
      </c>
      <c r="E3506" s="224" t="s">
        <v>256</v>
      </c>
      <c r="F3506" s="224" t="s">
        <v>248</v>
      </c>
      <c r="G3506" s="223" t="str">
        <f>VLOOKUP($B3506,'FRS geographical categories'!$A$2:$C$45,2,FALSE)</f>
        <v>Significantly Rural</v>
      </c>
      <c r="H3506" s="223" t="str">
        <f>VLOOKUP($B3506,'FRS geographical categories'!$A$2:$C$45,3,FALSE)</f>
        <v>Non-metropolitan</v>
      </c>
      <c r="I3506" s="224">
        <v>0</v>
      </c>
    </row>
    <row r="3507" spans="1:9" ht="15.5" x14ac:dyDescent="0.35">
      <c r="A3507" s="224" t="s">
        <v>247</v>
      </c>
      <c r="B3507" s="224" t="s">
        <v>32</v>
      </c>
      <c r="C3507" s="224" t="s">
        <v>89</v>
      </c>
      <c r="D3507" s="224" t="s">
        <v>9</v>
      </c>
      <c r="E3507" s="224" t="s">
        <v>256</v>
      </c>
      <c r="F3507" s="224" t="s">
        <v>249</v>
      </c>
      <c r="G3507" s="223" t="str">
        <f>VLOOKUP($B3507,'FRS geographical categories'!$A$2:$C$45,2,FALSE)</f>
        <v>Significantly Rural</v>
      </c>
      <c r="H3507" s="223" t="str">
        <f>VLOOKUP($B3507,'FRS geographical categories'!$A$2:$C$45,3,FALSE)</f>
        <v>Non-metropolitan</v>
      </c>
      <c r="I3507" s="224">
        <v>0</v>
      </c>
    </row>
    <row r="3508" spans="1:9" ht="15.5" x14ac:dyDescent="0.35">
      <c r="A3508" s="224" t="s">
        <v>247</v>
      </c>
      <c r="B3508" s="224" t="s">
        <v>32</v>
      </c>
      <c r="C3508" s="224" t="s">
        <v>89</v>
      </c>
      <c r="D3508" s="224" t="s">
        <v>9</v>
      </c>
      <c r="E3508" s="224" t="s">
        <v>256</v>
      </c>
      <c r="F3508" s="224" t="s">
        <v>250</v>
      </c>
      <c r="G3508" s="223" t="str">
        <f>VLOOKUP($B3508,'FRS geographical categories'!$A$2:$C$45,2,FALSE)</f>
        <v>Significantly Rural</v>
      </c>
      <c r="H3508" s="223" t="str">
        <f>VLOOKUP($B3508,'FRS geographical categories'!$A$2:$C$45,3,FALSE)</f>
        <v>Non-metropolitan</v>
      </c>
      <c r="I3508" s="224">
        <v>0</v>
      </c>
    </row>
    <row r="3509" spans="1:9" ht="15.5" x14ac:dyDescent="0.35">
      <c r="A3509" s="224" t="s">
        <v>247</v>
      </c>
      <c r="B3509" s="224" t="s">
        <v>32</v>
      </c>
      <c r="C3509" s="224" t="s">
        <v>89</v>
      </c>
      <c r="D3509" s="224" t="s">
        <v>9</v>
      </c>
      <c r="E3509" s="224" t="s">
        <v>256</v>
      </c>
      <c r="F3509" s="224" t="s">
        <v>10</v>
      </c>
      <c r="G3509" s="223" t="str">
        <f>VLOOKUP($B3509,'FRS geographical categories'!$A$2:$C$45,2,FALSE)</f>
        <v>Significantly Rural</v>
      </c>
      <c r="H3509" s="223" t="str">
        <f>VLOOKUP($B3509,'FRS geographical categories'!$A$2:$C$45,3,FALSE)</f>
        <v>Non-metropolitan</v>
      </c>
      <c r="I3509" s="224">
        <v>0</v>
      </c>
    </row>
    <row r="3510" spans="1:9" ht="15.5" x14ac:dyDescent="0.35">
      <c r="A3510" s="224" t="s">
        <v>247</v>
      </c>
      <c r="B3510" s="224" t="s">
        <v>32</v>
      </c>
      <c r="C3510" s="224" t="s">
        <v>89</v>
      </c>
      <c r="D3510" s="224" t="s">
        <v>55</v>
      </c>
      <c r="E3510" s="224" t="s">
        <v>256</v>
      </c>
      <c r="F3510" s="224" t="s">
        <v>248</v>
      </c>
      <c r="G3510" s="223" t="str">
        <f>VLOOKUP($B3510,'FRS geographical categories'!$A$2:$C$45,2,FALSE)</f>
        <v>Significantly Rural</v>
      </c>
      <c r="H3510" s="223" t="str">
        <f>VLOOKUP($B3510,'FRS geographical categories'!$A$2:$C$45,3,FALSE)</f>
        <v>Non-metropolitan</v>
      </c>
      <c r="I3510" s="224">
        <v>0</v>
      </c>
    </row>
    <row r="3511" spans="1:9" ht="15.5" x14ac:dyDescent="0.35">
      <c r="A3511" s="224" t="s">
        <v>247</v>
      </c>
      <c r="B3511" s="224" t="s">
        <v>32</v>
      </c>
      <c r="C3511" s="224" t="s">
        <v>89</v>
      </c>
      <c r="D3511" s="224" t="s">
        <v>55</v>
      </c>
      <c r="E3511" s="224" t="s">
        <v>256</v>
      </c>
      <c r="F3511" s="224" t="s">
        <v>249</v>
      </c>
      <c r="G3511" s="223" t="str">
        <f>VLOOKUP($B3511,'FRS geographical categories'!$A$2:$C$45,2,FALSE)</f>
        <v>Significantly Rural</v>
      </c>
      <c r="H3511" s="223" t="str">
        <f>VLOOKUP($B3511,'FRS geographical categories'!$A$2:$C$45,3,FALSE)</f>
        <v>Non-metropolitan</v>
      </c>
      <c r="I3511" s="224">
        <v>0</v>
      </c>
    </row>
    <row r="3512" spans="1:9" ht="15.5" x14ac:dyDescent="0.35">
      <c r="A3512" s="224" t="s">
        <v>247</v>
      </c>
      <c r="B3512" s="224" t="s">
        <v>32</v>
      </c>
      <c r="C3512" s="224" t="s">
        <v>89</v>
      </c>
      <c r="D3512" s="224" t="s">
        <v>55</v>
      </c>
      <c r="E3512" s="224" t="s">
        <v>256</v>
      </c>
      <c r="F3512" s="224" t="s">
        <v>250</v>
      </c>
      <c r="G3512" s="223" t="str">
        <f>VLOOKUP($B3512,'FRS geographical categories'!$A$2:$C$45,2,FALSE)</f>
        <v>Significantly Rural</v>
      </c>
      <c r="H3512" s="223" t="str">
        <f>VLOOKUP($B3512,'FRS geographical categories'!$A$2:$C$45,3,FALSE)</f>
        <v>Non-metropolitan</v>
      </c>
      <c r="I3512" s="224">
        <v>0</v>
      </c>
    </row>
    <row r="3513" spans="1:9" ht="15.5" x14ac:dyDescent="0.35">
      <c r="A3513" s="224" t="s">
        <v>247</v>
      </c>
      <c r="B3513" s="224" t="s">
        <v>32</v>
      </c>
      <c r="C3513" s="224" t="s">
        <v>89</v>
      </c>
      <c r="D3513" s="224" t="s">
        <v>55</v>
      </c>
      <c r="E3513" s="224" t="s">
        <v>256</v>
      </c>
      <c r="F3513" s="224" t="s">
        <v>10</v>
      </c>
      <c r="G3513" s="223" t="str">
        <f>VLOOKUP($B3513,'FRS geographical categories'!$A$2:$C$45,2,FALSE)</f>
        <v>Significantly Rural</v>
      </c>
      <c r="H3513" s="223" t="str">
        <f>VLOOKUP($B3513,'FRS geographical categories'!$A$2:$C$45,3,FALSE)</f>
        <v>Non-metropolitan</v>
      </c>
      <c r="I3513" s="224">
        <v>0</v>
      </c>
    </row>
    <row r="3514" spans="1:9" ht="15.5" x14ac:dyDescent="0.35">
      <c r="A3514" s="224" t="s">
        <v>247</v>
      </c>
      <c r="B3514" s="224" t="s">
        <v>33</v>
      </c>
      <c r="C3514" s="224" t="s">
        <v>86</v>
      </c>
      <c r="D3514" s="224" t="s">
        <v>9</v>
      </c>
      <c r="E3514" s="224" t="s">
        <v>256</v>
      </c>
      <c r="F3514" s="224" t="s">
        <v>248</v>
      </c>
      <c r="G3514" s="223" t="str">
        <f>VLOOKUP($B3514,'FRS geographical categories'!$A$2:$C$45,2,FALSE)</f>
        <v>Predominantly Urban</v>
      </c>
      <c r="H3514" s="223" t="str">
        <f>VLOOKUP($B3514,'FRS geographical categories'!$A$2:$C$45,3,FALSE)</f>
        <v>Non-metropolitan</v>
      </c>
      <c r="I3514" s="224">
        <v>1431</v>
      </c>
    </row>
    <row r="3515" spans="1:9" ht="15.5" x14ac:dyDescent="0.35">
      <c r="A3515" s="224" t="s">
        <v>247</v>
      </c>
      <c r="B3515" s="224" t="s">
        <v>33</v>
      </c>
      <c r="C3515" s="224" t="s">
        <v>86</v>
      </c>
      <c r="D3515" s="224" t="s">
        <v>9</v>
      </c>
      <c r="E3515" s="224" t="s">
        <v>256</v>
      </c>
      <c r="F3515" s="224" t="s">
        <v>249</v>
      </c>
      <c r="G3515" s="223" t="str">
        <f>VLOOKUP($B3515,'FRS geographical categories'!$A$2:$C$45,2,FALSE)</f>
        <v>Predominantly Urban</v>
      </c>
      <c r="H3515" s="223" t="str">
        <f>VLOOKUP($B3515,'FRS geographical categories'!$A$2:$C$45,3,FALSE)</f>
        <v>Non-metropolitan</v>
      </c>
      <c r="I3515" s="224">
        <v>8010</v>
      </c>
    </row>
    <row r="3516" spans="1:9" ht="15.5" x14ac:dyDescent="0.35">
      <c r="A3516" s="224" t="s">
        <v>247</v>
      </c>
      <c r="B3516" s="224" t="s">
        <v>33</v>
      </c>
      <c r="C3516" s="224" t="s">
        <v>86</v>
      </c>
      <c r="D3516" s="224" t="s">
        <v>9</v>
      </c>
      <c r="E3516" s="224" t="s">
        <v>256</v>
      </c>
      <c r="F3516" s="224" t="s">
        <v>250</v>
      </c>
      <c r="G3516" s="223" t="str">
        <f>VLOOKUP($B3516,'FRS geographical categories'!$A$2:$C$45,2,FALSE)</f>
        <v>Predominantly Urban</v>
      </c>
      <c r="H3516" s="223" t="str">
        <f>VLOOKUP($B3516,'FRS geographical categories'!$A$2:$C$45,3,FALSE)</f>
        <v>Non-metropolitan</v>
      </c>
      <c r="I3516" s="224">
        <v>5511</v>
      </c>
    </row>
    <row r="3517" spans="1:9" ht="15.5" x14ac:dyDescent="0.35">
      <c r="A3517" s="224" t="s">
        <v>247</v>
      </c>
      <c r="B3517" s="224" t="s">
        <v>33</v>
      </c>
      <c r="C3517" s="224" t="s">
        <v>86</v>
      </c>
      <c r="D3517" s="224" t="s">
        <v>9</v>
      </c>
      <c r="E3517" s="224" t="s">
        <v>256</v>
      </c>
      <c r="F3517" s="224" t="s">
        <v>111</v>
      </c>
      <c r="G3517" s="223" t="str">
        <f>VLOOKUP($B3517,'FRS geographical categories'!$A$2:$C$45,2,FALSE)</f>
        <v>Predominantly Urban</v>
      </c>
      <c r="H3517" s="223" t="str">
        <f>VLOOKUP($B3517,'FRS geographical categories'!$A$2:$C$45,3,FALSE)</f>
        <v>Non-metropolitan</v>
      </c>
      <c r="I3517" s="224">
        <v>18952</v>
      </c>
    </row>
    <row r="3518" spans="1:9" ht="15.5" x14ac:dyDescent="0.35">
      <c r="A3518" s="224" t="s">
        <v>247</v>
      </c>
      <c r="B3518" s="224" t="s">
        <v>33</v>
      </c>
      <c r="C3518" s="224" t="s">
        <v>86</v>
      </c>
      <c r="D3518" s="224" t="s">
        <v>9</v>
      </c>
      <c r="E3518" s="224" t="s">
        <v>256</v>
      </c>
      <c r="F3518" s="224" t="s">
        <v>10</v>
      </c>
      <c r="G3518" s="223" t="str">
        <f>VLOOKUP($B3518,'FRS geographical categories'!$A$2:$C$45,2,FALSE)</f>
        <v>Predominantly Urban</v>
      </c>
      <c r="H3518" s="223" t="str">
        <f>VLOOKUP($B3518,'FRS geographical categories'!$A$2:$C$45,3,FALSE)</f>
        <v>Non-metropolitan</v>
      </c>
      <c r="I3518" s="224">
        <v>21035</v>
      </c>
    </row>
    <row r="3519" spans="1:9" ht="15.5" x14ac:dyDescent="0.35">
      <c r="A3519" s="224" t="s">
        <v>247</v>
      </c>
      <c r="B3519" s="224" t="s">
        <v>33</v>
      </c>
      <c r="C3519" s="224" t="s">
        <v>86</v>
      </c>
      <c r="D3519" s="224" t="s">
        <v>55</v>
      </c>
      <c r="E3519" s="224" t="s">
        <v>256</v>
      </c>
      <c r="F3519" s="224" t="s">
        <v>248</v>
      </c>
      <c r="G3519" s="223" t="str">
        <f>VLOOKUP($B3519,'FRS geographical categories'!$A$2:$C$45,2,FALSE)</f>
        <v>Predominantly Urban</v>
      </c>
      <c r="H3519" s="223" t="str">
        <f>VLOOKUP($B3519,'FRS geographical categories'!$A$2:$C$45,3,FALSE)</f>
        <v>Non-metropolitan</v>
      </c>
      <c r="I3519" s="224">
        <v>0</v>
      </c>
    </row>
    <row r="3520" spans="1:9" ht="15.5" x14ac:dyDescent="0.35">
      <c r="A3520" s="224" t="s">
        <v>247</v>
      </c>
      <c r="B3520" s="224" t="s">
        <v>33</v>
      </c>
      <c r="C3520" s="224" t="s">
        <v>86</v>
      </c>
      <c r="D3520" s="224" t="s">
        <v>55</v>
      </c>
      <c r="E3520" s="224" t="s">
        <v>256</v>
      </c>
      <c r="F3520" s="224" t="s">
        <v>249</v>
      </c>
      <c r="G3520" s="223" t="str">
        <f>VLOOKUP($B3520,'FRS geographical categories'!$A$2:$C$45,2,FALSE)</f>
        <v>Predominantly Urban</v>
      </c>
      <c r="H3520" s="223" t="str">
        <f>VLOOKUP($B3520,'FRS geographical categories'!$A$2:$C$45,3,FALSE)</f>
        <v>Non-metropolitan</v>
      </c>
      <c r="I3520" s="224">
        <v>0</v>
      </c>
    </row>
    <row r="3521" spans="1:9" ht="15.5" x14ac:dyDescent="0.35">
      <c r="A3521" s="224" t="s">
        <v>247</v>
      </c>
      <c r="B3521" s="224" t="s">
        <v>33</v>
      </c>
      <c r="C3521" s="224" t="s">
        <v>86</v>
      </c>
      <c r="D3521" s="224" t="s">
        <v>55</v>
      </c>
      <c r="E3521" s="224" t="s">
        <v>256</v>
      </c>
      <c r="F3521" s="224" t="s">
        <v>250</v>
      </c>
      <c r="G3521" s="223" t="str">
        <f>VLOOKUP($B3521,'FRS geographical categories'!$A$2:$C$45,2,FALSE)</f>
        <v>Predominantly Urban</v>
      </c>
      <c r="H3521" s="223" t="str">
        <f>VLOOKUP($B3521,'FRS geographical categories'!$A$2:$C$45,3,FALSE)</f>
        <v>Non-metropolitan</v>
      </c>
      <c r="I3521" s="224">
        <v>0</v>
      </c>
    </row>
    <row r="3522" spans="1:9" ht="15.5" x14ac:dyDescent="0.35">
      <c r="A3522" s="224" t="s">
        <v>247</v>
      </c>
      <c r="B3522" s="224" t="s">
        <v>33</v>
      </c>
      <c r="C3522" s="224" t="s">
        <v>86</v>
      </c>
      <c r="D3522" s="224" t="s">
        <v>55</v>
      </c>
      <c r="E3522" s="224" t="s">
        <v>256</v>
      </c>
      <c r="F3522" s="224" t="s">
        <v>111</v>
      </c>
      <c r="G3522" s="223" t="str">
        <f>VLOOKUP($B3522,'FRS geographical categories'!$A$2:$C$45,2,FALSE)</f>
        <v>Predominantly Urban</v>
      </c>
      <c r="H3522" s="223" t="str">
        <f>VLOOKUP($B3522,'FRS geographical categories'!$A$2:$C$45,3,FALSE)</f>
        <v>Non-metropolitan</v>
      </c>
      <c r="I3522" s="224">
        <v>0</v>
      </c>
    </row>
    <row r="3523" spans="1:9" ht="15.5" x14ac:dyDescent="0.35">
      <c r="A3523" s="224" t="s">
        <v>247</v>
      </c>
      <c r="B3523" s="224" t="s">
        <v>33</v>
      </c>
      <c r="C3523" s="224" t="s">
        <v>86</v>
      </c>
      <c r="D3523" s="224" t="s">
        <v>55</v>
      </c>
      <c r="E3523" s="224" t="s">
        <v>256</v>
      </c>
      <c r="F3523" s="224" t="s">
        <v>10</v>
      </c>
      <c r="G3523" s="223" t="str">
        <f>VLOOKUP($B3523,'FRS geographical categories'!$A$2:$C$45,2,FALSE)</f>
        <v>Predominantly Urban</v>
      </c>
      <c r="H3523" s="223" t="str">
        <f>VLOOKUP($B3523,'FRS geographical categories'!$A$2:$C$45,3,FALSE)</f>
        <v>Non-metropolitan</v>
      </c>
      <c r="I3523" s="224">
        <v>0</v>
      </c>
    </row>
    <row r="3524" spans="1:9" ht="15.5" x14ac:dyDescent="0.35">
      <c r="A3524" s="224" t="s">
        <v>247</v>
      </c>
      <c r="B3524" s="224" t="s">
        <v>33</v>
      </c>
      <c r="C3524" s="224" t="s">
        <v>89</v>
      </c>
      <c r="D3524" s="224" t="s">
        <v>9</v>
      </c>
      <c r="E3524" s="224" t="s">
        <v>256</v>
      </c>
      <c r="F3524" s="224" t="s">
        <v>248</v>
      </c>
      <c r="G3524" s="223" t="str">
        <f>VLOOKUP($B3524,'FRS geographical categories'!$A$2:$C$45,2,FALSE)</f>
        <v>Predominantly Urban</v>
      </c>
      <c r="H3524" s="223" t="str">
        <f>VLOOKUP($B3524,'FRS geographical categories'!$A$2:$C$45,3,FALSE)</f>
        <v>Non-metropolitan</v>
      </c>
      <c r="I3524" s="224">
        <v>0</v>
      </c>
    </row>
    <row r="3525" spans="1:9" ht="15.5" x14ac:dyDescent="0.35">
      <c r="A3525" s="224" t="s">
        <v>247</v>
      </c>
      <c r="B3525" s="224" t="s">
        <v>33</v>
      </c>
      <c r="C3525" s="224" t="s">
        <v>89</v>
      </c>
      <c r="D3525" s="224" t="s">
        <v>9</v>
      </c>
      <c r="E3525" s="224" t="s">
        <v>256</v>
      </c>
      <c r="F3525" s="224" t="s">
        <v>249</v>
      </c>
      <c r="G3525" s="223" t="str">
        <f>VLOOKUP($B3525,'FRS geographical categories'!$A$2:$C$45,2,FALSE)</f>
        <v>Predominantly Urban</v>
      </c>
      <c r="H3525" s="223" t="str">
        <f>VLOOKUP($B3525,'FRS geographical categories'!$A$2:$C$45,3,FALSE)</f>
        <v>Non-metropolitan</v>
      </c>
      <c r="I3525" s="224">
        <v>0</v>
      </c>
    </row>
    <row r="3526" spans="1:9" ht="15.5" x14ac:dyDescent="0.35">
      <c r="A3526" s="224" t="s">
        <v>247</v>
      </c>
      <c r="B3526" s="224" t="s">
        <v>33</v>
      </c>
      <c r="C3526" s="224" t="s">
        <v>89</v>
      </c>
      <c r="D3526" s="224" t="s">
        <v>9</v>
      </c>
      <c r="E3526" s="224" t="s">
        <v>256</v>
      </c>
      <c r="F3526" s="224" t="s">
        <v>250</v>
      </c>
      <c r="G3526" s="223" t="str">
        <f>VLOOKUP($B3526,'FRS geographical categories'!$A$2:$C$45,2,FALSE)</f>
        <v>Predominantly Urban</v>
      </c>
      <c r="H3526" s="223" t="str">
        <f>VLOOKUP($B3526,'FRS geographical categories'!$A$2:$C$45,3,FALSE)</f>
        <v>Non-metropolitan</v>
      </c>
      <c r="I3526" s="224">
        <v>0</v>
      </c>
    </row>
    <row r="3527" spans="1:9" ht="15.5" x14ac:dyDescent="0.35">
      <c r="A3527" s="224" t="s">
        <v>247</v>
      </c>
      <c r="B3527" s="224" t="s">
        <v>33</v>
      </c>
      <c r="C3527" s="224" t="s">
        <v>89</v>
      </c>
      <c r="D3527" s="224" t="s">
        <v>9</v>
      </c>
      <c r="E3527" s="224" t="s">
        <v>256</v>
      </c>
      <c r="F3527" s="224" t="s">
        <v>10</v>
      </c>
      <c r="G3527" s="223" t="str">
        <f>VLOOKUP($B3527,'FRS geographical categories'!$A$2:$C$45,2,FALSE)</f>
        <v>Predominantly Urban</v>
      </c>
      <c r="H3527" s="223" t="str">
        <f>VLOOKUP($B3527,'FRS geographical categories'!$A$2:$C$45,3,FALSE)</f>
        <v>Non-metropolitan</v>
      </c>
      <c r="I3527" s="224">
        <v>0</v>
      </c>
    </row>
    <row r="3528" spans="1:9" ht="15.5" x14ac:dyDescent="0.35">
      <c r="A3528" s="224" t="s">
        <v>247</v>
      </c>
      <c r="B3528" s="224" t="s">
        <v>33</v>
      </c>
      <c r="C3528" s="224" t="s">
        <v>89</v>
      </c>
      <c r="D3528" s="224" t="s">
        <v>55</v>
      </c>
      <c r="E3528" s="224" t="s">
        <v>256</v>
      </c>
      <c r="F3528" s="224" t="s">
        <v>248</v>
      </c>
      <c r="G3528" s="223" t="str">
        <f>VLOOKUP($B3528,'FRS geographical categories'!$A$2:$C$45,2,FALSE)</f>
        <v>Predominantly Urban</v>
      </c>
      <c r="H3528" s="223" t="str">
        <f>VLOOKUP($B3528,'FRS geographical categories'!$A$2:$C$45,3,FALSE)</f>
        <v>Non-metropolitan</v>
      </c>
      <c r="I3528" s="224">
        <v>0</v>
      </c>
    </row>
    <row r="3529" spans="1:9" ht="15.5" x14ac:dyDescent="0.35">
      <c r="A3529" s="224" t="s">
        <v>247</v>
      </c>
      <c r="B3529" s="224" t="s">
        <v>33</v>
      </c>
      <c r="C3529" s="224" t="s">
        <v>89</v>
      </c>
      <c r="D3529" s="224" t="s">
        <v>55</v>
      </c>
      <c r="E3529" s="224" t="s">
        <v>256</v>
      </c>
      <c r="F3529" s="224" t="s">
        <v>249</v>
      </c>
      <c r="G3529" s="223" t="str">
        <f>VLOOKUP($B3529,'FRS geographical categories'!$A$2:$C$45,2,FALSE)</f>
        <v>Predominantly Urban</v>
      </c>
      <c r="H3529" s="223" t="str">
        <f>VLOOKUP($B3529,'FRS geographical categories'!$A$2:$C$45,3,FALSE)</f>
        <v>Non-metropolitan</v>
      </c>
      <c r="I3529" s="224">
        <v>0</v>
      </c>
    </row>
    <row r="3530" spans="1:9" ht="15.5" x14ac:dyDescent="0.35">
      <c r="A3530" s="224" t="s">
        <v>247</v>
      </c>
      <c r="B3530" s="224" t="s">
        <v>33</v>
      </c>
      <c r="C3530" s="224" t="s">
        <v>89</v>
      </c>
      <c r="D3530" s="224" t="s">
        <v>55</v>
      </c>
      <c r="E3530" s="224" t="s">
        <v>256</v>
      </c>
      <c r="F3530" s="224" t="s">
        <v>250</v>
      </c>
      <c r="G3530" s="223" t="str">
        <f>VLOOKUP($B3530,'FRS geographical categories'!$A$2:$C$45,2,FALSE)</f>
        <v>Predominantly Urban</v>
      </c>
      <c r="H3530" s="223" t="str">
        <f>VLOOKUP($B3530,'FRS geographical categories'!$A$2:$C$45,3,FALSE)</f>
        <v>Non-metropolitan</v>
      </c>
      <c r="I3530" s="224">
        <v>0</v>
      </c>
    </row>
    <row r="3531" spans="1:9" ht="15.5" x14ac:dyDescent="0.35">
      <c r="A3531" s="224" t="s">
        <v>247</v>
      </c>
      <c r="B3531" s="224" t="s">
        <v>33</v>
      </c>
      <c r="C3531" s="224" t="s">
        <v>89</v>
      </c>
      <c r="D3531" s="224" t="s">
        <v>55</v>
      </c>
      <c r="E3531" s="224" t="s">
        <v>256</v>
      </c>
      <c r="F3531" s="224" t="s">
        <v>10</v>
      </c>
      <c r="G3531" s="223" t="str">
        <f>VLOOKUP($B3531,'FRS geographical categories'!$A$2:$C$45,2,FALSE)</f>
        <v>Predominantly Urban</v>
      </c>
      <c r="H3531" s="223" t="str">
        <f>VLOOKUP($B3531,'FRS geographical categories'!$A$2:$C$45,3,FALSE)</f>
        <v>Non-metropolitan</v>
      </c>
      <c r="I3531" s="224">
        <v>0</v>
      </c>
    </row>
    <row r="3532" spans="1:9" ht="15.5" x14ac:dyDescent="0.35">
      <c r="A3532" s="224" t="s">
        <v>247</v>
      </c>
      <c r="B3532" s="224" t="s">
        <v>34</v>
      </c>
      <c r="C3532" s="224" t="s">
        <v>86</v>
      </c>
      <c r="D3532" s="224" t="s">
        <v>9</v>
      </c>
      <c r="E3532" s="224" t="s">
        <v>256</v>
      </c>
      <c r="F3532" s="224" t="s">
        <v>248</v>
      </c>
      <c r="G3532" s="223" t="str">
        <f>VLOOKUP($B3532,'FRS geographical categories'!$A$2:$C$45,2,FALSE)</f>
        <v>Significantly Rural</v>
      </c>
      <c r="H3532" s="223" t="str">
        <f>VLOOKUP($B3532,'FRS geographical categories'!$A$2:$C$45,3,FALSE)</f>
        <v>Non-metropolitan</v>
      </c>
      <c r="I3532" s="224">
        <v>1006</v>
      </c>
    </row>
    <row r="3533" spans="1:9" ht="15.5" x14ac:dyDescent="0.35">
      <c r="A3533" s="224" t="s">
        <v>247</v>
      </c>
      <c r="B3533" s="224" t="s">
        <v>34</v>
      </c>
      <c r="C3533" s="224" t="s">
        <v>86</v>
      </c>
      <c r="D3533" s="224" t="s">
        <v>9</v>
      </c>
      <c r="E3533" s="224" t="s">
        <v>256</v>
      </c>
      <c r="F3533" s="224" t="s">
        <v>249</v>
      </c>
      <c r="G3533" s="223" t="str">
        <f>VLOOKUP($B3533,'FRS geographical categories'!$A$2:$C$45,2,FALSE)</f>
        <v>Significantly Rural</v>
      </c>
      <c r="H3533" s="223" t="str">
        <f>VLOOKUP($B3533,'FRS geographical categories'!$A$2:$C$45,3,FALSE)</f>
        <v>Non-metropolitan</v>
      </c>
      <c r="I3533" s="224">
        <v>2474</v>
      </c>
    </row>
    <row r="3534" spans="1:9" ht="15.5" x14ac:dyDescent="0.35">
      <c r="A3534" s="224" t="s">
        <v>247</v>
      </c>
      <c r="B3534" s="224" t="s">
        <v>34</v>
      </c>
      <c r="C3534" s="224" t="s">
        <v>86</v>
      </c>
      <c r="D3534" s="224" t="s">
        <v>9</v>
      </c>
      <c r="E3534" s="224" t="s">
        <v>256</v>
      </c>
      <c r="F3534" s="224" t="s">
        <v>250</v>
      </c>
      <c r="G3534" s="223" t="str">
        <f>VLOOKUP($B3534,'FRS geographical categories'!$A$2:$C$45,2,FALSE)</f>
        <v>Significantly Rural</v>
      </c>
      <c r="H3534" s="223" t="str">
        <f>VLOOKUP($B3534,'FRS geographical categories'!$A$2:$C$45,3,FALSE)</f>
        <v>Non-metropolitan</v>
      </c>
      <c r="I3534" s="224">
        <v>1206</v>
      </c>
    </row>
    <row r="3535" spans="1:9" ht="15.5" x14ac:dyDescent="0.35">
      <c r="A3535" s="224" t="s">
        <v>247</v>
      </c>
      <c r="B3535" s="224" t="s">
        <v>34</v>
      </c>
      <c r="C3535" s="224" t="s">
        <v>86</v>
      </c>
      <c r="D3535" s="224" t="s">
        <v>9</v>
      </c>
      <c r="E3535" s="224" t="s">
        <v>256</v>
      </c>
      <c r="F3535" s="224" t="s">
        <v>111</v>
      </c>
      <c r="G3535" s="223" t="str">
        <f>VLOOKUP($B3535,'FRS geographical categories'!$A$2:$C$45,2,FALSE)</f>
        <v>Significantly Rural</v>
      </c>
      <c r="H3535" s="223" t="str">
        <f>VLOOKUP($B3535,'FRS geographical categories'!$A$2:$C$45,3,FALSE)</f>
        <v>Non-metropolitan</v>
      </c>
      <c r="I3535" s="224">
        <v>6661</v>
      </c>
    </row>
    <row r="3536" spans="1:9" ht="15.5" x14ac:dyDescent="0.35">
      <c r="A3536" s="224" t="s">
        <v>247</v>
      </c>
      <c r="B3536" s="224" t="s">
        <v>34</v>
      </c>
      <c r="C3536" s="224" t="s">
        <v>86</v>
      </c>
      <c r="D3536" s="224" t="s">
        <v>9</v>
      </c>
      <c r="E3536" s="224" t="s">
        <v>256</v>
      </c>
      <c r="F3536" s="224" t="s">
        <v>10</v>
      </c>
      <c r="G3536" s="223" t="str">
        <f>VLOOKUP($B3536,'FRS geographical categories'!$A$2:$C$45,2,FALSE)</f>
        <v>Significantly Rural</v>
      </c>
      <c r="H3536" s="223" t="str">
        <f>VLOOKUP($B3536,'FRS geographical categories'!$A$2:$C$45,3,FALSE)</f>
        <v>Non-metropolitan</v>
      </c>
      <c r="I3536" s="224">
        <v>10429</v>
      </c>
    </row>
    <row r="3537" spans="1:9" ht="15.5" x14ac:dyDescent="0.35">
      <c r="A3537" s="224" t="s">
        <v>247</v>
      </c>
      <c r="B3537" s="224" t="s">
        <v>34</v>
      </c>
      <c r="C3537" s="224" t="s">
        <v>86</v>
      </c>
      <c r="D3537" s="224" t="s">
        <v>55</v>
      </c>
      <c r="E3537" s="224" t="s">
        <v>256</v>
      </c>
      <c r="F3537" s="224" t="s">
        <v>248</v>
      </c>
      <c r="G3537" s="223" t="str">
        <f>VLOOKUP($B3537,'FRS geographical categories'!$A$2:$C$45,2,FALSE)</f>
        <v>Significantly Rural</v>
      </c>
      <c r="H3537" s="223" t="str">
        <f>VLOOKUP($B3537,'FRS geographical categories'!$A$2:$C$45,3,FALSE)</f>
        <v>Non-metropolitan</v>
      </c>
      <c r="I3537" s="224">
        <v>140</v>
      </c>
    </row>
    <row r="3538" spans="1:9" ht="15.5" x14ac:dyDescent="0.35">
      <c r="A3538" s="224" t="s">
        <v>247</v>
      </c>
      <c r="B3538" s="224" t="s">
        <v>34</v>
      </c>
      <c r="C3538" s="224" t="s">
        <v>86</v>
      </c>
      <c r="D3538" s="224" t="s">
        <v>55</v>
      </c>
      <c r="E3538" s="224" t="s">
        <v>256</v>
      </c>
      <c r="F3538" s="224" t="s">
        <v>249</v>
      </c>
      <c r="G3538" s="223" t="str">
        <f>VLOOKUP($B3538,'FRS geographical categories'!$A$2:$C$45,2,FALSE)</f>
        <v>Significantly Rural</v>
      </c>
      <c r="H3538" s="223" t="str">
        <f>VLOOKUP($B3538,'FRS geographical categories'!$A$2:$C$45,3,FALSE)</f>
        <v>Non-metropolitan</v>
      </c>
      <c r="I3538" s="224">
        <v>379</v>
      </c>
    </row>
    <row r="3539" spans="1:9" ht="15.5" x14ac:dyDescent="0.35">
      <c r="A3539" s="224" t="s">
        <v>247</v>
      </c>
      <c r="B3539" s="224" t="s">
        <v>34</v>
      </c>
      <c r="C3539" s="224" t="s">
        <v>86</v>
      </c>
      <c r="D3539" s="224" t="s">
        <v>55</v>
      </c>
      <c r="E3539" s="224" t="s">
        <v>256</v>
      </c>
      <c r="F3539" s="224" t="s">
        <v>250</v>
      </c>
      <c r="G3539" s="223" t="str">
        <f>VLOOKUP($B3539,'FRS geographical categories'!$A$2:$C$45,2,FALSE)</f>
        <v>Significantly Rural</v>
      </c>
      <c r="H3539" s="223" t="str">
        <f>VLOOKUP($B3539,'FRS geographical categories'!$A$2:$C$45,3,FALSE)</f>
        <v>Non-metropolitan</v>
      </c>
      <c r="I3539" s="224">
        <v>677</v>
      </c>
    </row>
    <row r="3540" spans="1:9" ht="15.5" x14ac:dyDescent="0.35">
      <c r="A3540" s="224" t="s">
        <v>247</v>
      </c>
      <c r="B3540" s="224" t="s">
        <v>34</v>
      </c>
      <c r="C3540" s="224" t="s">
        <v>86</v>
      </c>
      <c r="D3540" s="224" t="s">
        <v>55</v>
      </c>
      <c r="E3540" s="224" t="s">
        <v>256</v>
      </c>
      <c r="F3540" s="224" t="s">
        <v>111</v>
      </c>
      <c r="G3540" s="223" t="str">
        <f>VLOOKUP($B3540,'FRS geographical categories'!$A$2:$C$45,2,FALSE)</f>
        <v>Significantly Rural</v>
      </c>
      <c r="H3540" s="223" t="str">
        <f>VLOOKUP($B3540,'FRS geographical categories'!$A$2:$C$45,3,FALSE)</f>
        <v>Non-metropolitan</v>
      </c>
      <c r="I3540" s="224">
        <v>1733</v>
      </c>
    </row>
    <row r="3541" spans="1:9" ht="15.5" x14ac:dyDescent="0.35">
      <c r="A3541" s="224" t="s">
        <v>247</v>
      </c>
      <c r="B3541" s="224" t="s">
        <v>34</v>
      </c>
      <c r="C3541" s="224" t="s">
        <v>86</v>
      </c>
      <c r="D3541" s="224" t="s">
        <v>55</v>
      </c>
      <c r="E3541" s="224" t="s">
        <v>256</v>
      </c>
      <c r="F3541" s="224" t="s">
        <v>10</v>
      </c>
      <c r="G3541" s="223" t="str">
        <f>VLOOKUP($B3541,'FRS geographical categories'!$A$2:$C$45,2,FALSE)</f>
        <v>Significantly Rural</v>
      </c>
      <c r="H3541" s="223" t="str">
        <f>VLOOKUP($B3541,'FRS geographical categories'!$A$2:$C$45,3,FALSE)</f>
        <v>Non-metropolitan</v>
      </c>
      <c r="I3541" s="224">
        <v>3872</v>
      </c>
    </row>
    <row r="3542" spans="1:9" ht="15.5" x14ac:dyDescent="0.35">
      <c r="A3542" s="224" t="s">
        <v>247</v>
      </c>
      <c r="B3542" s="224" t="s">
        <v>34</v>
      </c>
      <c r="C3542" s="224" t="s">
        <v>89</v>
      </c>
      <c r="D3542" s="224" t="s">
        <v>9</v>
      </c>
      <c r="E3542" s="224" t="s">
        <v>256</v>
      </c>
      <c r="F3542" s="224" t="s">
        <v>248</v>
      </c>
      <c r="G3542" s="223" t="str">
        <f>VLOOKUP($B3542,'FRS geographical categories'!$A$2:$C$45,2,FALSE)</f>
        <v>Significantly Rural</v>
      </c>
      <c r="H3542" s="223" t="str">
        <f>VLOOKUP($B3542,'FRS geographical categories'!$A$2:$C$45,3,FALSE)</f>
        <v>Non-metropolitan</v>
      </c>
      <c r="I3542" s="224">
        <v>71</v>
      </c>
    </row>
    <row r="3543" spans="1:9" ht="15.5" x14ac:dyDescent="0.35">
      <c r="A3543" s="224" t="s">
        <v>247</v>
      </c>
      <c r="B3543" s="224" t="s">
        <v>34</v>
      </c>
      <c r="C3543" s="224" t="s">
        <v>89</v>
      </c>
      <c r="D3543" s="224" t="s">
        <v>9</v>
      </c>
      <c r="E3543" s="224" t="s">
        <v>256</v>
      </c>
      <c r="F3543" s="224" t="s">
        <v>249</v>
      </c>
      <c r="G3543" s="223" t="str">
        <f>VLOOKUP($B3543,'FRS geographical categories'!$A$2:$C$45,2,FALSE)</f>
        <v>Significantly Rural</v>
      </c>
      <c r="H3543" s="223" t="str">
        <f>VLOOKUP($B3543,'FRS geographical categories'!$A$2:$C$45,3,FALSE)</f>
        <v>Non-metropolitan</v>
      </c>
      <c r="I3543" s="224">
        <v>20</v>
      </c>
    </row>
    <row r="3544" spans="1:9" ht="15.5" x14ac:dyDescent="0.35">
      <c r="A3544" s="224" t="s">
        <v>247</v>
      </c>
      <c r="B3544" s="224" t="s">
        <v>34</v>
      </c>
      <c r="C3544" s="224" t="s">
        <v>89</v>
      </c>
      <c r="D3544" s="224" t="s">
        <v>9</v>
      </c>
      <c r="E3544" s="224" t="s">
        <v>256</v>
      </c>
      <c r="F3544" s="224" t="s">
        <v>250</v>
      </c>
      <c r="G3544" s="223" t="str">
        <f>VLOOKUP($B3544,'FRS geographical categories'!$A$2:$C$45,2,FALSE)</f>
        <v>Significantly Rural</v>
      </c>
      <c r="H3544" s="223" t="str">
        <f>VLOOKUP($B3544,'FRS geographical categories'!$A$2:$C$45,3,FALSE)</f>
        <v>Non-metropolitan</v>
      </c>
      <c r="I3544" s="224">
        <v>0</v>
      </c>
    </row>
    <row r="3545" spans="1:9" ht="15.5" x14ac:dyDescent="0.35">
      <c r="A3545" s="224" t="s">
        <v>247</v>
      </c>
      <c r="B3545" s="224" t="s">
        <v>34</v>
      </c>
      <c r="C3545" s="224" t="s">
        <v>89</v>
      </c>
      <c r="D3545" s="224" t="s">
        <v>9</v>
      </c>
      <c r="E3545" s="224" t="s">
        <v>256</v>
      </c>
      <c r="F3545" s="224" t="s">
        <v>10</v>
      </c>
      <c r="G3545" s="223" t="str">
        <f>VLOOKUP($B3545,'FRS geographical categories'!$A$2:$C$45,2,FALSE)</f>
        <v>Significantly Rural</v>
      </c>
      <c r="H3545" s="223" t="str">
        <f>VLOOKUP($B3545,'FRS geographical categories'!$A$2:$C$45,3,FALSE)</f>
        <v>Non-metropolitan</v>
      </c>
      <c r="I3545" s="224">
        <v>481</v>
      </c>
    </row>
    <row r="3546" spans="1:9" ht="15.5" x14ac:dyDescent="0.35">
      <c r="A3546" s="224" t="s">
        <v>247</v>
      </c>
      <c r="B3546" s="224" t="s">
        <v>34</v>
      </c>
      <c r="C3546" s="224" t="s">
        <v>89</v>
      </c>
      <c r="D3546" s="224" t="s">
        <v>55</v>
      </c>
      <c r="E3546" s="224" t="s">
        <v>256</v>
      </c>
      <c r="F3546" s="224" t="s">
        <v>248</v>
      </c>
      <c r="G3546" s="223" t="str">
        <f>VLOOKUP($B3546,'FRS geographical categories'!$A$2:$C$45,2,FALSE)</f>
        <v>Significantly Rural</v>
      </c>
      <c r="H3546" s="223" t="str">
        <f>VLOOKUP($B3546,'FRS geographical categories'!$A$2:$C$45,3,FALSE)</f>
        <v>Non-metropolitan</v>
      </c>
      <c r="I3546" s="224">
        <v>0</v>
      </c>
    </row>
    <row r="3547" spans="1:9" ht="15.5" x14ac:dyDescent="0.35">
      <c r="A3547" s="224" t="s">
        <v>247</v>
      </c>
      <c r="B3547" s="224" t="s">
        <v>34</v>
      </c>
      <c r="C3547" s="224" t="s">
        <v>89</v>
      </c>
      <c r="D3547" s="224" t="s">
        <v>55</v>
      </c>
      <c r="E3547" s="224" t="s">
        <v>256</v>
      </c>
      <c r="F3547" s="224" t="s">
        <v>249</v>
      </c>
      <c r="G3547" s="223" t="str">
        <f>VLOOKUP($B3547,'FRS geographical categories'!$A$2:$C$45,2,FALSE)</f>
        <v>Significantly Rural</v>
      </c>
      <c r="H3547" s="223" t="str">
        <f>VLOOKUP($B3547,'FRS geographical categories'!$A$2:$C$45,3,FALSE)</f>
        <v>Non-metropolitan</v>
      </c>
      <c r="I3547" s="224">
        <v>0</v>
      </c>
    </row>
    <row r="3548" spans="1:9" ht="15.5" x14ac:dyDescent="0.35">
      <c r="A3548" s="224" t="s">
        <v>247</v>
      </c>
      <c r="B3548" s="224" t="s">
        <v>34</v>
      </c>
      <c r="C3548" s="224" t="s">
        <v>89</v>
      </c>
      <c r="D3548" s="224" t="s">
        <v>55</v>
      </c>
      <c r="E3548" s="224" t="s">
        <v>256</v>
      </c>
      <c r="F3548" s="224" t="s">
        <v>250</v>
      </c>
      <c r="G3548" s="223" t="str">
        <f>VLOOKUP($B3548,'FRS geographical categories'!$A$2:$C$45,2,FALSE)</f>
        <v>Significantly Rural</v>
      </c>
      <c r="H3548" s="223" t="str">
        <f>VLOOKUP($B3548,'FRS geographical categories'!$A$2:$C$45,3,FALSE)</f>
        <v>Non-metropolitan</v>
      </c>
      <c r="I3548" s="224">
        <v>1</v>
      </c>
    </row>
    <row r="3549" spans="1:9" ht="15.5" x14ac:dyDescent="0.35">
      <c r="A3549" s="224" t="s">
        <v>247</v>
      </c>
      <c r="B3549" s="224" t="s">
        <v>34</v>
      </c>
      <c r="C3549" s="224" t="s">
        <v>89</v>
      </c>
      <c r="D3549" s="224" t="s">
        <v>55</v>
      </c>
      <c r="E3549" s="224" t="s">
        <v>256</v>
      </c>
      <c r="F3549" s="224" t="s">
        <v>10</v>
      </c>
      <c r="G3549" s="223" t="str">
        <f>VLOOKUP($B3549,'FRS geographical categories'!$A$2:$C$45,2,FALSE)</f>
        <v>Significantly Rural</v>
      </c>
      <c r="H3549" s="223" t="str">
        <f>VLOOKUP($B3549,'FRS geographical categories'!$A$2:$C$45,3,FALSE)</f>
        <v>Non-metropolitan</v>
      </c>
      <c r="I3549" s="224">
        <v>19</v>
      </c>
    </row>
    <row r="3550" spans="1:9" ht="15.5" x14ac:dyDescent="0.35">
      <c r="A3550" s="224" t="s">
        <v>247</v>
      </c>
      <c r="B3550" s="224" t="s">
        <v>35</v>
      </c>
      <c r="C3550" s="224" t="s">
        <v>86</v>
      </c>
      <c r="D3550" s="224" t="s">
        <v>9</v>
      </c>
      <c r="E3550" s="224" t="s">
        <v>256</v>
      </c>
      <c r="F3550" s="224" t="s">
        <v>248</v>
      </c>
      <c r="G3550" s="223" t="str">
        <f>VLOOKUP($B3550,'FRS geographical categories'!$A$2:$C$45,2,FALSE)</f>
        <v>Predominantly Rural</v>
      </c>
      <c r="H3550" s="223" t="str">
        <f>VLOOKUP($B3550,'FRS geographical categories'!$A$2:$C$45,3,FALSE)</f>
        <v>Non-metropolitan</v>
      </c>
      <c r="I3550" s="224">
        <v>792</v>
      </c>
    </row>
    <row r="3551" spans="1:9" ht="15.5" x14ac:dyDescent="0.35">
      <c r="A3551" s="224" t="s">
        <v>247</v>
      </c>
      <c r="B3551" s="224" t="s">
        <v>35</v>
      </c>
      <c r="C3551" s="224" t="s">
        <v>86</v>
      </c>
      <c r="D3551" s="224" t="s">
        <v>9</v>
      </c>
      <c r="E3551" s="224" t="s">
        <v>256</v>
      </c>
      <c r="F3551" s="224" t="s">
        <v>249</v>
      </c>
      <c r="G3551" s="223" t="str">
        <f>VLOOKUP($B3551,'FRS geographical categories'!$A$2:$C$45,2,FALSE)</f>
        <v>Predominantly Rural</v>
      </c>
      <c r="H3551" s="223" t="str">
        <f>VLOOKUP($B3551,'FRS geographical categories'!$A$2:$C$45,3,FALSE)</f>
        <v>Non-metropolitan</v>
      </c>
      <c r="I3551" s="224">
        <v>2465</v>
      </c>
    </row>
    <row r="3552" spans="1:9" ht="15.5" x14ac:dyDescent="0.35">
      <c r="A3552" s="224" t="s">
        <v>247</v>
      </c>
      <c r="B3552" s="224" t="s">
        <v>35</v>
      </c>
      <c r="C3552" s="224" t="s">
        <v>86</v>
      </c>
      <c r="D3552" s="224" t="s">
        <v>9</v>
      </c>
      <c r="E3552" s="224" t="s">
        <v>256</v>
      </c>
      <c r="F3552" s="224" t="s">
        <v>250</v>
      </c>
      <c r="G3552" s="223" t="str">
        <f>VLOOKUP($B3552,'FRS geographical categories'!$A$2:$C$45,2,FALSE)</f>
        <v>Predominantly Rural</v>
      </c>
      <c r="H3552" s="223" t="str">
        <f>VLOOKUP($B3552,'FRS geographical categories'!$A$2:$C$45,3,FALSE)</f>
        <v>Non-metropolitan</v>
      </c>
      <c r="I3552" s="224">
        <v>1622</v>
      </c>
    </row>
    <row r="3553" spans="1:9" ht="15.5" x14ac:dyDescent="0.35">
      <c r="A3553" s="224" t="s">
        <v>247</v>
      </c>
      <c r="B3553" s="224" t="s">
        <v>35</v>
      </c>
      <c r="C3553" s="224" t="s">
        <v>86</v>
      </c>
      <c r="D3553" s="224" t="s">
        <v>9</v>
      </c>
      <c r="E3553" s="224" t="s">
        <v>256</v>
      </c>
      <c r="F3553" s="224" t="s">
        <v>111</v>
      </c>
      <c r="G3553" s="223" t="str">
        <f>VLOOKUP($B3553,'FRS geographical categories'!$A$2:$C$45,2,FALSE)</f>
        <v>Predominantly Rural</v>
      </c>
      <c r="H3553" s="223" t="str">
        <f>VLOOKUP($B3553,'FRS geographical categories'!$A$2:$C$45,3,FALSE)</f>
        <v>Non-metropolitan</v>
      </c>
      <c r="I3553" s="224">
        <v>6305</v>
      </c>
    </row>
    <row r="3554" spans="1:9" ht="15.5" x14ac:dyDescent="0.35">
      <c r="A3554" s="224" t="s">
        <v>247</v>
      </c>
      <c r="B3554" s="224" t="s">
        <v>35</v>
      </c>
      <c r="C3554" s="224" t="s">
        <v>86</v>
      </c>
      <c r="D3554" s="224" t="s">
        <v>9</v>
      </c>
      <c r="E3554" s="224" t="s">
        <v>256</v>
      </c>
      <c r="F3554" s="224" t="s">
        <v>10</v>
      </c>
      <c r="G3554" s="223" t="str">
        <f>VLOOKUP($B3554,'FRS geographical categories'!$A$2:$C$45,2,FALSE)</f>
        <v>Predominantly Rural</v>
      </c>
      <c r="H3554" s="223" t="str">
        <f>VLOOKUP($B3554,'FRS geographical categories'!$A$2:$C$45,3,FALSE)</f>
        <v>Non-metropolitan</v>
      </c>
      <c r="I3554" s="224">
        <v>7983</v>
      </c>
    </row>
    <row r="3555" spans="1:9" ht="15.5" x14ac:dyDescent="0.35">
      <c r="A3555" s="224" t="s">
        <v>247</v>
      </c>
      <c r="B3555" s="224" t="s">
        <v>35</v>
      </c>
      <c r="C3555" s="224" t="s">
        <v>86</v>
      </c>
      <c r="D3555" s="224" t="s">
        <v>55</v>
      </c>
      <c r="E3555" s="224" t="s">
        <v>256</v>
      </c>
      <c r="F3555" s="224" t="s">
        <v>248</v>
      </c>
      <c r="G3555" s="223" t="str">
        <f>VLOOKUP($B3555,'FRS geographical categories'!$A$2:$C$45,2,FALSE)</f>
        <v>Predominantly Rural</v>
      </c>
      <c r="H3555" s="223" t="str">
        <f>VLOOKUP($B3555,'FRS geographical categories'!$A$2:$C$45,3,FALSE)</f>
        <v>Non-metropolitan</v>
      </c>
      <c r="I3555" s="224">
        <v>2</v>
      </c>
    </row>
    <row r="3556" spans="1:9" ht="15.5" x14ac:dyDescent="0.35">
      <c r="A3556" s="224" t="s">
        <v>247</v>
      </c>
      <c r="B3556" s="224" t="s">
        <v>35</v>
      </c>
      <c r="C3556" s="224" t="s">
        <v>86</v>
      </c>
      <c r="D3556" s="224" t="s">
        <v>55</v>
      </c>
      <c r="E3556" s="224" t="s">
        <v>256</v>
      </c>
      <c r="F3556" s="224" t="s">
        <v>249</v>
      </c>
      <c r="G3556" s="223" t="str">
        <f>VLOOKUP($B3556,'FRS geographical categories'!$A$2:$C$45,2,FALSE)</f>
        <v>Predominantly Rural</v>
      </c>
      <c r="H3556" s="223" t="str">
        <f>VLOOKUP($B3556,'FRS geographical categories'!$A$2:$C$45,3,FALSE)</f>
        <v>Non-metropolitan</v>
      </c>
      <c r="I3556" s="224">
        <v>5</v>
      </c>
    </row>
    <row r="3557" spans="1:9" ht="15.5" x14ac:dyDescent="0.35">
      <c r="A3557" s="224" t="s">
        <v>247</v>
      </c>
      <c r="B3557" s="224" t="s">
        <v>35</v>
      </c>
      <c r="C3557" s="224" t="s">
        <v>86</v>
      </c>
      <c r="D3557" s="224" t="s">
        <v>55</v>
      </c>
      <c r="E3557" s="224" t="s">
        <v>256</v>
      </c>
      <c r="F3557" s="224" t="s">
        <v>250</v>
      </c>
      <c r="G3557" s="223" t="str">
        <f>VLOOKUP($B3557,'FRS geographical categories'!$A$2:$C$45,2,FALSE)</f>
        <v>Predominantly Rural</v>
      </c>
      <c r="H3557" s="223" t="str">
        <f>VLOOKUP($B3557,'FRS geographical categories'!$A$2:$C$45,3,FALSE)</f>
        <v>Non-metropolitan</v>
      </c>
      <c r="I3557" s="224">
        <v>1</v>
      </c>
    </row>
    <row r="3558" spans="1:9" ht="15.5" x14ac:dyDescent="0.35">
      <c r="A3558" s="224" t="s">
        <v>247</v>
      </c>
      <c r="B3558" s="224" t="s">
        <v>35</v>
      </c>
      <c r="C3558" s="224" t="s">
        <v>86</v>
      </c>
      <c r="D3558" s="224" t="s">
        <v>55</v>
      </c>
      <c r="E3558" s="224" t="s">
        <v>256</v>
      </c>
      <c r="F3558" s="224" t="s">
        <v>111</v>
      </c>
      <c r="G3558" s="223" t="str">
        <f>VLOOKUP($B3558,'FRS geographical categories'!$A$2:$C$45,2,FALSE)</f>
        <v>Predominantly Rural</v>
      </c>
      <c r="H3558" s="223" t="str">
        <f>VLOOKUP($B3558,'FRS geographical categories'!$A$2:$C$45,3,FALSE)</f>
        <v>Non-metropolitan</v>
      </c>
      <c r="I3558" s="224">
        <v>8</v>
      </c>
    </row>
    <row r="3559" spans="1:9" ht="15.5" x14ac:dyDescent="0.35">
      <c r="A3559" s="224" t="s">
        <v>247</v>
      </c>
      <c r="B3559" s="224" t="s">
        <v>35</v>
      </c>
      <c r="C3559" s="224" t="s">
        <v>86</v>
      </c>
      <c r="D3559" s="224" t="s">
        <v>55</v>
      </c>
      <c r="E3559" s="224" t="s">
        <v>256</v>
      </c>
      <c r="F3559" s="224" t="s">
        <v>10</v>
      </c>
      <c r="G3559" s="223" t="str">
        <f>VLOOKUP($B3559,'FRS geographical categories'!$A$2:$C$45,2,FALSE)</f>
        <v>Predominantly Rural</v>
      </c>
      <c r="H3559" s="223" t="str">
        <f>VLOOKUP($B3559,'FRS geographical categories'!$A$2:$C$45,3,FALSE)</f>
        <v>Non-metropolitan</v>
      </c>
      <c r="I3559" s="224">
        <v>46</v>
      </c>
    </row>
    <row r="3560" spans="1:9" ht="15.5" x14ac:dyDescent="0.35">
      <c r="A3560" s="224" t="s">
        <v>247</v>
      </c>
      <c r="B3560" s="224" t="s">
        <v>35</v>
      </c>
      <c r="C3560" s="224" t="s">
        <v>89</v>
      </c>
      <c r="D3560" s="224" t="s">
        <v>9</v>
      </c>
      <c r="E3560" s="224" t="s">
        <v>256</v>
      </c>
      <c r="F3560" s="224" t="s">
        <v>248</v>
      </c>
      <c r="G3560" s="223" t="str">
        <f>VLOOKUP($B3560,'FRS geographical categories'!$A$2:$C$45,2,FALSE)</f>
        <v>Predominantly Rural</v>
      </c>
      <c r="H3560" s="223" t="str">
        <f>VLOOKUP($B3560,'FRS geographical categories'!$A$2:$C$45,3,FALSE)</f>
        <v>Non-metropolitan</v>
      </c>
      <c r="I3560" s="224">
        <v>0</v>
      </c>
    </row>
    <row r="3561" spans="1:9" ht="15.5" x14ac:dyDescent="0.35">
      <c r="A3561" s="224" t="s">
        <v>247</v>
      </c>
      <c r="B3561" s="224" t="s">
        <v>35</v>
      </c>
      <c r="C3561" s="224" t="s">
        <v>89</v>
      </c>
      <c r="D3561" s="224" t="s">
        <v>9</v>
      </c>
      <c r="E3561" s="224" t="s">
        <v>256</v>
      </c>
      <c r="F3561" s="224" t="s">
        <v>249</v>
      </c>
      <c r="G3561" s="223" t="str">
        <f>VLOOKUP($B3561,'FRS geographical categories'!$A$2:$C$45,2,FALSE)</f>
        <v>Predominantly Rural</v>
      </c>
      <c r="H3561" s="223" t="str">
        <f>VLOOKUP($B3561,'FRS geographical categories'!$A$2:$C$45,3,FALSE)</f>
        <v>Non-metropolitan</v>
      </c>
      <c r="I3561" s="224">
        <v>0</v>
      </c>
    </row>
    <row r="3562" spans="1:9" ht="15.5" x14ac:dyDescent="0.35">
      <c r="A3562" s="224" t="s">
        <v>247</v>
      </c>
      <c r="B3562" s="224" t="s">
        <v>35</v>
      </c>
      <c r="C3562" s="224" t="s">
        <v>89</v>
      </c>
      <c r="D3562" s="224" t="s">
        <v>9</v>
      </c>
      <c r="E3562" s="224" t="s">
        <v>256</v>
      </c>
      <c r="F3562" s="224" t="s">
        <v>250</v>
      </c>
      <c r="G3562" s="223" t="str">
        <f>VLOOKUP($B3562,'FRS geographical categories'!$A$2:$C$45,2,FALSE)</f>
        <v>Predominantly Rural</v>
      </c>
      <c r="H3562" s="223" t="str">
        <f>VLOOKUP($B3562,'FRS geographical categories'!$A$2:$C$45,3,FALSE)</f>
        <v>Non-metropolitan</v>
      </c>
      <c r="I3562" s="224">
        <v>0</v>
      </c>
    </row>
    <row r="3563" spans="1:9" ht="15.5" x14ac:dyDescent="0.35">
      <c r="A3563" s="224" t="s">
        <v>247</v>
      </c>
      <c r="B3563" s="224" t="s">
        <v>35</v>
      </c>
      <c r="C3563" s="224" t="s">
        <v>89</v>
      </c>
      <c r="D3563" s="224" t="s">
        <v>9</v>
      </c>
      <c r="E3563" s="224" t="s">
        <v>256</v>
      </c>
      <c r="F3563" s="224" t="s">
        <v>10</v>
      </c>
      <c r="G3563" s="223" t="str">
        <f>VLOOKUP($B3563,'FRS geographical categories'!$A$2:$C$45,2,FALSE)</f>
        <v>Predominantly Rural</v>
      </c>
      <c r="H3563" s="223" t="str">
        <f>VLOOKUP($B3563,'FRS geographical categories'!$A$2:$C$45,3,FALSE)</f>
        <v>Non-metropolitan</v>
      </c>
      <c r="I3563" s="224">
        <v>0</v>
      </c>
    </row>
    <row r="3564" spans="1:9" ht="15.5" x14ac:dyDescent="0.35">
      <c r="A3564" s="224" t="s">
        <v>247</v>
      </c>
      <c r="B3564" s="224" t="s">
        <v>35</v>
      </c>
      <c r="C3564" s="224" t="s">
        <v>89</v>
      </c>
      <c r="D3564" s="224" t="s">
        <v>55</v>
      </c>
      <c r="E3564" s="224" t="s">
        <v>256</v>
      </c>
      <c r="F3564" s="224" t="s">
        <v>248</v>
      </c>
      <c r="G3564" s="223" t="str">
        <f>VLOOKUP($B3564,'FRS geographical categories'!$A$2:$C$45,2,FALSE)</f>
        <v>Predominantly Rural</v>
      </c>
      <c r="H3564" s="223" t="str">
        <f>VLOOKUP($B3564,'FRS geographical categories'!$A$2:$C$45,3,FALSE)</f>
        <v>Non-metropolitan</v>
      </c>
      <c r="I3564" s="224">
        <v>0</v>
      </c>
    </row>
    <row r="3565" spans="1:9" ht="15.5" x14ac:dyDescent="0.35">
      <c r="A3565" s="224" t="s">
        <v>247</v>
      </c>
      <c r="B3565" s="224" t="s">
        <v>35</v>
      </c>
      <c r="C3565" s="224" t="s">
        <v>89</v>
      </c>
      <c r="D3565" s="224" t="s">
        <v>55</v>
      </c>
      <c r="E3565" s="224" t="s">
        <v>256</v>
      </c>
      <c r="F3565" s="224" t="s">
        <v>249</v>
      </c>
      <c r="G3565" s="223" t="str">
        <f>VLOOKUP($B3565,'FRS geographical categories'!$A$2:$C$45,2,FALSE)</f>
        <v>Predominantly Rural</v>
      </c>
      <c r="H3565" s="223" t="str">
        <f>VLOOKUP($B3565,'FRS geographical categories'!$A$2:$C$45,3,FALSE)</f>
        <v>Non-metropolitan</v>
      </c>
      <c r="I3565" s="224">
        <v>0</v>
      </c>
    </row>
    <row r="3566" spans="1:9" ht="15.5" x14ac:dyDescent="0.35">
      <c r="A3566" s="224" t="s">
        <v>247</v>
      </c>
      <c r="B3566" s="224" t="s">
        <v>35</v>
      </c>
      <c r="C3566" s="224" t="s">
        <v>89</v>
      </c>
      <c r="D3566" s="224" t="s">
        <v>55</v>
      </c>
      <c r="E3566" s="224" t="s">
        <v>256</v>
      </c>
      <c r="F3566" s="224" t="s">
        <v>250</v>
      </c>
      <c r="G3566" s="223" t="str">
        <f>VLOOKUP($B3566,'FRS geographical categories'!$A$2:$C$45,2,FALSE)</f>
        <v>Predominantly Rural</v>
      </c>
      <c r="H3566" s="223" t="str">
        <f>VLOOKUP($B3566,'FRS geographical categories'!$A$2:$C$45,3,FALSE)</f>
        <v>Non-metropolitan</v>
      </c>
      <c r="I3566" s="224">
        <v>0</v>
      </c>
    </row>
    <row r="3567" spans="1:9" ht="15.5" x14ac:dyDescent="0.35">
      <c r="A3567" s="224" t="s">
        <v>247</v>
      </c>
      <c r="B3567" s="224" t="s">
        <v>35</v>
      </c>
      <c r="C3567" s="224" t="s">
        <v>89</v>
      </c>
      <c r="D3567" s="224" t="s">
        <v>55</v>
      </c>
      <c r="E3567" s="224" t="s">
        <v>256</v>
      </c>
      <c r="F3567" s="224" t="s">
        <v>10</v>
      </c>
      <c r="G3567" s="223" t="str">
        <f>VLOOKUP($B3567,'FRS geographical categories'!$A$2:$C$45,2,FALSE)</f>
        <v>Predominantly Rural</v>
      </c>
      <c r="H3567" s="223" t="str">
        <f>VLOOKUP($B3567,'FRS geographical categories'!$A$2:$C$45,3,FALSE)</f>
        <v>Non-metropolitan</v>
      </c>
      <c r="I3567" s="224">
        <v>0</v>
      </c>
    </row>
    <row r="3568" spans="1:9" ht="15.5" x14ac:dyDescent="0.35">
      <c r="A3568" s="224" t="s">
        <v>247</v>
      </c>
      <c r="B3568" s="224" t="s">
        <v>36</v>
      </c>
      <c r="C3568" s="224" t="s">
        <v>86</v>
      </c>
      <c r="D3568" s="224" t="s">
        <v>9</v>
      </c>
      <c r="E3568" s="224" t="s">
        <v>256</v>
      </c>
      <c r="F3568" s="224" t="s">
        <v>248</v>
      </c>
      <c r="G3568" s="223" t="str">
        <f>VLOOKUP($B3568,'FRS geographical categories'!$A$2:$C$45,2,FALSE)</f>
        <v>Predominantly Urban</v>
      </c>
      <c r="H3568" s="223" t="str">
        <f>VLOOKUP($B3568,'FRS geographical categories'!$A$2:$C$45,3,FALSE)</f>
        <v>Metropolitan</v>
      </c>
      <c r="I3568" s="224">
        <v>3975</v>
      </c>
    </row>
    <row r="3569" spans="1:9" ht="15.5" x14ac:dyDescent="0.35">
      <c r="A3569" s="224" t="s">
        <v>247</v>
      </c>
      <c r="B3569" s="224" t="s">
        <v>36</v>
      </c>
      <c r="C3569" s="224" t="s">
        <v>86</v>
      </c>
      <c r="D3569" s="224" t="s">
        <v>9</v>
      </c>
      <c r="E3569" s="224" t="s">
        <v>256</v>
      </c>
      <c r="F3569" s="224" t="s">
        <v>249</v>
      </c>
      <c r="G3569" s="223" t="str">
        <f>VLOOKUP($B3569,'FRS geographical categories'!$A$2:$C$45,2,FALSE)</f>
        <v>Predominantly Urban</v>
      </c>
      <c r="H3569" s="223" t="str">
        <f>VLOOKUP($B3569,'FRS geographical categories'!$A$2:$C$45,3,FALSE)</f>
        <v>Metropolitan</v>
      </c>
      <c r="I3569" s="224">
        <v>11393</v>
      </c>
    </row>
    <row r="3570" spans="1:9" ht="15.5" x14ac:dyDescent="0.35">
      <c r="A3570" s="224" t="s">
        <v>247</v>
      </c>
      <c r="B3570" s="224" t="s">
        <v>36</v>
      </c>
      <c r="C3570" s="224" t="s">
        <v>86</v>
      </c>
      <c r="D3570" s="224" t="s">
        <v>9</v>
      </c>
      <c r="E3570" s="224" t="s">
        <v>256</v>
      </c>
      <c r="F3570" s="224" t="s">
        <v>250</v>
      </c>
      <c r="G3570" s="223" t="str">
        <f>VLOOKUP($B3570,'FRS geographical categories'!$A$2:$C$45,2,FALSE)</f>
        <v>Predominantly Urban</v>
      </c>
      <c r="H3570" s="223" t="str">
        <f>VLOOKUP($B3570,'FRS geographical categories'!$A$2:$C$45,3,FALSE)</f>
        <v>Metropolitan</v>
      </c>
      <c r="I3570" s="224">
        <v>28781</v>
      </c>
    </row>
    <row r="3571" spans="1:9" ht="15.5" x14ac:dyDescent="0.35">
      <c r="A3571" s="224" t="s">
        <v>247</v>
      </c>
      <c r="B3571" s="224" t="s">
        <v>36</v>
      </c>
      <c r="C3571" s="224" t="s">
        <v>86</v>
      </c>
      <c r="D3571" s="224" t="s">
        <v>9</v>
      </c>
      <c r="E3571" s="224" t="s">
        <v>256</v>
      </c>
      <c r="F3571" s="224" t="s">
        <v>111</v>
      </c>
      <c r="G3571" s="223" t="str">
        <f>VLOOKUP($B3571,'FRS geographical categories'!$A$2:$C$45,2,FALSE)</f>
        <v>Predominantly Urban</v>
      </c>
      <c r="H3571" s="223" t="str">
        <f>VLOOKUP($B3571,'FRS geographical categories'!$A$2:$C$45,3,FALSE)</f>
        <v>Metropolitan</v>
      </c>
      <c r="I3571" s="224">
        <v>47977</v>
      </c>
    </row>
    <row r="3572" spans="1:9" ht="15.5" x14ac:dyDescent="0.35">
      <c r="A3572" s="224" t="s">
        <v>247</v>
      </c>
      <c r="B3572" s="224" t="s">
        <v>36</v>
      </c>
      <c r="C3572" s="224" t="s">
        <v>86</v>
      </c>
      <c r="D3572" s="224" t="s">
        <v>9</v>
      </c>
      <c r="E3572" s="224" t="s">
        <v>256</v>
      </c>
      <c r="F3572" s="224" t="s">
        <v>10</v>
      </c>
      <c r="G3572" s="223" t="str">
        <f>VLOOKUP($B3572,'FRS geographical categories'!$A$2:$C$45,2,FALSE)</f>
        <v>Predominantly Urban</v>
      </c>
      <c r="H3572" s="223" t="str">
        <f>VLOOKUP($B3572,'FRS geographical categories'!$A$2:$C$45,3,FALSE)</f>
        <v>Metropolitan</v>
      </c>
      <c r="I3572" s="224">
        <v>63310</v>
      </c>
    </row>
    <row r="3573" spans="1:9" ht="15.5" x14ac:dyDescent="0.35">
      <c r="A3573" s="224" t="s">
        <v>247</v>
      </c>
      <c r="B3573" s="224" t="s">
        <v>36</v>
      </c>
      <c r="C3573" s="224" t="s">
        <v>86</v>
      </c>
      <c r="D3573" s="224" t="s">
        <v>55</v>
      </c>
      <c r="E3573" s="224" t="s">
        <v>256</v>
      </c>
      <c r="F3573" s="224" t="s">
        <v>248</v>
      </c>
      <c r="G3573" s="223" t="str">
        <f>VLOOKUP($B3573,'FRS geographical categories'!$A$2:$C$45,2,FALSE)</f>
        <v>Predominantly Urban</v>
      </c>
      <c r="H3573" s="223" t="str">
        <f>VLOOKUP($B3573,'FRS geographical categories'!$A$2:$C$45,3,FALSE)</f>
        <v>Metropolitan</v>
      </c>
      <c r="I3573" s="224">
        <v>0</v>
      </c>
    </row>
    <row r="3574" spans="1:9" ht="15.5" x14ac:dyDescent="0.35">
      <c r="A3574" s="224" t="s">
        <v>247</v>
      </c>
      <c r="B3574" s="224" t="s">
        <v>36</v>
      </c>
      <c r="C3574" s="224" t="s">
        <v>86</v>
      </c>
      <c r="D3574" s="224" t="s">
        <v>55</v>
      </c>
      <c r="E3574" s="224" t="s">
        <v>256</v>
      </c>
      <c r="F3574" s="224" t="s">
        <v>249</v>
      </c>
      <c r="G3574" s="223" t="str">
        <f>VLOOKUP($B3574,'FRS geographical categories'!$A$2:$C$45,2,FALSE)</f>
        <v>Predominantly Urban</v>
      </c>
      <c r="H3574" s="223" t="str">
        <f>VLOOKUP($B3574,'FRS geographical categories'!$A$2:$C$45,3,FALSE)</f>
        <v>Metropolitan</v>
      </c>
      <c r="I3574" s="224">
        <v>0</v>
      </c>
    </row>
    <row r="3575" spans="1:9" ht="15.5" x14ac:dyDescent="0.35">
      <c r="A3575" s="224" t="s">
        <v>247</v>
      </c>
      <c r="B3575" s="224" t="s">
        <v>36</v>
      </c>
      <c r="C3575" s="224" t="s">
        <v>86</v>
      </c>
      <c r="D3575" s="224" t="s">
        <v>55</v>
      </c>
      <c r="E3575" s="224" t="s">
        <v>256</v>
      </c>
      <c r="F3575" s="224" t="s">
        <v>250</v>
      </c>
      <c r="G3575" s="223" t="str">
        <f>VLOOKUP($B3575,'FRS geographical categories'!$A$2:$C$45,2,FALSE)</f>
        <v>Predominantly Urban</v>
      </c>
      <c r="H3575" s="223" t="str">
        <f>VLOOKUP($B3575,'FRS geographical categories'!$A$2:$C$45,3,FALSE)</f>
        <v>Metropolitan</v>
      </c>
      <c r="I3575" s="224">
        <v>0</v>
      </c>
    </row>
    <row r="3576" spans="1:9" ht="15.5" x14ac:dyDescent="0.35">
      <c r="A3576" s="224" t="s">
        <v>247</v>
      </c>
      <c r="B3576" s="224" t="s">
        <v>36</v>
      </c>
      <c r="C3576" s="224" t="s">
        <v>86</v>
      </c>
      <c r="D3576" s="224" t="s">
        <v>55</v>
      </c>
      <c r="E3576" s="224" t="s">
        <v>256</v>
      </c>
      <c r="F3576" s="224" t="s">
        <v>111</v>
      </c>
      <c r="G3576" s="223" t="str">
        <f>VLOOKUP($B3576,'FRS geographical categories'!$A$2:$C$45,2,FALSE)</f>
        <v>Predominantly Urban</v>
      </c>
      <c r="H3576" s="223" t="str">
        <f>VLOOKUP($B3576,'FRS geographical categories'!$A$2:$C$45,3,FALSE)</f>
        <v>Metropolitan</v>
      </c>
      <c r="I3576" s="224">
        <v>0</v>
      </c>
    </row>
    <row r="3577" spans="1:9" ht="15.5" x14ac:dyDescent="0.35">
      <c r="A3577" s="224" t="s">
        <v>247</v>
      </c>
      <c r="B3577" s="224" t="s">
        <v>36</v>
      </c>
      <c r="C3577" s="224" t="s">
        <v>86</v>
      </c>
      <c r="D3577" s="224" t="s">
        <v>55</v>
      </c>
      <c r="E3577" s="224" t="s">
        <v>256</v>
      </c>
      <c r="F3577" s="224" t="s">
        <v>10</v>
      </c>
      <c r="G3577" s="223" t="str">
        <f>VLOOKUP($B3577,'FRS geographical categories'!$A$2:$C$45,2,FALSE)</f>
        <v>Predominantly Urban</v>
      </c>
      <c r="H3577" s="223" t="str">
        <f>VLOOKUP($B3577,'FRS geographical categories'!$A$2:$C$45,3,FALSE)</f>
        <v>Metropolitan</v>
      </c>
      <c r="I3577" s="224">
        <v>0</v>
      </c>
    </row>
    <row r="3578" spans="1:9" ht="15.5" x14ac:dyDescent="0.35">
      <c r="A3578" s="224" t="s">
        <v>247</v>
      </c>
      <c r="B3578" s="224" t="s">
        <v>36</v>
      </c>
      <c r="C3578" s="224" t="s">
        <v>89</v>
      </c>
      <c r="D3578" s="224" t="s">
        <v>9</v>
      </c>
      <c r="E3578" s="224" t="s">
        <v>256</v>
      </c>
      <c r="F3578" s="224" t="s">
        <v>248</v>
      </c>
      <c r="G3578" s="223" t="str">
        <f>VLOOKUP($B3578,'FRS geographical categories'!$A$2:$C$45,2,FALSE)</f>
        <v>Predominantly Urban</v>
      </c>
      <c r="H3578" s="223" t="str">
        <f>VLOOKUP($B3578,'FRS geographical categories'!$A$2:$C$45,3,FALSE)</f>
        <v>Metropolitan</v>
      </c>
      <c r="I3578" s="224">
        <v>0</v>
      </c>
    </row>
    <row r="3579" spans="1:9" ht="15.5" x14ac:dyDescent="0.35">
      <c r="A3579" s="224" t="s">
        <v>247</v>
      </c>
      <c r="B3579" s="224" t="s">
        <v>36</v>
      </c>
      <c r="C3579" s="224" t="s">
        <v>89</v>
      </c>
      <c r="D3579" s="224" t="s">
        <v>9</v>
      </c>
      <c r="E3579" s="224" t="s">
        <v>256</v>
      </c>
      <c r="F3579" s="224" t="s">
        <v>249</v>
      </c>
      <c r="G3579" s="223" t="str">
        <f>VLOOKUP($B3579,'FRS geographical categories'!$A$2:$C$45,2,FALSE)</f>
        <v>Predominantly Urban</v>
      </c>
      <c r="H3579" s="223" t="str">
        <f>VLOOKUP($B3579,'FRS geographical categories'!$A$2:$C$45,3,FALSE)</f>
        <v>Metropolitan</v>
      </c>
      <c r="I3579" s="224">
        <v>0</v>
      </c>
    </row>
    <row r="3580" spans="1:9" ht="15.5" x14ac:dyDescent="0.35">
      <c r="A3580" s="224" t="s">
        <v>247</v>
      </c>
      <c r="B3580" s="224" t="s">
        <v>36</v>
      </c>
      <c r="C3580" s="224" t="s">
        <v>89</v>
      </c>
      <c r="D3580" s="224" t="s">
        <v>9</v>
      </c>
      <c r="E3580" s="224" t="s">
        <v>256</v>
      </c>
      <c r="F3580" s="224" t="s">
        <v>250</v>
      </c>
      <c r="G3580" s="223" t="str">
        <f>VLOOKUP($B3580,'FRS geographical categories'!$A$2:$C$45,2,FALSE)</f>
        <v>Predominantly Urban</v>
      </c>
      <c r="H3580" s="223" t="str">
        <f>VLOOKUP($B3580,'FRS geographical categories'!$A$2:$C$45,3,FALSE)</f>
        <v>Metropolitan</v>
      </c>
      <c r="I3580" s="224">
        <v>0</v>
      </c>
    </row>
    <row r="3581" spans="1:9" ht="15.5" x14ac:dyDescent="0.35">
      <c r="A3581" s="224" t="s">
        <v>247</v>
      </c>
      <c r="B3581" s="224" t="s">
        <v>36</v>
      </c>
      <c r="C3581" s="224" t="s">
        <v>89</v>
      </c>
      <c r="D3581" s="224" t="s">
        <v>9</v>
      </c>
      <c r="E3581" s="224" t="s">
        <v>256</v>
      </c>
      <c r="F3581" s="224" t="s">
        <v>10</v>
      </c>
      <c r="G3581" s="223" t="str">
        <f>VLOOKUP($B3581,'FRS geographical categories'!$A$2:$C$45,2,FALSE)</f>
        <v>Predominantly Urban</v>
      </c>
      <c r="H3581" s="223" t="str">
        <f>VLOOKUP($B3581,'FRS geographical categories'!$A$2:$C$45,3,FALSE)</f>
        <v>Metropolitan</v>
      </c>
      <c r="I3581" s="224">
        <v>0</v>
      </c>
    </row>
    <row r="3582" spans="1:9" ht="15.5" x14ac:dyDescent="0.35">
      <c r="A3582" s="224" t="s">
        <v>247</v>
      </c>
      <c r="B3582" s="224" t="s">
        <v>36</v>
      </c>
      <c r="C3582" s="224" t="s">
        <v>89</v>
      </c>
      <c r="D3582" s="224" t="s">
        <v>55</v>
      </c>
      <c r="E3582" s="224" t="s">
        <v>256</v>
      </c>
      <c r="F3582" s="224" t="s">
        <v>248</v>
      </c>
      <c r="G3582" s="223" t="str">
        <f>VLOOKUP($B3582,'FRS geographical categories'!$A$2:$C$45,2,FALSE)</f>
        <v>Predominantly Urban</v>
      </c>
      <c r="H3582" s="223" t="str">
        <f>VLOOKUP($B3582,'FRS geographical categories'!$A$2:$C$45,3,FALSE)</f>
        <v>Metropolitan</v>
      </c>
      <c r="I3582" s="224">
        <v>0</v>
      </c>
    </row>
    <row r="3583" spans="1:9" ht="15.5" x14ac:dyDescent="0.35">
      <c r="A3583" s="224" t="s">
        <v>247</v>
      </c>
      <c r="B3583" s="224" t="s">
        <v>36</v>
      </c>
      <c r="C3583" s="224" t="s">
        <v>89</v>
      </c>
      <c r="D3583" s="224" t="s">
        <v>55</v>
      </c>
      <c r="E3583" s="224" t="s">
        <v>256</v>
      </c>
      <c r="F3583" s="224" t="s">
        <v>249</v>
      </c>
      <c r="G3583" s="223" t="str">
        <f>VLOOKUP($B3583,'FRS geographical categories'!$A$2:$C$45,2,FALSE)</f>
        <v>Predominantly Urban</v>
      </c>
      <c r="H3583" s="223" t="str">
        <f>VLOOKUP($B3583,'FRS geographical categories'!$A$2:$C$45,3,FALSE)</f>
        <v>Metropolitan</v>
      </c>
      <c r="I3583" s="224">
        <v>0</v>
      </c>
    </row>
    <row r="3584" spans="1:9" ht="15.5" x14ac:dyDescent="0.35">
      <c r="A3584" s="224" t="s">
        <v>247</v>
      </c>
      <c r="B3584" s="224" t="s">
        <v>36</v>
      </c>
      <c r="C3584" s="224" t="s">
        <v>89</v>
      </c>
      <c r="D3584" s="224" t="s">
        <v>55</v>
      </c>
      <c r="E3584" s="224" t="s">
        <v>256</v>
      </c>
      <c r="F3584" s="224" t="s">
        <v>250</v>
      </c>
      <c r="G3584" s="223" t="str">
        <f>VLOOKUP($B3584,'FRS geographical categories'!$A$2:$C$45,2,FALSE)</f>
        <v>Predominantly Urban</v>
      </c>
      <c r="H3584" s="223" t="str">
        <f>VLOOKUP($B3584,'FRS geographical categories'!$A$2:$C$45,3,FALSE)</f>
        <v>Metropolitan</v>
      </c>
      <c r="I3584" s="224">
        <v>0</v>
      </c>
    </row>
    <row r="3585" spans="1:9" ht="15.5" x14ac:dyDescent="0.35">
      <c r="A3585" s="224" t="s">
        <v>247</v>
      </c>
      <c r="B3585" s="224" t="s">
        <v>36</v>
      </c>
      <c r="C3585" s="224" t="s">
        <v>89</v>
      </c>
      <c r="D3585" s="224" t="s">
        <v>55</v>
      </c>
      <c r="E3585" s="224" t="s">
        <v>256</v>
      </c>
      <c r="F3585" s="224" t="s">
        <v>10</v>
      </c>
      <c r="G3585" s="223" t="str">
        <f>VLOOKUP($B3585,'FRS geographical categories'!$A$2:$C$45,2,FALSE)</f>
        <v>Predominantly Urban</v>
      </c>
      <c r="H3585" s="223" t="str">
        <f>VLOOKUP($B3585,'FRS geographical categories'!$A$2:$C$45,3,FALSE)</f>
        <v>Metropolitan</v>
      </c>
      <c r="I3585" s="224">
        <v>0</v>
      </c>
    </row>
    <row r="3586" spans="1:9" ht="15.5" x14ac:dyDescent="0.35">
      <c r="A3586" s="224" t="s">
        <v>247</v>
      </c>
      <c r="B3586" s="224" t="s">
        <v>37</v>
      </c>
      <c r="C3586" s="224" t="s">
        <v>86</v>
      </c>
      <c r="D3586" s="224" t="s">
        <v>9</v>
      </c>
      <c r="E3586" s="224" t="s">
        <v>256</v>
      </c>
      <c r="F3586" s="224" t="s">
        <v>248</v>
      </c>
      <c r="G3586" s="223" t="str">
        <f>VLOOKUP($B3586,'FRS geographical categories'!$A$2:$C$45,2,FALSE)</f>
        <v>Predominantly Rural</v>
      </c>
      <c r="H3586" s="223" t="str">
        <f>VLOOKUP($B3586,'FRS geographical categories'!$A$2:$C$45,3,FALSE)</f>
        <v>Non-metropolitan</v>
      </c>
      <c r="I3586" s="224">
        <v>503</v>
      </c>
    </row>
    <row r="3587" spans="1:9" ht="15.5" x14ac:dyDescent="0.35">
      <c r="A3587" s="224" t="s">
        <v>247</v>
      </c>
      <c r="B3587" s="224" t="s">
        <v>37</v>
      </c>
      <c r="C3587" s="224" t="s">
        <v>86</v>
      </c>
      <c r="D3587" s="224" t="s">
        <v>9</v>
      </c>
      <c r="E3587" s="224" t="s">
        <v>256</v>
      </c>
      <c r="F3587" s="224" t="s">
        <v>249</v>
      </c>
      <c r="G3587" s="223" t="str">
        <f>VLOOKUP($B3587,'FRS geographical categories'!$A$2:$C$45,2,FALSE)</f>
        <v>Predominantly Rural</v>
      </c>
      <c r="H3587" s="223" t="str">
        <f>VLOOKUP($B3587,'FRS geographical categories'!$A$2:$C$45,3,FALSE)</f>
        <v>Non-metropolitan</v>
      </c>
      <c r="I3587" s="224">
        <v>1811</v>
      </c>
    </row>
    <row r="3588" spans="1:9" ht="15.5" x14ac:dyDescent="0.35">
      <c r="A3588" s="224" t="s">
        <v>247</v>
      </c>
      <c r="B3588" s="224" t="s">
        <v>37</v>
      </c>
      <c r="C3588" s="224" t="s">
        <v>86</v>
      </c>
      <c r="D3588" s="224" t="s">
        <v>9</v>
      </c>
      <c r="E3588" s="224" t="s">
        <v>256</v>
      </c>
      <c r="F3588" s="224" t="s">
        <v>250</v>
      </c>
      <c r="G3588" s="223" t="str">
        <f>VLOOKUP($B3588,'FRS geographical categories'!$A$2:$C$45,2,FALSE)</f>
        <v>Predominantly Rural</v>
      </c>
      <c r="H3588" s="223" t="str">
        <f>VLOOKUP($B3588,'FRS geographical categories'!$A$2:$C$45,3,FALSE)</f>
        <v>Non-metropolitan</v>
      </c>
      <c r="I3588" s="224">
        <v>1240</v>
      </c>
    </row>
    <row r="3589" spans="1:9" ht="15.5" x14ac:dyDescent="0.35">
      <c r="A3589" s="224" t="s">
        <v>247</v>
      </c>
      <c r="B3589" s="224" t="s">
        <v>37</v>
      </c>
      <c r="C3589" s="224" t="s">
        <v>86</v>
      </c>
      <c r="D3589" s="224" t="s">
        <v>9</v>
      </c>
      <c r="E3589" s="224" t="s">
        <v>256</v>
      </c>
      <c r="F3589" s="224" t="s">
        <v>111</v>
      </c>
      <c r="G3589" s="223" t="str">
        <f>VLOOKUP($B3589,'FRS geographical categories'!$A$2:$C$45,2,FALSE)</f>
        <v>Predominantly Rural</v>
      </c>
      <c r="H3589" s="223" t="str">
        <f>VLOOKUP($B3589,'FRS geographical categories'!$A$2:$C$45,3,FALSE)</f>
        <v>Non-metropolitan</v>
      </c>
      <c r="I3589" s="224">
        <v>5856</v>
      </c>
    </row>
    <row r="3590" spans="1:9" ht="15.5" x14ac:dyDescent="0.35">
      <c r="A3590" s="224" t="s">
        <v>247</v>
      </c>
      <c r="B3590" s="224" t="s">
        <v>37</v>
      </c>
      <c r="C3590" s="224" t="s">
        <v>86</v>
      </c>
      <c r="D3590" s="224" t="s">
        <v>9</v>
      </c>
      <c r="E3590" s="224" t="s">
        <v>256</v>
      </c>
      <c r="F3590" s="224" t="s">
        <v>10</v>
      </c>
      <c r="G3590" s="223" t="str">
        <f>VLOOKUP($B3590,'FRS geographical categories'!$A$2:$C$45,2,FALSE)</f>
        <v>Predominantly Rural</v>
      </c>
      <c r="H3590" s="223" t="str">
        <f>VLOOKUP($B3590,'FRS geographical categories'!$A$2:$C$45,3,FALSE)</f>
        <v>Non-metropolitan</v>
      </c>
      <c r="I3590" s="224">
        <v>5856</v>
      </c>
    </row>
    <row r="3591" spans="1:9" ht="15.5" x14ac:dyDescent="0.35">
      <c r="A3591" s="224" t="s">
        <v>247</v>
      </c>
      <c r="B3591" s="224" t="s">
        <v>37</v>
      </c>
      <c r="C3591" s="224" t="s">
        <v>86</v>
      </c>
      <c r="D3591" s="224" t="s">
        <v>55</v>
      </c>
      <c r="E3591" s="224" t="s">
        <v>256</v>
      </c>
      <c r="F3591" s="224" t="s">
        <v>248</v>
      </c>
      <c r="G3591" s="223" t="str">
        <f>VLOOKUP($B3591,'FRS geographical categories'!$A$2:$C$45,2,FALSE)</f>
        <v>Predominantly Rural</v>
      </c>
      <c r="H3591" s="223" t="str">
        <f>VLOOKUP($B3591,'FRS geographical categories'!$A$2:$C$45,3,FALSE)</f>
        <v>Non-metropolitan</v>
      </c>
      <c r="I3591" s="224">
        <v>0</v>
      </c>
    </row>
    <row r="3592" spans="1:9" ht="15.5" x14ac:dyDescent="0.35">
      <c r="A3592" s="224" t="s">
        <v>247</v>
      </c>
      <c r="B3592" s="224" t="s">
        <v>37</v>
      </c>
      <c r="C3592" s="224" t="s">
        <v>86</v>
      </c>
      <c r="D3592" s="224" t="s">
        <v>55</v>
      </c>
      <c r="E3592" s="224" t="s">
        <v>256</v>
      </c>
      <c r="F3592" s="224" t="s">
        <v>249</v>
      </c>
      <c r="G3592" s="223" t="str">
        <f>VLOOKUP($B3592,'FRS geographical categories'!$A$2:$C$45,2,FALSE)</f>
        <v>Predominantly Rural</v>
      </c>
      <c r="H3592" s="223" t="str">
        <f>VLOOKUP($B3592,'FRS geographical categories'!$A$2:$C$45,3,FALSE)</f>
        <v>Non-metropolitan</v>
      </c>
      <c r="I3592" s="224">
        <v>0</v>
      </c>
    </row>
    <row r="3593" spans="1:9" ht="15.5" x14ac:dyDescent="0.35">
      <c r="A3593" s="224" t="s">
        <v>247</v>
      </c>
      <c r="B3593" s="224" t="s">
        <v>37</v>
      </c>
      <c r="C3593" s="224" t="s">
        <v>86</v>
      </c>
      <c r="D3593" s="224" t="s">
        <v>55</v>
      </c>
      <c r="E3593" s="224" t="s">
        <v>256</v>
      </c>
      <c r="F3593" s="224" t="s">
        <v>250</v>
      </c>
      <c r="G3593" s="223" t="str">
        <f>VLOOKUP($B3593,'FRS geographical categories'!$A$2:$C$45,2,FALSE)</f>
        <v>Predominantly Rural</v>
      </c>
      <c r="H3593" s="223" t="str">
        <f>VLOOKUP($B3593,'FRS geographical categories'!$A$2:$C$45,3,FALSE)</f>
        <v>Non-metropolitan</v>
      </c>
      <c r="I3593" s="224">
        <v>0</v>
      </c>
    </row>
    <row r="3594" spans="1:9" ht="15.5" x14ac:dyDescent="0.35">
      <c r="A3594" s="224" t="s">
        <v>247</v>
      </c>
      <c r="B3594" s="224" t="s">
        <v>37</v>
      </c>
      <c r="C3594" s="224" t="s">
        <v>86</v>
      </c>
      <c r="D3594" s="224" t="s">
        <v>55</v>
      </c>
      <c r="E3594" s="224" t="s">
        <v>256</v>
      </c>
      <c r="F3594" s="224" t="s">
        <v>111</v>
      </c>
      <c r="G3594" s="223" t="str">
        <f>VLOOKUP($B3594,'FRS geographical categories'!$A$2:$C$45,2,FALSE)</f>
        <v>Predominantly Rural</v>
      </c>
      <c r="H3594" s="223" t="str">
        <f>VLOOKUP($B3594,'FRS geographical categories'!$A$2:$C$45,3,FALSE)</f>
        <v>Non-metropolitan</v>
      </c>
      <c r="I3594" s="224">
        <v>77</v>
      </c>
    </row>
    <row r="3595" spans="1:9" ht="15.5" x14ac:dyDescent="0.35">
      <c r="A3595" s="224" t="s">
        <v>247</v>
      </c>
      <c r="B3595" s="224" t="s">
        <v>37</v>
      </c>
      <c r="C3595" s="224" t="s">
        <v>86</v>
      </c>
      <c r="D3595" s="224" t="s">
        <v>55</v>
      </c>
      <c r="E3595" s="224" t="s">
        <v>256</v>
      </c>
      <c r="F3595" s="224" t="s">
        <v>10</v>
      </c>
      <c r="G3595" s="223" t="str">
        <f>VLOOKUP($B3595,'FRS geographical categories'!$A$2:$C$45,2,FALSE)</f>
        <v>Predominantly Rural</v>
      </c>
      <c r="H3595" s="223" t="str">
        <f>VLOOKUP($B3595,'FRS geographical categories'!$A$2:$C$45,3,FALSE)</f>
        <v>Non-metropolitan</v>
      </c>
      <c r="I3595" s="224">
        <v>77</v>
      </c>
    </row>
    <row r="3596" spans="1:9" ht="15.5" x14ac:dyDescent="0.35">
      <c r="A3596" s="224" t="s">
        <v>247</v>
      </c>
      <c r="B3596" s="224" t="s">
        <v>37</v>
      </c>
      <c r="C3596" s="224" t="s">
        <v>89</v>
      </c>
      <c r="D3596" s="224" t="s">
        <v>9</v>
      </c>
      <c r="E3596" s="224" t="s">
        <v>256</v>
      </c>
      <c r="F3596" s="224" t="s">
        <v>248</v>
      </c>
      <c r="G3596" s="223" t="str">
        <f>VLOOKUP($B3596,'FRS geographical categories'!$A$2:$C$45,2,FALSE)</f>
        <v>Predominantly Rural</v>
      </c>
      <c r="H3596" s="223" t="str">
        <f>VLOOKUP($B3596,'FRS geographical categories'!$A$2:$C$45,3,FALSE)</f>
        <v>Non-metropolitan</v>
      </c>
      <c r="I3596" s="224">
        <v>0</v>
      </c>
    </row>
    <row r="3597" spans="1:9" ht="15.5" x14ac:dyDescent="0.35">
      <c r="A3597" s="224" t="s">
        <v>247</v>
      </c>
      <c r="B3597" s="224" t="s">
        <v>37</v>
      </c>
      <c r="C3597" s="224" t="s">
        <v>89</v>
      </c>
      <c r="D3597" s="224" t="s">
        <v>9</v>
      </c>
      <c r="E3597" s="224" t="s">
        <v>256</v>
      </c>
      <c r="F3597" s="224" t="s">
        <v>249</v>
      </c>
      <c r="G3597" s="223" t="str">
        <f>VLOOKUP($B3597,'FRS geographical categories'!$A$2:$C$45,2,FALSE)</f>
        <v>Predominantly Rural</v>
      </c>
      <c r="H3597" s="223" t="str">
        <f>VLOOKUP($B3597,'FRS geographical categories'!$A$2:$C$45,3,FALSE)</f>
        <v>Non-metropolitan</v>
      </c>
      <c r="I3597" s="224">
        <v>0</v>
      </c>
    </row>
    <row r="3598" spans="1:9" ht="15.5" x14ac:dyDescent="0.35">
      <c r="A3598" s="224" t="s">
        <v>247</v>
      </c>
      <c r="B3598" s="224" t="s">
        <v>37</v>
      </c>
      <c r="C3598" s="224" t="s">
        <v>89</v>
      </c>
      <c r="D3598" s="224" t="s">
        <v>9</v>
      </c>
      <c r="E3598" s="224" t="s">
        <v>256</v>
      </c>
      <c r="F3598" s="224" t="s">
        <v>250</v>
      </c>
      <c r="G3598" s="223" t="str">
        <f>VLOOKUP($B3598,'FRS geographical categories'!$A$2:$C$45,2,FALSE)</f>
        <v>Predominantly Rural</v>
      </c>
      <c r="H3598" s="223" t="str">
        <f>VLOOKUP($B3598,'FRS geographical categories'!$A$2:$C$45,3,FALSE)</f>
        <v>Non-metropolitan</v>
      </c>
      <c r="I3598" s="224">
        <v>0</v>
      </c>
    </row>
    <row r="3599" spans="1:9" ht="15.5" x14ac:dyDescent="0.35">
      <c r="A3599" s="224" t="s">
        <v>247</v>
      </c>
      <c r="B3599" s="224" t="s">
        <v>37</v>
      </c>
      <c r="C3599" s="224" t="s">
        <v>89</v>
      </c>
      <c r="D3599" s="224" t="s">
        <v>9</v>
      </c>
      <c r="E3599" s="224" t="s">
        <v>256</v>
      </c>
      <c r="F3599" s="224" t="s">
        <v>10</v>
      </c>
      <c r="G3599" s="223" t="str">
        <f>VLOOKUP($B3599,'FRS geographical categories'!$A$2:$C$45,2,FALSE)</f>
        <v>Predominantly Rural</v>
      </c>
      <c r="H3599" s="223" t="str">
        <f>VLOOKUP($B3599,'FRS geographical categories'!$A$2:$C$45,3,FALSE)</f>
        <v>Non-metropolitan</v>
      </c>
      <c r="I3599" s="224">
        <v>0</v>
      </c>
    </row>
    <row r="3600" spans="1:9" ht="15.5" x14ac:dyDescent="0.35">
      <c r="A3600" s="224" t="s">
        <v>247</v>
      </c>
      <c r="B3600" s="224" t="s">
        <v>37</v>
      </c>
      <c r="C3600" s="224" t="s">
        <v>89</v>
      </c>
      <c r="D3600" s="224" t="s">
        <v>55</v>
      </c>
      <c r="E3600" s="224" t="s">
        <v>256</v>
      </c>
      <c r="F3600" s="224" t="s">
        <v>248</v>
      </c>
      <c r="G3600" s="223" t="str">
        <f>VLOOKUP($B3600,'FRS geographical categories'!$A$2:$C$45,2,FALSE)</f>
        <v>Predominantly Rural</v>
      </c>
      <c r="H3600" s="223" t="str">
        <f>VLOOKUP($B3600,'FRS geographical categories'!$A$2:$C$45,3,FALSE)</f>
        <v>Non-metropolitan</v>
      </c>
      <c r="I3600" s="224">
        <v>0</v>
      </c>
    </row>
    <row r="3601" spans="1:9" ht="15.5" x14ac:dyDescent="0.35">
      <c r="A3601" s="224" t="s">
        <v>247</v>
      </c>
      <c r="B3601" s="224" t="s">
        <v>37</v>
      </c>
      <c r="C3601" s="224" t="s">
        <v>89</v>
      </c>
      <c r="D3601" s="224" t="s">
        <v>55</v>
      </c>
      <c r="E3601" s="224" t="s">
        <v>256</v>
      </c>
      <c r="F3601" s="224" t="s">
        <v>249</v>
      </c>
      <c r="G3601" s="223" t="str">
        <f>VLOOKUP($B3601,'FRS geographical categories'!$A$2:$C$45,2,FALSE)</f>
        <v>Predominantly Rural</v>
      </c>
      <c r="H3601" s="223" t="str">
        <f>VLOOKUP($B3601,'FRS geographical categories'!$A$2:$C$45,3,FALSE)</f>
        <v>Non-metropolitan</v>
      </c>
      <c r="I3601" s="224">
        <v>0</v>
      </c>
    </row>
    <row r="3602" spans="1:9" ht="15.5" x14ac:dyDescent="0.35">
      <c r="A3602" s="224" t="s">
        <v>247</v>
      </c>
      <c r="B3602" s="224" t="s">
        <v>37</v>
      </c>
      <c r="C3602" s="224" t="s">
        <v>89</v>
      </c>
      <c r="D3602" s="224" t="s">
        <v>55</v>
      </c>
      <c r="E3602" s="224" t="s">
        <v>256</v>
      </c>
      <c r="F3602" s="224" t="s">
        <v>250</v>
      </c>
      <c r="G3602" s="223" t="str">
        <f>VLOOKUP($B3602,'FRS geographical categories'!$A$2:$C$45,2,FALSE)</f>
        <v>Predominantly Rural</v>
      </c>
      <c r="H3602" s="223" t="str">
        <f>VLOOKUP($B3602,'FRS geographical categories'!$A$2:$C$45,3,FALSE)</f>
        <v>Non-metropolitan</v>
      </c>
      <c r="I3602" s="224">
        <v>0</v>
      </c>
    </row>
    <row r="3603" spans="1:9" ht="15.5" x14ac:dyDescent="0.35">
      <c r="A3603" s="224" t="s">
        <v>247</v>
      </c>
      <c r="B3603" s="224" t="s">
        <v>37</v>
      </c>
      <c r="C3603" s="224" t="s">
        <v>89</v>
      </c>
      <c r="D3603" s="224" t="s">
        <v>55</v>
      </c>
      <c r="E3603" s="224" t="s">
        <v>256</v>
      </c>
      <c r="F3603" s="224" t="s">
        <v>10</v>
      </c>
      <c r="G3603" s="223" t="str">
        <f>VLOOKUP($B3603,'FRS geographical categories'!$A$2:$C$45,2,FALSE)</f>
        <v>Predominantly Rural</v>
      </c>
      <c r="H3603" s="223" t="str">
        <f>VLOOKUP($B3603,'FRS geographical categories'!$A$2:$C$45,3,FALSE)</f>
        <v>Non-metropolitan</v>
      </c>
      <c r="I3603" s="224">
        <v>0</v>
      </c>
    </row>
    <row r="3604" spans="1:9" ht="15.5" x14ac:dyDescent="0.35">
      <c r="A3604" s="224" t="s">
        <v>247</v>
      </c>
      <c r="B3604" s="224" t="s">
        <v>38</v>
      </c>
      <c r="C3604" s="224" t="s">
        <v>86</v>
      </c>
      <c r="D3604" s="224" t="s">
        <v>9</v>
      </c>
      <c r="E3604" s="224" t="s">
        <v>256</v>
      </c>
      <c r="F3604" s="224" t="s">
        <v>248</v>
      </c>
      <c r="G3604" s="223" t="str">
        <f>VLOOKUP($B3604,'FRS geographical categories'!$A$2:$C$45,2,FALSE)</f>
        <v>Predominantly Rural</v>
      </c>
      <c r="H3604" s="223" t="str">
        <f>VLOOKUP($B3604,'FRS geographical categories'!$A$2:$C$45,3,FALSE)</f>
        <v>Non-metropolitan</v>
      </c>
      <c r="I3604" s="224">
        <v>579</v>
      </c>
    </row>
    <row r="3605" spans="1:9" ht="15.5" x14ac:dyDescent="0.35">
      <c r="A3605" s="224" t="s">
        <v>247</v>
      </c>
      <c r="B3605" s="224" t="s">
        <v>38</v>
      </c>
      <c r="C3605" s="224" t="s">
        <v>86</v>
      </c>
      <c r="D3605" s="224" t="s">
        <v>9</v>
      </c>
      <c r="E3605" s="224" t="s">
        <v>256</v>
      </c>
      <c r="F3605" s="224" t="s">
        <v>249</v>
      </c>
      <c r="G3605" s="223" t="str">
        <f>VLOOKUP($B3605,'FRS geographical categories'!$A$2:$C$45,2,FALSE)</f>
        <v>Predominantly Rural</v>
      </c>
      <c r="H3605" s="223" t="str">
        <f>VLOOKUP($B3605,'FRS geographical categories'!$A$2:$C$45,3,FALSE)</f>
        <v>Non-metropolitan</v>
      </c>
      <c r="I3605" s="224">
        <v>1517</v>
      </c>
    </row>
    <row r="3606" spans="1:9" ht="15.5" x14ac:dyDescent="0.35">
      <c r="A3606" s="224" t="s">
        <v>247</v>
      </c>
      <c r="B3606" s="224" t="s">
        <v>38</v>
      </c>
      <c r="C3606" s="224" t="s">
        <v>86</v>
      </c>
      <c r="D3606" s="224" t="s">
        <v>9</v>
      </c>
      <c r="E3606" s="224" t="s">
        <v>256</v>
      </c>
      <c r="F3606" s="224" t="s">
        <v>250</v>
      </c>
      <c r="G3606" s="223" t="str">
        <f>VLOOKUP($B3606,'FRS geographical categories'!$A$2:$C$45,2,FALSE)</f>
        <v>Predominantly Rural</v>
      </c>
      <c r="H3606" s="223" t="str">
        <f>VLOOKUP($B3606,'FRS geographical categories'!$A$2:$C$45,3,FALSE)</f>
        <v>Non-metropolitan</v>
      </c>
      <c r="I3606" s="224">
        <v>932</v>
      </c>
    </row>
    <row r="3607" spans="1:9" ht="15.5" x14ac:dyDescent="0.35">
      <c r="A3607" s="224" t="s">
        <v>247</v>
      </c>
      <c r="B3607" s="224" t="s">
        <v>38</v>
      </c>
      <c r="C3607" s="224" t="s">
        <v>86</v>
      </c>
      <c r="D3607" s="224" t="s">
        <v>9</v>
      </c>
      <c r="E3607" s="224" t="s">
        <v>256</v>
      </c>
      <c r="F3607" s="224" t="s">
        <v>111</v>
      </c>
      <c r="G3607" s="223" t="str">
        <f>VLOOKUP($B3607,'FRS geographical categories'!$A$2:$C$45,2,FALSE)</f>
        <v>Predominantly Rural</v>
      </c>
      <c r="H3607" s="223" t="str">
        <f>VLOOKUP($B3607,'FRS geographical categories'!$A$2:$C$45,3,FALSE)</f>
        <v>Non-metropolitan</v>
      </c>
      <c r="I3607" s="224">
        <v>3327</v>
      </c>
    </row>
    <row r="3608" spans="1:9" ht="15.5" x14ac:dyDescent="0.35">
      <c r="A3608" s="224" t="s">
        <v>247</v>
      </c>
      <c r="B3608" s="224" t="s">
        <v>38</v>
      </c>
      <c r="C3608" s="224" t="s">
        <v>86</v>
      </c>
      <c r="D3608" s="224" t="s">
        <v>9</v>
      </c>
      <c r="E3608" s="224" t="s">
        <v>256</v>
      </c>
      <c r="F3608" s="224" t="s">
        <v>10</v>
      </c>
      <c r="G3608" s="223" t="str">
        <f>VLOOKUP($B3608,'FRS geographical categories'!$A$2:$C$45,2,FALSE)</f>
        <v>Predominantly Rural</v>
      </c>
      <c r="H3608" s="223" t="str">
        <f>VLOOKUP($B3608,'FRS geographical categories'!$A$2:$C$45,3,FALSE)</f>
        <v>Non-metropolitan</v>
      </c>
      <c r="I3608" s="224">
        <v>3666</v>
      </c>
    </row>
    <row r="3609" spans="1:9" ht="15.5" x14ac:dyDescent="0.35">
      <c r="A3609" s="224" t="s">
        <v>247</v>
      </c>
      <c r="B3609" s="224" t="s">
        <v>38</v>
      </c>
      <c r="C3609" s="224" t="s">
        <v>86</v>
      </c>
      <c r="D3609" s="224" t="s">
        <v>55</v>
      </c>
      <c r="E3609" s="224" t="s">
        <v>256</v>
      </c>
      <c r="F3609" s="224" t="s">
        <v>248</v>
      </c>
      <c r="G3609" s="223" t="str">
        <f>VLOOKUP($B3609,'FRS geographical categories'!$A$2:$C$45,2,FALSE)</f>
        <v>Predominantly Rural</v>
      </c>
      <c r="H3609" s="223" t="str">
        <f>VLOOKUP($B3609,'FRS geographical categories'!$A$2:$C$45,3,FALSE)</f>
        <v>Non-metropolitan</v>
      </c>
      <c r="I3609" s="224">
        <v>0</v>
      </c>
    </row>
    <row r="3610" spans="1:9" ht="15.5" x14ac:dyDescent="0.35">
      <c r="A3610" s="224" t="s">
        <v>247</v>
      </c>
      <c r="B3610" s="224" t="s">
        <v>38</v>
      </c>
      <c r="C3610" s="224" t="s">
        <v>86</v>
      </c>
      <c r="D3610" s="224" t="s">
        <v>55</v>
      </c>
      <c r="E3610" s="224" t="s">
        <v>256</v>
      </c>
      <c r="F3610" s="224" t="s">
        <v>249</v>
      </c>
      <c r="G3610" s="223" t="str">
        <f>VLOOKUP($B3610,'FRS geographical categories'!$A$2:$C$45,2,FALSE)</f>
        <v>Predominantly Rural</v>
      </c>
      <c r="H3610" s="223" t="str">
        <f>VLOOKUP($B3610,'FRS geographical categories'!$A$2:$C$45,3,FALSE)</f>
        <v>Non-metropolitan</v>
      </c>
      <c r="I3610" s="224">
        <v>0</v>
      </c>
    </row>
    <row r="3611" spans="1:9" ht="15.5" x14ac:dyDescent="0.35">
      <c r="A3611" s="224" t="s">
        <v>247</v>
      </c>
      <c r="B3611" s="224" t="s">
        <v>38</v>
      </c>
      <c r="C3611" s="224" t="s">
        <v>86</v>
      </c>
      <c r="D3611" s="224" t="s">
        <v>55</v>
      </c>
      <c r="E3611" s="224" t="s">
        <v>256</v>
      </c>
      <c r="F3611" s="224" t="s">
        <v>250</v>
      </c>
      <c r="G3611" s="223" t="str">
        <f>VLOOKUP($B3611,'FRS geographical categories'!$A$2:$C$45,2,FALSE)</f>
        <v>Predominantly Rural</v>
      </c>
      <c r="H3611" s="223" t="str">
        <f>VLOOKUP($B3611,'FRS geographical categories'!$A$2:$C$45,3,FALSE)</f>
        <v>Non-metropolitan</v>
      </c>
      <c r="I3611" s="224">
        <v>0</v>
      </c>
    </row>
    <row r="3612" spans="1:9" ht="15.5" x14ac:dyDescent="0.35">
      <c r="A3612" s="224" t="s">
        <v>247</v>
      </c>
      <c r="B3612" s="224" t="s">
        <v>38</v>
      </c>
      <c r="C3612" s="224" t="s">
        <v>86</v>
      </c>
      <c r="D3612" s="224" t="s">
        <v>55</v>
      </c>
      <c r="E3612" s="224" t="s">
        <v>256</v>
      </c>
      <c r="F3612" s="224" t="s">
        <v>111</v>
      </c>
      <c r="G3612" s="223" t="str">
        <f>VLOOKUP($B3612,'FRS geographical categories'!$A$2:$C$45,2,FALSE)</f>
        <v>Predominantly Rural</v>
      </c>
      <c r="H3612" s="223" t="str">
        <f>VLOOKUP($B3612,'FRS geographical categories'!$A$2:$C$45,3,FALSE)</f>
        <v>Non-metropolitan</v>
      </c>
      <c r="I3612" s="224">
        <v>0</v>
      </c>
    </row>
    <row r="3613" spans="1:9" ht="15.5" x14ac:dyDescent="0.35">
      <c r="A3613" s="224" t="s">
        <v>247</v>
      </c>
      <c r="B3613" s="224" t="s">
        <v>38</v>
      </c>
      <c r="C3613" s="224" t="s">
        <v>86</v>
      </c>
      <c r="D3613" s="224" t="s">
        <v>55</v>
      </c>
      <c r="E3613" s="224" t="s">
        <v>256</v>
      </c>
      <c r="F3613" s="224" t="s">
        <v>10</v>
      </c>
      <c r="G3613" s="223" t="str">
        <f>VLOOKUP($B3613,'FRS geographical categories'!$A$2:$C$45,2,FALSE)</f>
        <v>Predominantly Rural</v>
      </c>
      <c r="H3613" s="223" t="str">
        <f>VLOOKUP($B3613,'FRS geographical categories'!$A$2:$C$45,3,FALSE)</f>
        <v>Non-metropolitan</v>
      </c>
      <c r="I3613" s="224">
        <v>0</v>
      </c>
    </row>
    <row r="3614" spans="1:9" ht="15.5" x14ac:dyDescent="0.35">
      <c r="A3614" s="224" t="s">
        <v>247</v>
      </c>
      <c r="B3614" s="224" t="s">
        <v>38</v>
      </c>
      <c r="C3614" s="224" t="s">
        <v>89</v>
      </c>
      <c r="D3614" s="224" t="s">
        <v>9</v>
      </c>
      <c r="E3614" s="224" t="s">
        <v>256</v>
      </c>
      <c r="F3614" s="224" t="s">
        <v>248</v>
      </c>
      <c r="G3614" s="223" t="str">
        <f>VLOOKUP($B3614,'FRS geographical categories'!$A$2:$C$45,2,FALSE)</f>
        <v>Predominantly Rural</v>
      </c>
      <c r="H3614" s="223" t="str">
        <f>VLOOKUP($B3614,'FRS geographical categories'!$A$2:$C$45,3,FALSE)</f>
        <v>Non-metropolitan</v>
      </c>
      <c r="I3614" s="224">
        <v>0</v>
      </c>
    </row>
    <row r="3615" spans="1:9" ht="15.5" x14ac:dyDescent="0.35">
      <c r="A3615" s="224" t="s">
        <v>247</v>
      </c>
      <c r="B3615" s="224" t="s">
        <v>38</v>
      </c>
      <c r="C3615" s="224" t="s">
        <v>89</v>
      </c>
      <c r="D3615" s="224" t="s">
        <v>9</v>
      </c>
      <c r="E3615" s="224" t="s">
        <v>256</v>
      </c>
      <c r="F3615" s="224" t="s">
        <v>249</v>
      </c>
      <c r="G3615" s="223" t="str">
        <f>VLOOKUP($B3615,'FRS geographical categories'!$A$2:$C$45,2,FALSE)</f>
        <v>Predominantly Rural</v>
      </c>
      <c r="H3615" s="223" t="str">
        <f>VLOOKUP($B3615,'FRS geographical categories'!$A$2:$C$45,3,FALSE)</f>
        <v>Non-metropolitan</v>
      </c>
      <c r="I3615" s="224">
        <v>0</v>
      </c>
    </row>
    <row r="3616" spans="1:9" ht="15.5" x14ac:dyDescent="0.35">
      <c r="A3616" s="224" t="s">
        <v>247</v>
      </c>
      <c r="B3616" s="224" t="s">
        <v>38</v>
      </c>
      <c r="C3616" s="224" t="s">
        <v>89</v>
      </c>
      <c r="D3616" s="224" t="s">
        <v>9</v>
      </c>
      <c r="E3616" s="224" t="s">
        <v>256</v>
      </c>
      <c r="F3616" s="224" t="s">
        <v>250</v>
      </c>
      <c r="G3616" s="223" t="str">
        <f>VLOOKUP($B3616,'FRS geographical categories'!$A$2:$C$45,2,FALSE)</f>
        <v>Predominantly Rural</v>
      </c>
      <c r="H3616" s="223" t="str">
        <f>VLOOKUP($B3616,'FRS geographical categories'!$A$2:$C$45,3,FALSE)</f>
        <v>Non-metropolitan</v>
      </c>
      <c r="I3616" s="224">
        <v>0</v>
      </c>
    </row>
    <row r="3617" spans="1:9" ht="15.5" x14ac:dyDescent="0.35">
      <c r="A3617" s="224" t="s">
        <v>247</v>
      </c>
      <c r="B3617" s="224" t="s">
        <v>38</v>
      </c>
      <c r="C3617" s="224" t="s">
        <v>89</v>
      </c>
      <c r="D3617" s="224" t="s">
        <v>9</v>
      </c>
      <c r="E3617" s="224" t="s">
        <v>256</v>
      </c>
      <c r="F3617" s="224" t="s">
        <v>10</v>
      </c>
      <c r="G3617" s="223" t="str">
        <f>VLOOKUP($B3617,'FRS geographical categories'!$A$2:$C$45,2,FALSE)</f>
        <v>Predominantly Rural</v>
      </c>
      <c r="H3617" s="223" t="str">
        <f>VLOOKUP($B3617,'FRS geographical categories'!$A$2:$C$45,3,FALSE)</f>
        <v>Non-metropolitan</v>
      </c>
      <c r="I3617" s="224">
        <v>0</v>
      </c>
    </row>
    <row r="3618" spans="1:9" ht="15.5" x14ac:dyDescent="0.35">
      <c r="A3618" s="224" t="s">
        <v>247</v>
      </c>
      <c r="B3618" s="224" t="s">
        <v>38</v>
      </c>
      <c r="C3618" s="224" t="s">
        <v>89</v>
      </c>
      <c r="D3618" s="224" t="s">
        <v>55</v>
      </c>
      <c r="E3618" s="224" t="s">
        <v>256</v>
      </c>
      <c r="F3618" s="224" t="s">
        <v>248</v>
      </c>
      <c r="G3618" s="223" t="str">
        <f>VLOOKUP($B3618,'FRS geographical categories'!$A$2:$C$45,2,FALSE)</f>
        <v>Predominantly Rural</v>
      </c>
      <c r="H3618" s="223" t="str">
        <f>VLOOKUP($B3618,'FRS geographical categories'!$A$2:$C$45,3,FALSE)</f>
        <v>Non-metropolitan</v>
      </c>
      <c r="I3618" s="224">
        <v>0</v>
      </c>
    </row>
    <row r="3619" spans="1:9" ht="15.5" x14ac:dyDescent="0.35">
      <c r="A3619" s="224" t="s">
        <v>247</v>
      </c>
      <c r="B3619" s="224" t="s">
        <v>38</v>
      </c>
      <c r="C3619" s="224" t="s">
        <v>89</v>
      </c>
      <c r="D3619" s="224" t="s">
        <v>55</v>
      </c>
      <c r="E3619" s="224" t="s">
        <v>256</v>
      </c>
      <c r="F3619" s="224" t="s">
        <v>249</v>
      </c>
      <c r="G3619" s="223" t="str">
        <f>VLOOKUP($B3619,'FRS geographical categories'!$A$2:$C$45,2,FALSE)</f>
        <v>Predominantly Rural</v>
      </c>
      <c r="H3619" s="223" t="str">
        <f>VLOOKUP($B3619,'FRS geographical categories'!$A$2:$C$45,3,FALSE)</f>
        <v>Non-metropolitan</v>
      </c>
      <c r="I3619" s="224">
        <v>0</v>
      </c>
    </row>
    <row r="3620" spans="1:9" ht="15.5" x14ac:dyDescent="0.35">
      <c r="A3620" s="224" t="s">
        <v>247</v>
      </c>
      <c r="B3620" s="224" t="s">
        <v>38</v>
      </c>
      <c r="C3620" s="224" t="s">
        <v>89</v>
      </c>
      <c r="D3620" s="224" t="s">
        <v>55</v>
      </c>
      <c r="E3620" s="224" t="s">
        <v>256</v>
      </c>
      <c r="F3620" s="224" t="s">
        <v>250</v>
      </c>
      <c r="G3620" s="223" t="str">
        <f>VLOOKUP($B3620,'FRS geographical categories'!$A$2:$C$45,2,FALSE)</f>
        <v>Predominantly Rural</v>
      </c>
      <c r="H3620" s="223" t="str">
        <f>VLOOKUP($B3620,'FRS geographical categories'!$A$2:$C$45,3,FALSE)</f>
        <v>Non-metropolitan</v>
      </c>
      <c r="I3620" s="224">
        <v>0</v>
      </c>
    </row>
    <row r="3621" spans="1:9" ht="15.5" x14ac:dyDescent="0.35">
      <c r="A3621" s="224" t="s">
        <v>247</v>
      </c>
      <c r="B3621" s="224" t="s">
        <v>38</v>
      </c>
      <c r="C3621" s="224" t="s">
        <v>89</v>
      </c>
      <c r="D3621" s="224" t="s">
        <v>55</v>
      </c>
      <c r="E3621" s="224" t="s">
        <v>256</v>
      </c>
      <c r="F3621" s="224" t="s">
        <v>10</v>
      </c>
      <c r="G3621" s="223" t="str">
        <f>VLOOKUP($B3621,'FRS geographical categories'!$A$2:$C$45,2,FALSE)</f>
        <v>Predominantly Rural</v>
      </c>
      <c r="H3621" s="223" t="str">
        <f>VLOOKUP($B3621,'FRS geographical categories'!$A$2:$C$45,3,FALSE)</f>
        <v>Non-metropolitan</v>
      </c>
      <c r="I3621" s="224">
        <v>0</v>
      </c>
    </row>
    <row r="3622" spans="1:9" ht="15.5" x14ac:dyDescent="0.35">
      <c r="A3622" s="224" t="s">
        <v>247</v>
      </c>
      <c r="B3622" s="224" t="s">
        <v>39</v>
      </c>
      <c r="C3622" s="224" t="s">
        <v>86</v>
      </c>
      <c r="D3622" s="224" t="s">
        <v>9</v>
      </c>
      <c r="E3622" s="224" t="s">
        <v>256</v>
      </c>
      <c r="F3622" s="224" t="s">
        <v>248</v>
      </c>
      <c r="G3622" s="223" t="str">
        <f>VLOOKUP($B3622,'FRS geographical categories'!$A$2:$C$45,2,FALSE)</f>
        <v>Significantly Rural</v>
      </c>
      <c r="H3622" s="223" t="str">
        <f>VLOOKUP($B3622,'FRS geographical categories'!$A$2:$C$45,3,FALSE)</f>
        <v>Non-metropolitan</v>
      </c>
      <c r="I3622" s="224">
        <v>543</v>
      </c>
    </row>
    <row r="3623" spans="1:9" ht="15.5" x14ac:dyDescent="0.35">
      <c r="A3623" s="224" t="s">
        <v>247</v>
      </c>
      <c r="B3623" s="224" t="s">
        <v>39</v>
      </c>
      <c r="C3623" s="224" t="s">
        <v>86</v>
      </c>
      <c r="D3623" s="224" t="s">
        <v>9</v>
      </c>
      <c r="E3623" s="224" t="s">
        <v>256</v>
      </c>
      <c r="F3623" s="224" t="s">
        <v>249</v>
      </c>
      <c r="G3623" s="223" t="str">
        <f>VLOOKUP($B3623,'FRS geographical categories'!$A$2:$C$45,2,FALSE)</f>
        <v>Significantly Rural</v>
      </c>
      <c r="H3623" s="223" t="str">
        <f>VLOOKUP($B3623,'FRS geographical categories'!$A$2:$C$45,3,FALSE)</f>
        <v>Non-metropolitan</v>
      </c>
      <c r="I3623" s="224">
        <v>1559</v>
      </c>
    </row>
    <row r="3624" spans="1:9" ht="15.5" x14ac:dyDescent="0.35">
      <c r="A3624" s="224" t="s">
        <v>247</v>
      </c>
      <c r="B3624" s="224" t="s">
        <v>39</v>
      </c>
      <c r="C3624" s="224" t="s">
        <v>86</v>
      </c>
      <c r="D3624" s="224" t="s">
        <v>9</v>
      </c>
      <c r="E3624" s="224" t="s">
        <v>256</v>
      </c>
      <c r="F3624" s="224" t="s">
        <v>250</v>
      </c>
      <c r="G3624" s="223" t="str">
        <f>VLOOKUP($B3624,'FRS geographical categories'!$A$2:$C$45,2,FALSE)</f>
        <v>Significantly Rural</v>
      </c>
      <c r="H3624" s="223" t="str">
        <f>VLOOKUP($B3624,'FRS geographical categories'!$A$2:$C$45,3,FALSE)</f>
        <v>Non-metropolitan</v>
      </c>
      <c r="I3624" s="224">
        <v>1269</v>
      </c>
    </row>
    <row r="3625" spans="1:9" ht="15.5" x14ac:dyDescent="0.35">
      <c r="A3625" s="224" t="s">
        <v>247</v>
      </c>
      <c r="B3625" s="224" t="s">
        <v>39</v>
      </c>
      <c r="C3625" s="224" t="s">
        <v>86</v>
      </c>
      <c r="D3625" s="224" t="s">
        <v>9</v>
      </c>
      <c r="E3625" s="224" t="s">
        <v>256</v>
      </c>
      <c r="F3625" s="224" t="s">
        <v>111</v>
      </c>
      <c r="G3625" s="223" t="str">
        <f>VLOOKUP($B3625,'FRS geographical categories'!$A$2:$C$45,2,FALSE)</f>
        <v>Significantly Rural</v>
      </c>
      <c r="H3625" s="223" t="str">
        <f>VLOOKUP($B3625,'FRS geographical categories'!$A$2:$C$45,3,FALSE)</f>
        <v>Non-metropolitan</v>
      </c>
      <c r="I3625" s="224">
        <v>4471</v>
      </c>
    </row>
    <row r="3626" spans="1:9" ht="15.5" x14ac:dyDescent="0.35">
      <c r="A3626" s="224" t="s">
        <v>247</v>
      </c>
      <c r="B3626" s="224" t="s">
        <v>39</v>
      </c>
      <c r="C3626" s="224" t="s">
        <v>86</v>
      </c>
      <c r="D3626" s="224" t="s">
        <v>9</v>
      </c>
      <c r="E3626" s="224" t="s">
        <v>256</v>
      </c>
      <c r="F3626" s="224" t="s">
        <v>10</v>
      </c>
      <c r="G3626" s="223" t="str">
        <f>VLOOKUP($B3626,'FRS geographical categories'!$A$2:$C$45,2,FALSE)</f>
        <v>Significantly Rural</v>
      </c>
      <c r="H3626" s="223" t="str">
        <f>VLOOKUP($B3626,'FRS geographical categories'!$A$2:$C$45,3,FALSE)</f>
        <v>Non-metropolitan</v>
      </c>
      <c r="I3626" s="224">
        <v>5602</v>
      </c>
    </row>
    <row r="3627" spans="1:9" ht="15.5" x14ac:dyDescent="0.35">
      <c r="A3627" s="224" t="s">
        <v>247</v>
      </c>
      <c r="B3627" s="224" t="s">
        <v>39</v>
      </c>
      <c r="C3627" s="224" t="s">
        <v>86</v>
      </c>
      <c r="D3627" s="224" t="s">
        <v>55</v>
      </c>
      <c r="E3627" s="224" t="s">
        <v>256</v>
      </c>
      <c r="F3627" s="224" t="s">
        <v>248</v>
      </c>
      <c r="G3627" s="223" t="str">
        <f>VLOOKUP($B3627,'FRS geographical categories'!$A$2:$C$45,2,FALSE)</f>
        <v>Significantly Rural</v>
      </c>
      <c r="H3627" s="223" t="str">
        <f>VLOOKUP($B3627,'FRS geographical categories'!$A$2:$C$45,3,FALSE)</f>
        <v>Non-metropolitan</v>
      </c>
      <c r="I3627" s="224">
        <v>3</v>
      </c>
    </row>
    <row r="3628" spans="1:9" ht="15.5" x14ac:dyDescent="0.35">
      <c r="A3628" s="224" t="s">
        <v>247</v>
      </c>
      <c r="B3628" s="224" t="s">
        <v>39</v>
      </c>
      <c r="C3628" s="224" t="s">
        <v>86</v>
      </c>
      <c r="D3628" s="224" t="s">
        <v>55</v>
      </c>
      <c r="E3628" s="224" t="s">
        <v>256</v>
      </c>
      <c r="F3628" s="224" t="s">
        <v>249</v>
      </c>
      <c r="G3628" s="223" t="str">
        <f>VLOOKUP($B3628,'FRS geographical categories'!$A$2:$C$45,2,FALSE)</f>
        <v>Significantly Rural</v>
      </c>
      <c r="H3628" s="223" t="str">
        <f>VLOOKUP($B3628,'FRS geographical categories'!$A$2:$C$45,3,FALSE)</f>
        <v>Non-metropolitan</v>
      </c>
      <c r="I3628" s="224">
        <v>16</v>
      </c>
    </row>
    <row r="3629" spans="1:9" ht="15.5" x14ac:dyDescent="0.35">
      <c r="A3629" s="224" t="s">
        <v>247</v>
      </c>
      <c r="B3629" s="224" t="s">
        <v>39</v>
      </c>
      <c r="C3629" s="224" t="s">
        <v>86</v>
      </c>
      <c r="D3629" s="224" t="s">
        <v>55</v>
      </c>
      <c r="E3629" s="224" t="s">
        <v>256</v>
      </c>
      <c r="F3629" s="224" t="s">
        <v>250</v>
      </c>
      <c r="G3629" s="223" t="str">
        <f>VLOOKUP($B3629,'FRS geographical categories'!$A$2:$C$45,2,FALSE)</f>
        <v>Significantly Rural</v>
      </c>
      <c r="H3629" s="223" t="str">
        <f>VLOOKUP($B3629,'FRS geographical categories'!$A$2:$C$45,3,FALSE)</f>
        <v>Non-metropolitan</v>
      </c>
      <c r="I3629" s="224">
        <v>23</v>
      </c>
    </row>
    <row r="3630" spans="1:9" ht="15.5" x14ac:dyDescent="0.35">
      <c r="A3630" s="224" t="s">
        <v>247</v>
      </c>
      <c r="B3630" s="224" t="s">
        <v>39</v>
      </c>
      <c r="C3630" s="224" t="s">
        <v>86</v>
      </c>
      <c r="D3630" s="224" t="s">
        <v>55</v>
      </c>
      <c r="E3630" s="224" t="s">
        <v>256</v>
      </c>
      <c r="F3630" s="224" t="s">
        <v>111</v>
      </c>
      <c r="G3630" s="223" t="str">
        <f>VLOOKUP($B3630,'FRS geographical categories'!$A$2:$C$45,2,FALSE)</f>
        <v>Significantly Rural</v>
      </c>
      <c r="H3630" s="223" t="str">
        <f>VLOOKUP($B3630,'FRS geographical categories'!$A$2:$C$45,3,FALSE)</f>
        <v>Non-metropolitan</v>
      </c>
      <c r="I3630" s="224">
        <v>46</v>
      </c>
    </row>
    <row r="3631" spans="1:9" ht="15.5" x14ac:dyDescent="0.35">
      <c r="A3631" s="224" t="s">
        <v>247</v>
      </c>
      <c r="B3631" s="224" t="s">
        <v>39</v>
      </c>
      <c r="C3631" s="224" t="s">
        <v>86</v>
      </c>
      <c r="D3631" s="224" t="s">
        <v>55</v>
      </c>
      <c r="E3631" s="224" t="s">
        <v>256</v>
      </c>
      <c r="F3631" s="224" t="s">
        <v>10</v>
      </c>
      <c r="G3631" s="223" t="str">
        <f>VLOOKUP($B3631,'FRS geographical categories'!$A$2:$C$45,2,FALSE)</f>
        <v>Significantly Rural</v>
      </c>
      <c r="H3631" s="223" t="str">
        <f>VLOOKUP($B3631,'FRS geographical categories'!$A$2:$C$45,3,FALSE)</f>
        <v>Non-metropolitan</v>
      </c>
      <c r="I3631" s="224">
        <v>57</v>
      </c>
    </row>
    <row r="3632" spans="1:9" ht="15.5" x14ac:dyDescent="0.35">
      <c r="A3632" s="224" t="s">
        <v>247</v>
      </c>
      <c r="B3632" s="224" t="s">
        <v>39</v>
      </c>
      <c r="C3632" s="224" t="s">
        <v>89</v>
      </c>
      <c r="D3632" s="224" t="s">
        <v>9</v>
      </c>
      <c r="E3632" s="224" t="s">
        <v>256</v>
      </c>
      <c r="F3632" s="224" t="s">
        <v>248</v>
      </c>
      <c r="G3632" s="223" t="str">
        <f>VLOOKUP($B3632,'FRS geographical categories'!$A$2:$C$45,2,FALSE)</f>
        <v>Significantly Rural</v>
      </c>
      <c r="H3632" s="223" t="str">
        <f>VLOOKUP($B3632,'FRS geographical categories'!$A$2:$C$45,3,FALSE)</f>
        <v>Non-metropolitan</v>
      </c>
      <c r="I3632" s="224">
        <v>0</v>
      </c>
    </row>
    <row r="3633" spans="1:9" ht="15.5" x14ac:dyDescent="0.35">
      <c r="A3633" s="224" t="s">
        <v>247</v>
      </c>
      <c r="B3633" s="224" t="s">
        <v>39</v>
      </c>
      <c r="C3633" s="224" t="s">
        <v>89</v>
      </c>
      <c r="D3633" s="224" t="s">
        <v>9</v>
      </c>
      <c r="E3633" s="224" t="s">
        <v>256</v>
      </c>
      <c r="F3633" s="224" t="s">
        <v>249</v>
      </c>
      <c r="G3633" s="223" t="str">
        <f>VLOOKUP($B3633,'FRS geographical categories'!$A$2:$C$45,2,FALSE)</f>
        <v>Significantly Rural</v>
      </c>
      <c r="H3633" s="223" t="str">
        <f>VLOOKUP($B3633,'FRS geographical categories'!$A$2:$C$45,3,FALSE)</f>
        <v>Non-metropolitan</v>
      </c>
      <c r="I3633" s="224">
        <v>0</v>
      </c>
    </row>
    <row r="3634" spans="1:9" ht="15.5" x14ac:dyDescent="0.35">
      <c r="A3634" s="224" t="s">
        <v>247</v>
      </c>
      <c r="B3634" s="224" t="s">
        <v>39</v>
      </c>
      <c r="C3634" s="224" t="s">
        <v>89</v>
      </c>
      <c r="D3634" s="224" t="s">
        <v>9</v>
      </c>
      <c r="E3634" s="224" t="s">
        <v>256</v>
      </c>
      <c r="F3634" s="224" t="s">
        <v>250</v>
      </c>
      <c r="G3634" s="223" t="str">
        <f>VLOOKUP($B3634,'FRS geographical categories'!$A$2:$C$45,2,FALSE)</f>
        <v>Significantly Rural</v>
      </c>
      <c r="H3634" s="223" t="str">
        <f>VLOOKUP($B3634,'FRS geographical categories'!$A$2:$C$45,3,FALSE)</f>
        <v>Non-metropolitan</v>
      </c>
      <c r="I3634" s="224">
        <v>0</v>
      </c>
    </row>
    <row r="3635" spans="1:9" ht="15.5" x14ac:dyDescent="0.35">
      <c r="A3635" s="224" t="s">
        <v>247</v>
      </c>
      <c r="B3635" s="224" t="s">
        <v>39</v>
      </c>
      <c r="C3635" s="224" t="s">
        <v>89</v>
      </c>
      <c r="D3635" s="224" t="s">
        <v>9</v>
      </c>
      <c r="E3635" s="224" t="s">
        <v>256</v>
      </c>
      <c r="F3635" s="224" t="s">
        <v>10</v>
      </c>
      <c r="G3635" s="223" t="str">
        <f>VLOOKUP($B3635,'FRS geographical categories'!$A$2:$C$45,2,FALSE)</f>
        <v>Significantly Rural</v>
      </c>
      <c r="H3635" s="223" t="str">
        <f>VLOOKUP($B3635,'FRS geographical categories'!$A$2:$C$45,3,FALSE)</f>
        <v>Non-metropolitan</v>
      </c>
      <c r="I3635" s="224">
        <v>0</v>
      </c>
    </row>
    <row r="3636" spans="1:9" ht="15.5" x14ac:dyDescent="0.35">
      <c r="A3636" s="224" t="s">
        <v>247</v>
      </c>
      <c r="B3636" s="224" t="s">
        <v>39</v>
      </c>
      <c r="C3636" s="224" t="s">
        <v>89</v>
      </c>
      <c r="D3636" s="224" t="s">
        <v>55</v>
      </c>
      <c r="E3636" s="224" t="s">
        <v>256</v>
      </c>
      <c r="F3636" s="224" t="s">
        <v>248</v>
      </c>
      <c r="G3636" s="223" t="str">
        <f>VLOOKUP($B3636,'FRS geographical categories'!$A$2:$C$45,2,FALSE)</f>
        <v>Significantly Rural</v>
      </c>
      <c r="H3636" s="223" t="str">
        <f>VLOOKUP($B3636,'FRS geographical categories'!$A$2:$C$45,3,FALSE)</f>
        <v>Non-metropolitan</v>
      </c>
      <c r="I3636" s="224">
        <v>0</v>
      </c>
    </row>
    <row r="3637" spans="1:9" ht="15.5" x14ac:dyDescent="0.35">
      <c r="A3637" s="224" t="s">
        <v>247</v>
      </c>
      <c r="B3637" s="224" t="s">
        <v>39</v>
      </c>
      <c r="C3637" s="224" t="s">
        <v>89</v>
      </c>
      <c r="D3637" s="224" t="s">
        <v>55</v>
      </c>
      <c r="E3637" s="224" t="s">
        <v>256</v>
      </c>
      <c r="F3637" s="224" t="s">
        <v>249</v>
      </c>
      <c r="G3637" s="223" t="str">
        <f>VLOOKUP($B3637,'FRS geographical categories'!$A$2:$C$45,2,FALSE)</f>
        <v>Significantly Rural</v>
      </c>
      <c r="H3637" s="223" t="str">
        <f>VLOOKUP($B3637,'FRS geographical categories'!$A$2:$C$45,3,FALSE)</f>
        <v>Non-metropolitan</v>
      </c>
      <c r="I3637" s="224">
        <v>0</v>
      </c>
    </row>
    <row r="3638" spans="1:9" ht="15.5" x14ac:dyDescent="0.35">
      <c r="A3638" s="224" t="s">
        <v>247</v>
      </c>
      <c r="B3638" s="224" t="s">
        <v>39</v>
      </c>
      <c r="C3638" s="224" t="s">
        <v>89</v>
      </c>
      <c r="D3638" s="224" t="s">
        <v>55</v>
      </c>
      <c r="E3638" s="224" t="s">
        <v>256</v>
      </c>
      <c r="F3638" s="224" t="s">
        <v>250</v>
      </c>
      <c r="G3638" s="223" t="str">
        <f>VLOOKUP($B3638,'FRS geographical categories'!$A$2:$C$45,2,FALSE)</f>
        <v>Significantly Rural</v>
      </c>
      <c r="H3638" s="223" t="str">
        <f>VLOOKUP($B3638,'FRS geographical categories'!$A$2:$C$45,3,FALSE)</f>
        <v>Non-metropolitan</v>
      </c>
      <c r="I3638" s="224">
        <v>0</v>
      </c>
    </row>
    <row r="3639" spans="1:9" ht="15.5" x14ac:dyDescent="0.35">
      <c r="A3639" s="224" t="s">
        <v>247</v>
      </c>
      <c r="B3639" s="224" t="s">
        <v>39</v>
      </c>
      <c r="C3639" s="224" t="s">
        <v>89</v>
      </c>
      <c r="D3639" s="224" t="s">
        <v>55</v>
      </c>
      <c r="E3639" s="224" t="s">
        <v>256</v>
      </c>
      <c r="F3639" s="224" t="s">
        <v>10</v>
      </c>
      <c r="G3639" s="223" t="str">
        <f>VLOOKUP($B3639,'FRS geographical categories'!$A$2:$C$45,2,FALSE)</f>
        <v>Significantly Rural</v>
      </c>
      <c r="H3639" s="223" t="str">
        <f>VLOOKUP($B3639,'FRS geographical categories'!$A$2:$C$45,3,FALSE)</f>
        <v>Non-metropolitan</v>
      </c>
      <c r="I3639" s="224">
        <v>0</v>
      </c>
    </row>
    <row r="3640" spans="1:9" ht="15.5" x14ac:dyDescent="0.35">
      <c r="A3640" s="224" t="s">
        <v>247</v>
      </c>
      <c r="B3640" s="224" t="s">
        <v>40</v>
      </c>
      <c r="C3640" s="224" t="s">
        <v>86</v>
      </c>
      <c r="D3640" s="224" t="s">
        <v>9</v>
      </c>
      <c r="E3640" s="224" t="s">
        <v>256</v>
      </c>
      <c r="F3640" s="224" t="s">
        <v>248</v>
      </c>
      <c r="G3640" s="223" t="str">
        <f>VLOOKUP($B3640,'FRS geographical categories'!$A$2:$C$45,2,FALSE)</f>
        <v>Predominantly Rural</v>
      </c>
      <c r="H3640" s="223" t="str">
        <f>VLOOKUP($B3640,'FRS geographical categories'!$A$2:$C$45,3,FALSE)</f>
        <v>Non-metropolitan</v>
      </c>
      <c r="I3640" s="224">
        <v>500</v>
      </c>
    </row>
    <row r="3641" spans="1:9" ht="15.5" x14ac:dyDescent="0.35">
      <c r="A3641" s="224" t="s">
        <v>247</v>
      </c>
      <c r="B3641" s="224" t="s">
        <v>40</v>
      </c>
      <c r="C3641" s="224" t="s">
        <v>86</v>
      </c>
      <c r="D3641" s="224" t="s">
        <v>9</v>
      </c>
      <c r="E3641" s="224" t="s">
        <v>256</v>
      </c>
      <c r="F3641" s="224" t="s">
        <v>249</v>
      </c>
      <c r="G3641" s="223" t="str">
        <f>VLOOKUP($B3641,'FRS geographical categories'!$A$2:$C$45,2,FALSE)</f>
        <v>Predominantly Rural</v>
      </c>
      <c r="H3641" s="223" t="str">
        <f>VLOOKUP($B3641,'FRS geographical categories'!$A$2:$C$45,3,FALSE)</f>
        <v>Non-metropolitan</v>
      </c>
      <c r="I3641" s="224">
        <v>983</v>
      </c>
    </row>
    <row r="3642" spans="1:9" ht="15.5" x14ac:dyDescent="0.35">
      <c r="A3642" s="224" t="s">
        <v>247</v>
      </c>
      <c r="B3642" s="224" t="s">
        <v>40</v>
      </c>
      <c r="C3642" s="224" t="s">
        <v>86</v>
      </c>
      <c r="D3642" s="224" t="s">
        <v>9</v>
      </c>
      <c r="E3642" s="224" t="s">
        <v>256</v>
      </c>
      <c r="F3642" s="224" t="s">
        <v>250</v>
      </c>
      <c r="G3642" s="223" t="str">
        <f>VLOOKUP($B3642,'FRS geographical categories'!$A$2:$C$45,2,FALSE)</f>
        <v>Predominantly Rural</v>
      </c>
      <c r="H3642" s="223" t="str">
        <f>VLOOKUP($B3642,'FRS geographical categories'!$A$2:$C$45,3,FALSE)</f>
        <v>Non-metropolitan</v>
      </c>
      <c r="I3642" s="224">
        <v>1593</v>
      </c>
    </row>
    <row r="3643" spans="1:9" ht="15.5" x14ac:dyDescent="0.35">
      <c r="A3643" s="224" t="s">
        <v>247</v>
      </c>
      <c r="B3643" s="224" t="s">
        <v>40</v>
      </c>
      <c r="C3643" s="224" t="s">
        <v>86</v>
      </c>
      <c r="D3643" s="224" t="s">
        <v>9</v>
      </c>
      <c r="E3643" s="224" t="s">
        <v>256</v>
      </c>
      <c r="F3643" s="224" t="s">
        <v>111</v>
      </c>
      <c r="G3643" s="223" t="str">
        <f>VLOOKUP($B3643,'FRS geographical categories'!$A$2:$C$45,2,FALSE)</f>
        <v>Predominantly Rural</v>
      </c>
      <c r="H3643" s="223" t="str">
        <f>VLOOKUP($B3643,'FRS geographical categories'!$A$2:$C$45,3,FALSE)</f>
        <v>Non-metropolitan</v>
      </c>
      <c r="I3643" s="224">
        <v>4548</v>
      </c>
    </row>
    <row r="3644" spans="1:9" ht="15.5" x14ac:dyDescent="0.35">
      <c r="A3644" s="224" t="s">
        <v>247</v>
      </c>
      <c r="B3644" s="224" t="s">
        <v>40</v>
      </c>
      <c r="C3644" s="224" t="s">
        <v>86</v>
      </c>
      <c r="D3644" s="224" t="s">
        <v>9</v>
      </c>
      <c r="E3644" s="224" t="s">
        <v>256</v>
      </c>
      <c r="F3644" s="224" t="s">
        <v>10</v>
      </c>
      <c r="G3644" s="223" t="str">
        <f>VLOOKUP($B3644,'FRS geographical categories'!$A$2:$C$45,2,FALSE)</f>
        <v>Predominantly Rural</v>
      </c>
      <c r="H3644" s="223" t="str">
        <f>VLOOKUP($B3644,'FRS geographical categories'!$A$2:$C$45,3,FALSE)</f>
        <v>Non-metropolitan</v>
      </c>
      <c r="I3644" s="224">
        <v>4889</v>
      </c>
    </row>
    <row r="3645" spans="1:9" ht="15.5" x14ac:dyDescent="0.35">
      <c r="A3645" s="224" t="s">
        <v>247</v>
      </c>
      <c r="B3645" s="224" t="s">
        <v>40</v>
      </c>
      <c r="C3645" s="224" t="s">
        <v>86</v>
      </c>
      <c r="D3645" s="224" t="s">
        <v>55</v>
      </c>
      <c r="E3645" s="224" t="s">
        <v>256</v>
      </c>
      <c r="F3645" s="224" t="s">
        <v>248</v>
      </c>
      <c r="G3645" s="223" t="str">
        <f>VLOOKUP($B3645,'FRS geographical categories'!$A$2:$C$45,2,FALSE)</f>
        <v>Predominantly Rural</v>
      </c>
      <c r="H3645" s="223" t="str">
        <f>VLOOKUP($B3645,'FRS geographical categories'!$A$2:$C$45,3,FALSE)</f>
        <v>Non-metropolitan</v>
      </c>
      <c r="I3645" s="224">
        <v>0</v>
      </c>
    </row>
    <row r="3646" spans="1:9" ht="15.5" x14ac:dyDescent="0.35">
      <c r="A3646" s="224" t="s">
        <v>247</v>
      </c>
      <c r="B3646" s="224" t="s">
        <v>40</v>
      </c>
      <c r="C3646" s="224" t="s">
        <v>86</v>
      </c>
      <c r="D3646" s="224" t="s">
        <v>55</v>
      </c>
      <c r="E3646" s="224" t="s">
        <v>256</v>
      </c>
      <c r="F3646" s="224" t="s">
        <v>249</v>
      </c>
      <c r="G3646" s="223" t="str">
        <f>VLOOKUP($B3646,'FRS geographical categories'!$A$2:$C$45,2,FALSE)</f>
        <v>Predominantly Rural</v>
      </c>
      <c r="H3646" s="223" t="str">
        <f>VLOOKUP($B3646,'FRS geographical categories'!$A$2:$C$45,3,FALSE)</f>
        <v>Non-metropolitan</v>
      </c>
      <c r="I3646" s="224">
        <v>0</v>
      </c>
    </row>
    <row r="3647" spans="1:9" ht="15.5" x14ac:dyDescent="0.35">
      <c r="A3647" s="224" t="s">
        <v>247</v>
      </c>
      <c r="B3647" s="224" t="s">
        <v>40</v>
      </c>
      <c r="C3647" s="224" t="s">
        <v>86</v>
      </c>
      <c r="D3647" s="224" t="s">
        <v>55</v>
      </c>
      <c r="E3647" s="224" t="s">
        <v>256</v>
      </c>
      <c r="F3647" s="224" t="s">
        <v>250</v>
      </c>
      <c r="G3647" s="223" t="str">
        <f>VLOOKUP($B3647,'FRS geographical categories'!$A$2:$C$45,2,FALSE)</f>
        <v>Predominantly Rural</v>
      </c>
      <c r="H3647" s="223" t="str">
        <f>VLOOKUP($B3647,'FRS geographical categories'!$A$2:$C$45,3,FALSE)</f>
        <v>Non-metropolitan</v>
      </c>
      <c r="I3647" s="224">
        <v>0</v>
      </c>
    </row>
    <row r="3648" spans="1:9" ht="15.5" x14ac:dyDescent="0.35">
      <c r="A3648" s="224" t="s">
        <v>247</v>
      </c>
      <c r="B3648" s="224" t="s">
        <v>40</v>
      </c>
      <c r="C3648" s="224" t="s">
        <v>86</v>
      </c>
      <c r="D3648" s="224" t="s">
        <v>55</v>
      </c>
      <c r="E3648" s="224" t="s">
        <v>256</v>
      </c>
      <c r="F3648" s="224" t="s">
        <v>111</v>
      </c>
      <c r="G3648" s="223" t="str">
        <f>VLOOKUP($B3648,'FRS geographical categories'!$A$2:$C$45,2,FALSE)</f>
        <v>Predominantly Rural</v>
      </c>
      <c r="H3648" s="223" t="str">
        <f>VLOOKUP($B3648,'FRS geographical categories'!$A$2:$C$45,3,FALSE)</f>
        <v>Non-metropolitan</v>
      </c>
      <c r="I3648" s="224">
        <v>0</v>
      </c>
    </row>
    <row r="3649" spans="1:9" ht="15.5" x14ac:dyDescent="0.35">
      <c r="A3649" s="224" t="s">
        <v>247</v>
      </c>
      <c r="B3649" s="224" t="s">
        <v>40</v>
      </c>
      <c r="C3649" s="224" t="s">
        <v>86</v>
      </c>
      <c r="D3649" s="224" t="s">
        <v>55</v>
      </c>
      <c r="E3649" s="224" t="s">
        <v>256</v>
      </c>
      <c r="F3649" s="224" t="s">
        <v>10</v>
      </c>
      <c r="G3649" s="223" t="str">
        <f>VLOOKUP($B3649,'FRS geographical categories'!$A$2:$C$45,2,FALSE)</f>
        <v>Predominantly Rural</v>
      </c>
      <c r="H3649" s="223" t="str">
        <f>VLOOKUP($B3649,'FRS geographical categories'!$A$2:$C$45,3,FALSE)</f>
        <v>Non-metropolitan</v>
      </c>
      <c r="I3649" s="224">
        <v>0</v>
      </c>
    </row>
    <row r="3650" spans="1:9" ht="15.5" x14ac:dyDescent="0.35">
      <c r="A3650" s="224" t="s">
        <v>247</v>
      </c>
      <c r="B3650" s="224" t="s">
        <v>40</v>
      </c>
      <c r="C3650" s="224" t="s">
        <v>89</v>
      </c>
      <c r="D3650" s="224" t="s">
        <v>9</v>
      </c>
      <c r="E3650" s="224" t="s">
        <v>256</v>
      </c>
      <c r="F3650" s="224" t="s">
        <v>248</v>
      </c>
      <c r="G3650" s="223" t="str">
        <f>VLOOKUP($B3650,'FRS geographical categories'!$A$2:$C$45,2,FALSE)</f>
        <v>Predominantly Rural</v>
      </c>
      <c r="H3650" s="223" t="str">
        <f>VLOOKUP($B3650,'FRS geographical categories'!$A$2:$C$45,3,FALSE)</f>
        <v>Non-metropolitan</v>
      </c>
      <c r="I3650" s="224">
        <v>0</v>
      </c>
    </row>
    <row r="3651" spans="1:9" ht="15.5" x14ac:dyDescent="0.35">
      <c r="A3651" s="224" t="s">
        <v>247</v>
      </c>
      <c r="B3651" s="224" t="s">
        <v>40</v>
      </c>
      <c r="C3651" s="224" t="s">
        <v>89</v>
      </c>
      <c r="D3651" s="224" t="s">
        <v>9</v>
      </c>
      <c r="E3651" s="224" t="s">
        <v>256</v>
      </c>
      <c r="F3651" s="224" t="s">
        <v>249</v>
      </c>
      <c r="G3651" s="223" t="str">
        <f>VLOOKUP($B3651,'FRS geographical categories'!$A$2:$C$45,2,FALSE)</f>
        <v>Predominantly Rural</v>
      </c>
      <c r="H3651" s="223" t="str">
        <f>VLOOKUP($B3651,'FRS geographical categories'!$A$2:$C$45,3,FALSE)</f>
        <v>Non-metropolitan</v>
      </c>
      <c r="I3651" s="224">
        <v>0</v>
      </c>
    </row>
    <row r="3652" spans="1:9" ht="15.5" x14ac:dyDescent="0.35">
      <c r="A3652" s="224" t="s">
        <v>247</v>
      </c>
      <c r="B3652" s="224" t="s">
        <v>40</v>
      </c>
      <c r="C3652" s="224" t="s">
        <v>89</v>
      </c>
      <c r="D3652" s="224" t="s">
        <v>9</v>
      </c>
      <c r="E3652" s="224" t="s">
        <v>256</v>
      </c>
      <c r="F3652" s="224" t="s">
        <v>250</v>
      </c>
      <c r="G3652" s="223" t="str">
        <f>VLOOKUP($B3652,'FRS geographical categories'!$A$2:$C$45,2,FALSE)</f>
        <v>Predominantly Rural</v>
      </c>
      <c r="H3652" s="223" t="str">
        <f>VLOOKUP($B3652,'FRS geographical categories'!$A$2:$C$45,3,FALSE)</f>
        <v>Non-metropolitan</v>
      </c>
      <c r="I3652" s="224">
        <v>0</v>
      </c>
    </row>
    <row r="3653" spans="1:9" ht="15.5" x14ac:dyDescent="0.35">
      <c r="A3653" s="224" t="s">
        <v>247</v>
      </c>
      <c r="B3653" s="224" t="s">
        <v>40</v>
      </c>
      <c r="C3653" s="224" t="s">
        <v>89</v>
      </c>
      <c r="D3653" s="224" t="s">
        <v>9</v>
      </c>
      <c r="E3653" s="224" t="s">
        <v>256</v>
      </c>
      <c r="F3653" s="224" t="s">
        <v>10</v>
      </c>
      <c r="G3653" s="223" t="str">
        <f>VLOOKUP($B3653,'FRS geographical categories'!$A$2:$C$45,2,FALSE)</f>
        <v>Predominantly Rural</v>
      </c>
      <c r="H3653" s="223" t="str">
        <f>VLOOKUP($B3653,'FRS geographical categories'!$A$2:$C$45,3,FALSE)</f>
        <v>Non-metropolitan</v>
      </c>
      <c r="I3653" s="224">
        <v>0</v>
      </c>
    </row>
    <row r="3654" spans="1:9" ht="15.5" x14ac:dyDescent="0.35">
      <c r="A3654" s="224" t="s">
        <v>247</v>
      </c>
      <c r="B3654" s="224" t="s">
        <v>40</v>
      </c>
      <c r="C3654" s="224" t="s">
        <v>89</v>
      </c>
      <c r="D3654" s="224" t="s">
        <v>55</v>
      </c>
      <c r="E3654" s="224" t="s">
        <v>256</v>
      </c>
      <c r="F3654" s="224" t="s">
        <v>248</v>
      </c>
      <c r="G3654" s="223" t="str">
        <f>VLOOKUP($B3654,'FRS geographical categories'!$A$2:$C$45,2,FALSE)</f>
        <v>Predominantly Rural</v>
      </c>
      <c r="H3654" s="223" t="str">
        <f>VLOOKUP($B3654,'FRS geographical categories'!$A$2:$C$45,3,FALSE)</f>
        <v>Non-metropolitan</v>
      </c>
      <c r="I3654" s="224">
        <v>0</v>
      </c>
    </row>
    <row r="3655" spans="1:9" ht="15.5" x14ac:dyDescent="0.35">
      <c r="A3655" s="224" t="s">
        <v>247</v>
      </c>
      <c r="B3655" s="224" t="s">
        <v>40</v>
      </c>
      <c r="C3655" s="224" t="s">
        <v>89</v>
      </c>
      <c r="D3655" s="224" t="s">
        <v>55</v>
      </c>
      <c r="E3655" s="224" t="s">
        <v>256</v>
      </c>
      <c r="F3655" s="224" t="s">
        <v>249</v>
      </c>
      <c r="G3655" s="223" t="str">
        <f>VLOOKUP($B3655,'FRS geographical categories'!$A$2:$C$45,2,FALSE)</f>
        <v>Predominantly Rural</v>
      </c>
      <c r="H3655" s="223" t="str">
        <f>VLOOKUP($B3655,'FRS geographical categories'!$A$2:$C$45,3,FALSE)</f>
        <v>Non-metropolitan</v>
      </c>
      <c r="I3655" s="224">
        <v>0</v>
      </c>
    </row>
    <row r="3656" spans="1:9" ht="15.5" x14ac:dyDescent="0.35">
      <c r="A3656" s="224" t="s">
        <v>247</v>
      </c>
      <c r="B3656" s="224" t="s">
        <v>40</v>
      </c>
      <c r="C3656" s="224" t="s">
        <v>89</v>
      </c>
      <c r="D3656" s="224" t="s">
        <v>55</v>
      </c>
      <c r="E3656" s="224" t="s">
        <v>256</v>
      </c>
      <c r="F3656" s="224" t="s">
        <v>250</v>
      </c>
      <c r="G3656" s="223" t="str">
        <f>VLOOKUP($B3656,'FRS geographical categories'!$A$2:$C$45,2,FALSE)</f>
        <v>Predominantly Rural</v>
      </c>
      <c r="H3656" s="223" t="str">
        <f>VLOOKUP($B3656,'FRS geographical categories'!$A$2:$C$45,3,FALSE)</f>
        <v>Non-metropolitan</v>
      </c>
      <c r="I3656" s="224">
        <v>0</v>
      </c>
    </row>
    <row r="3657" spans="1:9" ht="15.5" x14ac:dyDescent="0.35">
      <c r="A3657" s="224" t="s">
        <v>247</v>
      </c>
      <c r="B3657" s="224" t="s">
        <v>40</v>
      </c>
      <c r="C3657" s="224" t="s">
        <v>89</v>
      </c>
      <c r="D3657" s="224" t="s">
        <v>55</v>
      </c>
      <c r="E3657" s="224" t="s">
        <v>256</v>
      </c>
      <c r="F3657" s="224" t="s">
        <v>10</v>
      </c>
      <c r="G3657" s="223" t="str">
        <f>VLOOKUP($B3657,'FRS geographical categories'!$A$2:$C$45,2,FALSE)</f>
        <v>Predominantly Rural</v>
      </c>
      <c r="H3657" s="223" t="str">
        <f>VLOOKUP($B3657,'FRS geographical categories'!$A$2:$C$45,3,FALSE)</f>
        <v>Non-metropolitan</v>
      </c>
      <c r="I3657" s="224">
        <v>0</v>
      </c>
    </row>
    <row r="3658" spans="1:9" ht="15.5" x14ac:dyDescent="0.35">
      <c r="A3658" s="224" t="s">
        <v>247</v>
      </c>
      <c r="B3658" s="224" t="s">
        <v>41</v>
      </c>
      <c r="C3658" s="224" t="s">
        <v>86</v>
      </c>
      <c r="D3658" s="224" t="s">
        <v>9</v>
      </c>
      <c r="E3658" s="224" t="s">
        <v>256</v>
      </c>
      <c r="F3658" s="224" t="s">
        <v>248</v>
      </c>
      <c r="G3658" s="223" t="str">
        <f>VLOOKUP($B3658,'FRS geographical categories'!$A$2:$C$45,2,FALSE)</f>
        <v>Predominantly Urban</v>
      </c>
      <c r="H3658" s="223" t="str">
        <f>VLOOKUP($B3658,'FRS geographical categories'!$A$2:$C$45,3,FALSE)</f>
        <v>Non-metropolitan</v>
      </c>
      <c r="I3658" s="224">
        <v>1534</v>
      </c>
    </row>
    <row r="3659" spans="1:9" ht="15.5" x14ac:dyDescent="0.35">
      <c r="A3659" s="224" t="s">
        <v>247</v>
      </c>
      <c r="B3659" s="224" t="s">
        <v>41</v>
      </c>
      <c r="C3659" s="224" t="s">
        <v>86</v>
      </c>
      <c r="D3659" s="224" t="s">
        <v>9</v>
      </c>
      <c r="E3659" s="224" t="s">
        <v>256</v>
      </c>
      <c r="F3659" s="224" t="s">
        <v>249</v>
      </c>
      <c r="G3659" s="223" t="str">
        <f>VLOOKUP($B3659,'FRS geographical categories'!$A$2:$C$45,2,FALSE)</f>
        <v>Predominantly Urban</v>
      </c>
      <c r="H3659" s="223" t="str">
        <f>VLOOKUP($B3659,'FRS geographical categories'!$A$2:$C$45,3,FALSE)</f>
        <v>Non-metropolitan</v>
      </c>
      <c r="I3659" s="224">
        <v>4990</v>
      </c>
    </row>
    <row r="3660" spans="1:9" ht="15.5" x14ac:dyDescent="0.35">
      <c r="A3660" s="224" t="s">
        <v>247</v>
      </c>
      <c r="B3660" s="224" t="s">
        <v>41</v>
      </c>
      <c r="C3660" s="224" t="s">
        <v>86</v>
      </c>
      <c r="D3660" s="224" t="s">
        <v>9</v>
      </c>
      <c r="E3660" s="224" t="s">
        <v>256</v>
      </c>
      <c r="F3660" s="224" t="s">
        <v>250</v>
      </c>
      <c r="G3660" s="223" t="str">
        <f>VLOOKUP($B3660,'FRS geographical categories'!$A$2:$C$45,2,FALSE)</f>
        <v>Predominantly Urban</v>
      </c>
      <c r="H3660" s="223" t="str">
        <f>VLOOKUP($B3660,'FRS geographical categories'!$A$2:$C$45,3,FALSE)</f>
        <v>Non-metropolitan</v>
      </c>
      <c r="I3660" s="224">
        <v>3380</v>
      </c>
    </row>
    <row r="3661" spans="1:9" ht="15.5" x14ac:dyDescent="0.35">
      <c r="A3661" s="224" t="s">
        <v>247</v>
      </c>
      <c r="B3661" s="224" t="s">
        <v>41</v>
      </c>
      <c r="C3661" s="224" t="s">
        <v>86</v>
      </c>
      <c r="D3661" s="224" t="s">
        <v>9</v>
      </c>
      <c r="E3661" s="224" t="s">
        <v>256</v>
      </c>
      <c r="F3661" s="224" t="s">
        <v>111</v>
      </c>
      <c r="G3661" s="223" t="str">
        <f>VLOOKUP($B3661,'FRS geographical categories'!$A$2:$C$45,2,FALSE)</f>
        <v>Predominantly Urban</v>
      </c>
      <c r="H3661" s="223" t="str">
        <f>VLOOKUP($B3661,'FRS geographical categories'!$A$2:$C$45,3,FALSE)</f>
        <v>Non-metropolitan</v>
      </c>
      <c r="I3661" s="224">
        <v>15665</v>
      </c>
    </row>
    <row r="3662" spans="1:9" ht="15.5" x14ac:dyDescent="0.35">
      <c r="A3662" s="224" t="s">
        <v>247</v>
      </c>
      <c r="B3662" s="224" t="s">
        <v>41</v>
      </c>
      <c r="C3662" s="224" t="s">
        <v>86</v>
      </c>
      <c r="D3662" s="224" t="s">
        <v>9</v>
      </c>
      <c r="E3662" s="224" t="s">
        <v>256</v>
      </c>
      <c r="F3662" s="224" t="s">
        <v>10</v>
      </c>
      <c r="G3662" s="223" t="str">
        <f>VLOOKUP($B3662,'FRS geographical categories'!$A$2:$C$45,2,FALSE)</f>
        <v>Predominantly Urban</v>
      </c>
      <c r="H3662" s="223" t="str">
        <f>VLOOKUP($B3662,'FRS geographical categories'!$A$2:$C$45,3,FALSE)</f>
        <v>Non-metropolitan</v>
      </c>
      <c r="I3662" s="224">
        <v>15709</v>
      </c>
    </row>
    <row r="3663" spans="1:9" ht="15.5" x14ac:dyDescent="0.35">
      <c r="A3663" s="224" t="s">
        <v>247</v>
      </c>
      <c r="B3663" s="224" t="s">
        <v>41</v>
      </c>
      <c r="C3663" s="224" t="s">
        <v>86</v>
      </c>
      <c r="D3663" s="224" t="s">
        <v>55</v>
      </c>
      <c r="E3663" s="224" t="s">
        <v>256</v>
      </c>
      <c r="F3663" s="224" t="s">
        <v>248</v>
      </c>
      <c r="G3663" s="223" t="str">
        <f>VLOOKUP($B3663,'FRS geographical categories'!$A$2:$C$45,2,FALSE)</f>
        <v>Predominantly Urban</v>
      </c>
      <c r="H3663" s="223" t="str">
        <f>VLOOKUP($B3663,'FRS geographical categories'!$A$2:$C$45,3,FALSE)</f>
        <v>Non-metropolitan</v>
      </c>
      <c r="I3663" s="224">
        <v>12</v>
      </c>
    </row>
    <row r="3664" spans="1:9" ht="15.5" x14ac:dyDescent="0.35">
      <c r="A3664" s="224" t="s">
        <v>247</v>
      </c>
      <c r="B3664" s="224" t="s">
        <v>41</v>
      </c>
      <c r="C3664" s="224" t="s">
        <v>86</v>
      </c>
      <c r="D3664" s="224" t="s">
        <v>55</v>
      </c>
      <c r="E3664" s="224" t="s">
        <v>256</v>
      </c>
      <c r="F3664" s="224" t="s">
        <v>249</v>
      </c>
      <c r="G3664" s="223" t="str">
        <f>VLOOKUP($B3664,'FRS geographical categories'!$A$2:$C$45,2,FALSE)</f>
        <v>Predominantly Urban</v>
      </c>
      <c r="H3664" s="223" t="str">
        <f>VLOOKUP($B3664,'FRS geographical categories'!$A$2:$C$45,3,FALSE)</f>
        <v>Non-metropolitan</v>
      </c>
      <c r="I3664" s="224">
        <v>25</v>
      </c>
    </row>
    <row r="3665" spans="1:9" ht="15.5" x14ac:dyDescent="0.35">
      <c r="A3665" s="224" t="s">
        <v>247</v>
      </c>
      <c r="B3665" s="224" t="s">
        <v>41</v>
      </c>
      <c r="C3665" s="224" t="s">
        <v>86</v>
      </c>
      <c r="D3665" s="224" t="s">
        <v>55</v>
      </c>
      <c r="E3665" s="224" t="s">
        <v>256</v>
      </c>
      <c r="F3665" s="224" t="s">
        <v>250</v>
      </c>
      <c r="G3665" s="223" t="str">
        <f>VLOOKUP($B3665,'FRS geographical categories'!$A$2:$C$45,2,FALSE)</f>
        <v>Predominantly Urban</v>
      </c>
      <c r="H3665" s="223" t="str">
        <f>VLOOKUP($B3665,'FRS geographical categories'!$A$2:$C$45,3,FALSE)</f>
        <v>Non-metropolitan</v>
      </c>
      <c r="I3665" s="224">
        <v>9</v>
      </c>
    </row>
    <row r="3666" spans="1:9" ht="15.5" x14ac:dyDescent="0.35">
      <c r="A3666" s="224" t="s">
        <v>247</v>
      </c>
      <c r="B3666" s="224" t="s">
        <v>41</v>
      </c>
      <c r="C3666" s="224" t="s">
        <v>86</v>
      </c>
      <c r="D3666" s="224" t="s">
        <v>55</v>
      </c>
      <c r="E3666" s="224" t="s">
        <v>256</v>
      </c>
      <c r="F3666" s="224" t="s">
        <v>111</v>
      </c>
      <c r="G3666" s="223" t="str">
        <f>VLOOKUP($B3666,'FRS geographical categories'!$A$2:$C$45,2,FALSE)</f>
        <v>Predominantly Urban</v>
      </c>
      <c r="H3666" s="223" t="str">
        <f>VLOOKUP($B3666,'FRS geographical categories'!$A$2:$C$45,3,FALSE)</f>
        <v>Non-metropolitan</v>
      </c>
      <c r="I3666" s="224">
        <v>56</v>
      </c>
    </row>
    <row r="3667" spans="1:9" ht="15.5" x14ac:dyDescent="0.35">
      <c r="A3667" s="224" t="s">
        <v>247</v>
      </c>
      <c r="B3667" s="224" t="s">
        <v>41</v>
      </c>
      <c r="C3667" s="224" t="s">
        <v>86</v>
      </c>
      <c r="D3667" s="224" t="s">
        <v>55</v>
      </c>
      <c r="E3667" s="224" t="s">
        <v>256</v>
      </c>
      <c r="F3667" s="224" t="s">
        <v>10</v>
      </c>
      <c r="G3667" s="223" t="str">
        <f>VLOOKUP($B3667,'FRS geographical categories'!$A$2:$C$45,2,FALSE)</f>
        <v>Predominantly Urban</v>
      </c>
      <c r="H3667" s="223" t="str">
        <f>VLOOKUP($B3667,'FRS geographical categories'!$A$2:$C$45,3,FALSE)</f>
        <v>Non-metropolitan</v>
      </c>
      <c r="I3667" s="224">
        <v>57</v>
      </c>
    </row>
    <row r="3668" spans="1:9" ht="15.5" x14ac:dyDescent="0.35">
      <c r="A3668" s="224" t="s">
        <v>247</v>
      </c>
      <c r="B3668" s="224" t="s">
        <v>41</v>
      </c>
      <c r="C3668" s="224" t="s">
        <v>89</v>
      </c>
      <c r="D3668" s="224" t="s">
        <v>9</v>
      </c>
      <c r="E3668" s="224" t="s">
        <v>256</v>
      </c>
      <c r="F3668" s="224" t="s">
        <v>248</v>
      </c>
      <c r="G3668" s="223" t="str">
        <f>VLOOKUP($B3668,'FRS geographical categories'!$A$2:$C$45,2,FALSE)</f>
        <v>Predominantly Urban</v>
      </c>
      <c r="H3668" s="223" t="str">
        <f>VLOOKUP($B3668,'FRS geographical categories'!$A$2:$C$45,3,FALSE)</f>
        <v>Non-metropolitan</v>
      </c>
      <c r="I3668" s="224">
        <v>0</v>
      </c>
    </row>
    <row r="3669" spans="1:9" ht="15.5" x14ac:dyDescent="0.35">
      <c r="A3669" s="224" t="s">
        <v>247</v>
      </c>
      <c r="B3669" s="224" t="s">
        <v>41</v>
      </c>
      <c r="C3669" s="224" t="s">
        <v>89</v>
      </c>
      <c r="D3669" s="224" t="s">
        <v>9</v>
      </c>
      <c r="E3669" s="224" t="s">
        <v>256</v>
      </c>
      <c r="F3669" s="224" t="s">
        <v>249</v>
      </c>
      <c r="G3669" s="223" t="str">
        <f>VLOOKUP($B3669,'FRS geographical categories'!$A$2:$C$45,2,FALSE)</f>
        <v>Predominantly Urban</v>
      </c>
      <c r="H3669" s="223" t="str">
        <f>VLOOKUP($B3669,'FRS geographical categories'!$A$2:$C$45,3,FALSE)</f>
        <v>Non-metropolitan</v>
      </c>
      <c r="I3669" s="224">
        <v>0</v>
      </c>
    </row>
    <row r="3670" spans="1:9" ht="15.5" x14ac:dyDescent="0.35">
      <c r="A3670" s="224" t="s">
        <v>247</v>
      </c>
      <c r="B3670" s="224" t="s">
        <v>41</v>
      </c>
      <c r="C3670" s="224" t="s">
        <v>89</v>
      </c>
      <c r="D3670" s="224" t="s">
        <v>9</v>
      </c>
      <c r="E3670" s="224" t="s">
        <v>256</v>
      </c>
      <c r="F3670" s="224" t="s">
        <v>250</v>
      </c>
      <c r="G3670" s="223" t="str">
        <f>VLOOKUP($B3670,'FRS geographical categories'!$A$2:$C$45,2,FALSE)</f>
        <v>Predominantly Urban</v>
      </c>
      <c r="H3670" s="223" t="str">
        <f>VLOOKUP($B3670,'FRS geographical categories'!$A$2:$C$45,3,FALSE)</f>
        <v>Non-metropolitan</v>
      </c>
      <c r="I3670" s="224">
        <v>0</v>
      </c>
    </row>
    <row r="3671" spans="1:9" ht="15.5" x14ac:dyDescent="0.35">
      <c r="A3671" s="224" t="s">
        <v>247</v>
      </c>
      <c r="B3671" s="224" t="s">
        <v>41</v>
      </c>
      <c r="C3671" s="224" t="s">
        <v>89</v>
      </c>
      <c r="D3671" s="224" t="s">
        <v>9</v>
      </c>
      <c r="E3671" s="224" t="s">
        <v>256</v>
      </c>
      <c r="F3671" s="224" t="s">
        <v>10</v>
      </c>
      <c r="G3671" s="223" t="str">
        <f>VLOOKUP($B3671,'FRS geographical categories'!$A$2:$C$45,2,FALSE)</f>
        <v>Predominantly Urban</v>
      </c>
      <c r="H3671" s="223" t="str">
        <f>VLOOKUP($B3671,'FRS geographical categories'!$A$2:$C$45,3,FALSE)</f>
        <v>Non-metropolitan</v>
      </c>
      <c r="I3671" s="224">
        <v>0</v>
      </c>
    </row>
    <row r="3672" spans="1:9" ht="15.5" x14ac:dyDescent="0.35">
      <c r="A3672" s="224" t="s">
        <v>247</v>
      </c>
      <c r="B3672" s="224" t="s">
        <v>41</v>
      </c>
      <c r="C3672" s="224" t="s">
        <v>89</v>
      </c>
      <c r="D3672" s="224" t="s">
        <v>55</v>
      </c>
      <c r="E3672" s="224" t="s">
        <v>256</v>
      </c>
      <c r="F3672" s="224" t="s">
        <v>248</v>
      </c>
      <c r="G3672" s="223" t="str">
        <f>VLOOKUP($B3672,'FRS geographical categories'!$A$2:$C$45,2,FALSE)</f>
        <v>Predominantly Urban</v>
      </c>
      <c r="H3672" s="223" t="str">
        <f>VLOOKUP($B3672,'FRS geographical categories'!$A$2:$C$45,3,FALSE)</f>
        <v>Non-metropolitan</v>
      </c>
      <c r="I3672" s="224">
        <v>0</v>
      </c>
    </row>
    <row r="3673" spans="1:9" ht="15.5" x14ac:dyDescent="0.35">
      <c r="A3673" s="224" t="s">
        <v>247</v>
      </c>
      <c r="B3673" s="224" t="s">
        <v>41</v>
      </c>
      <c r="C3673" s="224" t="s">
        <v>89</v>
      </c>
      <c r="D3673" s="224" t="s">
        <v>55</v>
      </c>
      <c r="E3673" s="224" t="s">
        <v>256</v>
      </c>
      <c r="F3673" s="224" t="s">
        <v>249</v>
      </c>
      <c r="G3673" s="223" t="str">
        <f>VLOOKUP($B3673,'FRS geographical categories'!$A$2:$C$45,2,FALSE)</f>
        <v>Predominantly Urban</v>
      </c>
      <c r="H3673" s="223" t="str">
        <f>VLOOKUP($B3673,'FRS geographical categories'!$A$2:$C$45,3,FALSE)</f>
        <v>Non-metropolitan</v>
      </c>
      <c r="I3673" s="224">
        <v>0</v>
      </c>
    </row>
    <row r="3674" spans="1:9" ht="15.5" x14ac:dyDescent="0.35">
      <c r="A3674" s="224" t="s">
        <v>247</v>
      </c>
      <c r="B3674" s="224" t="s">
        <v>41</v>
      </c>
      <c r="C3674" s="224" t="s">
        <v>89</v>
      </c>
      <c r="D3674" s="224" t="s">
        <v>55</v>
      </c>
      <c r="E3674" s="224" t="s">
        <v>256</v>
      </c>
      <c r="F3674" s="224" t="s">
        <v>250</v>
      </c>
      <c r="G3674" s="223" t="str">
        <f>VLOOKUP($B3674,'FRS geographical categories'!$A$2:$C$45,2,FALSE)</f>
        <v>Predominantly Urban</v>
      </c>
      <c r="H3674" s="223" t="str">
        <f>VLOOKUP($B3674,'FRS geographical categories'!$A$2:$C$45,3,FALSE)</f>
        <v>Non-metropolitan</v>
      </c>
      <c r="I3674" s="224">
        <v>0</v>
      </c>
    </row>
    <row r="3675" spans="1:9" ht="15.5" x14ac:dyDescent="0.35">
      <c r="A3675" s="224" t="s">
        <v>247</v>
      </c>
      <c r="B3675" s="224" t="s">
        <v>41</v>
      </c>
      <c r="C3675" s="224" t="s">
        <v>89</v>
      </c>
      <c r="D3675" s="224" t="s">
        <v>55</v>
      </c>
      <c r="E3675" s="224" t="s">
        <v>256</v>
      </c>
      <c r="F3675" s="224" t="s">
        <v>10</v>
      </c>
      <c r="G3675" s="223" t="str">
        <f>VLOOKUP($B3675,'FRS geographical categories'!$A$2:$C$45,2,FALSE)</f>
        <v>Predominantly Urban</v>
      </c>
      <c r="H3675" s="223" t="str">
        <f>VLOOKUP($B3675,'FRS geographical categories'!$A$2:$C$45,3,FALSE)</f>
        <v>Non-metropolitan</v>
      </c>
      <c r="I3675" s="224">
        <v>0</v>
      </c>
    </row>
    <row r="3676" spans="1:9" ht="15.5" x14ac:dyDescent="0.35">
      <c r="A3676" s="224" t="s">
        <v>247</v>
      </c>
      <c r="B3676" s="224" t="s">
        <v>42</v>
      </c>
      <c r="C3676" s="224" t="s">
        <v>86</v>
      </c>
      <c r="D3676" s="224" t="s">
        <v>9</v>
      </c>
      <c r="E3676" s="224" t="s">
        <v>256</v>
      </c>
      <c r="F3676" s="224" t="s">
        <v>248</v>
      </c>
      <c r="G3676" s="223" t="str">
        <f>VLOOKUP($B3676,'FRS geographical categories'!$A$2:$C$45,2,FALSE)</f>
        <v>Predominantly Rural</v>
      </c>
      <c r="H3676" s="223" t="str">
        <f>VLOOKUP($B3676,'FRS geographical categories'!$A$2:$C$45,3,FALSE)</f>
        <v>Non-metropolitan</v>
      </c>
      <c r="I3676" s="224">
        <v>673</v>
      </c>
    </row>
    <row r="3677" spans="1:9" ht="15.5" x14ac:dyDescent="0.35">
      <c r="A3677" s="224" t="s">
        <v>247</v>
      </c>
      <c r="B3677" s="224" t="s">
        <v>42</v>
      </c>
      <c r="C3677" s="224" t="s">
        <v>86</v>
      </c>
      <c r="D3677" s="224" t="s">
        <v>9</v>
      </c>
      <c r="E3677" s="224" t="s">
        <v>256</v>
      </c>
      <c r="F3677" s="224" t="s">
        <v>249</v>
      </c>
      <c r="G3677" s="223" t="str">
        <f>VLOOKUP($B3677,'FRS geographical categories'!$A$2:$C$45,2,FALSE)</f>
        <v>Predominantly Rural</v>
      </c>
      <c r="H3677" s="223" t="str">
        <f>VLOOKUP($B3677,'FRS geographical categories'!$A$2:$C$45,3,FALSE)</f>
        <v>Non-metropolitan</v>
      </c>
      <c r="I3677" s="224">
        <v>636</v>
      </c>
    </row>
    <row r="3678" spans="1:9" ht="15.5" x14ac:dyDescent="0.35">
      <c r="A3678" s="224" t="s">
        <v>247</v>
      </c>
      <c r="B3678" s="224" t="s">
        <v>42</v>
      </c>
      <c r="C3678" s="224" t="s">
        <v>86</v>
      </c>
      <c r="D3678" s="224" t="s">
        <v>9</v>
      </c>
      <c r="E3678" s="224" t="s">
        <v>256</v>
      </c>
      <c r="F3678" s="224" t="s">
        <v>250</v>
      </c>
      <c r="G3678" s="223" t="str">
        <f>VLOOKUP($B3678,'FRS geographical categories'!$A$2:$C$45,2,FALSE)</f>
        <v>Predominantly Rural</v>
      </c>
      <c r="H3678" s="223" t="str">
        <f>VLOOKUP($B3678,'FRS geographical categories'!$A$2:$C$45,3,FALSE)</f>
        <v>Non-metropolitan</v>
      </c>
      <c r="I3678" s="224">
        <v>896</v>
      </c>
    </row>
    <row r="3679" spans="1:9" ht="15.5" x14ac:dyDescent="0.35">
      <c r="A3679" s="224" t="s">
        <v>247</v>
      </c>
      <c r="B3679" s="224" t="s">
        <v>42</v>
      </c>
      <c r="C3679" s="224" t="s">
        <v>86</v>
      </c>
      <c r="D3679" s="224" t="s">
        <v>9</v>
      </c>
      <c r="E3679" s="224" t="s">
        <v>256</v>
      </c>
      <c r="F3679" s="224" t="s">
        <v>111</v>
      </c>
      <c r="G3679" s="223" t="str">
        <f>VLOOKUP($B3679,'FRS geographical categories'!$A$2:$C$45,2,FALSE)</f>
        <v>Predominantly Rural</v>
      </c>
      <c r="H3679" s="223" t="str">
        <f>VLOOKUP($B3679,'FRS geographical categories'!$A$2:$C$45,3,FALSE)</f>
        <v>Non-metropolitan</v>
      </c>
      <c r="I3679" s="224">
        <v>2468</v>
      </c>
    </row>
    <row r="3680" spans="1:9" ht="15.5" x14ac:dyDescent="0.35">
      <c r="A3680" s="224" t="s">
        <v>247</v>
      </c>
      <c r="B3680" s="224" t="s">
        <v>42</v>
      </c>
      <c r="C3680" s="224" t="s">
        <v>86</v>
      </c>
      <c r="D3680" s="224" t="s">
        <v>9</v>
      </c>
      <c r="E3680" s="224" t="s">
        <v>256</v>
      </c>
      <c r="F3680" s="224" t="s">
        <v>10</v>
      </c>
      <c r="G3680" s="223" t="str">
        <f>VLOOKUP($B3680,'FRS geographical categories'!$A$2:$C$45,2,FALSE)</f>
        <v>Predominantly Rural</v>
      </c>
      <c r="H3680" s="223" t="str">
        <f>VLOOKUP($B3680,'FRS geographical categories'!$A$2:$C$45,3,FALSE)</f>
        <v>Non-metropolitan</v>
      </c>
      <c r="I3680" s="224">
        <v>2499</v>
      </c>
    </row>
    <row r="3681" spans="1:9" ht="15.5" x14ac:dyDescent="0.35">
      <c r="A3681" s="224" t="s">
        <v>247</v>
      </c>
      <c r="B3681" s="224" t="s">
        <v>42</v>
      </c>
      <c r="C3681" s="224" t="s">
        <v>86</v>
      </c>
      <c r="D3681" s="224" t="s">
        <v>55</v>
      </c>
      <c r="E3681" s="224" t="s">
        <v>256</v>
      </c>
      <c r="F3681" s="224" t="s">
        <v>248</v>
      </c>
      <c r="G3681" s="223" t="str">
        <f>VLOOKUP($B3681,'FRS geographical categories'!$A$2:$C$45,2,FALSE)</f>
        <v>Predominantly Rural</v>
      </c>
      <c r="H3681" s="223" t="str">
        <f>VLOOKUP($B3681,'FRS geographical categories'!$A$2:$C$45,3,FALSE)</f>
        <v>Non-metropolitan</v>
      </c>
      <c r="I3681" s="224">
        <v>30</v>
      </c>
    </row>
    <row r="3682" spans="1:9" ht="15.5" x14ac:dyDescent="0.35">
      <c r="A3682" s="224" t="s">
        <v>247</v>
      </c>
      <c r="B3682" s="224" t="s">
        <v>42</v>
      </c>
      <c r="C3682" s="224" t="s">
        <v>86</v>
      </c>
      <c r="D3682" s="224" t="s">
        <v>55</v>
      </c>
      <c r="E3682" s="224" t="s">
        <v>256</v>
      </c>
      <c r="F3682" s="224" t="s">
        <v>249</v>
      </c>
      <c r="G3682" s="223" t="str">
        <f>VLOOKUP($B3682,'FRS geographical categories'!$A$2:$C$45,2,FALSE)</f>
        <v>Predominantly Rural</v>
      </c>
      <c r="H3682" s="223" t="str">
        <f>VLOOKUP($B3682,'FRS geographical categories'!$A$2:$C$45,3,FALSE)</f>
        <v>Non-metropolitan</v>
      </c>
      <c r="I3682" s="224">
        <v>51</v>
      </c>
    </row>
    <row r="3683" spans="1:9" ht="15.5" x14ac:dyDescent="0.35">
      <c r="A3683" s="224" t="s">
        <v>247</v>
      </c>
      <c r="B3683" s="224" t="s">
        <v>42</v>
      </c>
      <c r="C3683" s="224" t="s">
        <v>86</v>
      </c>
      <c r="D3683" s="224" t="s">
        <v>55</v>
      </c>
      <c r="E3683" s="224" t="s">
        <v>256</v>
      </c>
      <c r="F3683" s="224" t="s">
        <v>250</v>
      </c>
      <c r="G3683" s="223" t="str">
        <f>VLOOKUP($B3683,'FRS geographical categories'!$A$2:$C$45,2,FALSE)</f>
        <v>Predominantly Rural</v>
      </c>
      <c r="H3683" s="223" t="str">
        <f>VLOOKUP($B3683,'FRS geographical categories'!$A$2:$C$45,3,FALSE)</f>
        <v>Non-metropolitan</v>
      </c>
      <c r="I3683" s="224">
        <v>81</v>
      </c>
    </row>
    <row r="3684" spans="1:9" ht="15.5" x14ac:dyDescent="0.35">
      <c r="A3684" s="224" t="s">
        <v>247</v>
      </c>
      <c r="B3684" s="224" t="s">
        <v>42</v>
      </c>
      <c r="C3684" s="224" t="s">
        <v>86</v>
      </c>
      <c r="D3684" s="224" t="s">
        <v>55</v>
      </c>
      <c r="E3684" s="224" t="s">
        <v>256</v>
      </c>
      <c r="F3684" s="224" t="s">
        <v>111</v>
      </c>
      <c r="G3684" s="223" t="str">
        <f>VLOOKUP($B3684,'FRS geographical categories'!$A$2:$C$45,2,FALSE)</f>
        <v>Predominantly Rural</v>
      </c>
      <c r="H3684" s="223" t="str">
        <f>VLOOKUP($B3684,'FRS geographical categories'!$A$2:$C$45,3,FALSE)</f>
        <v>Non-metropolitan</v>
      </c>
      <c r="I3684" s="224">
        <v>197</v>
      </c>
    </row>
    <row r="3685" spans="1:9" ht="15.5" x14ac:dyDescent="0.35">
      <c r="A3685" s="224" t="s">
        <v>247</v>
      </c>
      <c r="B3685" s="224" t="s">
        <v>42</v>
      </c>
      <c r="C3685" s="224" t="s">
        <v>86</v>
      </c>
      <c r="D3685" s="224" t="s">
        <v>55</v>
      </c>
      <c r="E3685" s="224" t="s">
        <v>256</v>
      </c>
      <c r="F3685" s="224" t="s">
        <v>10</v>
      </c>
      <c r="G3685" s="223" t="str">
        <f>VLOOKUP($B3685,'FRS geographical categories'!$A$2:$C$45,2,FALSE)</f>
        <v>Predominantly Rural</v>
      </c>
      <c r="H3685" s="223" t="str">
        <f>VLOOKUP($B3685,'FRS geographical categories'!$A$2:$C$45,3,FALSE)</f>
        <v>Non-metropolitan</v>
      </c>
      <c r="I3685" s="224">
        <v>203</v>
      </c>
    </row>
    <row r="3686" spans="1:9" ht="15.5" x14ac:dyDescent="0.35">
      <c r="A3686" s="224" t="s">
        <v>247</v>
      </c>
      <c r="B3686" s="224" t="s">
        <v>42</v>
      </c>
      <c r="C3686" s="224" t="s">
        <v>89</v>
      </c>
      <c r="D3686" s="224" t="s">
        <v>9</v>
      </c>
      <c r="E3686" s="224" t="s">
        <v>256</v>
      </c>
      <c r="F3686" s="224" t="s">
        <v>248</v>
      </c>
      <c r="G3686" s="223" t="str">
        <f>VLOOKUP($B3686,'FRS geographical categories'!$A$2:$C$45,2,FALSE)</f>
        <v>Predominantly Rural</v>
      </c>
      <c r="H3686" s="223" t="str">
        <f>VLOOKUP($B3686,'FRS geographical categories'!$A$2:$C$45,3,FALSE)</f>
        <v>Non-metropolitan</v>
      </c>
      <c r="I3686" s="224">
        <v>0</v>
      </c>
    </row>
    <row r="3687" spans="1:9" ht="15.5" x14ac:dyDescent="0.35">
      <c r="A3687" s="224" t="s">
        <v>247</v>
      </c>
      <c r="B3687" s="224" t="s">
        <v>42</v>
      </c>
      <c r="C3687" s="224" t="s">
        <v>89</v>
      </c>
      <c r="D3687" s="224" t="s">
        <v>9</v>
      </c>
      <c r="E3687" s="224" t="s">
        <v>256</v>
      </c>
      <c r="F3687" s="224" t="s">
        <v>249</v>
      </c>
      <c r="G3687" s="223" t="str">
        <f>VLOOKUP($B3687,'FRS geographical categories'!$A$2:$C$45,2,FALSE)</f>
        <v>Predominantly Rural</v>
      </c>
      <c r="H3687" s="223" t="str">
        <f>VLOOKUP($B3687,'FRS geographical categories'!$A$2:$C$45,3,FALSE)</f>
        <v>Non-metropolitan</v>
      </c>
      <c r="I3687" s="224">
        <v>0</v>
      </c>
    </row>
    <row r="3688" spans="1:9" ht="15.5" x14ac:dyDescent="0.35">
      <c r="A3688" s="224" t="s">
        <v>247</v>
      </c>
      <c r="B3688" s="224" t="s">
        <v>42</v>
      </c>
      <c r="C3688" s="224" t="s">
        <v>89</v>
      </c>
      <c r="D3688" s="224" t="s">
        <v>9</v>
      </c>
      <c r="E3688" s="224" t="s">
        <v>256</v>
      </c>
      <c r="F3688" s="224" t="s">
        <v>250</v>
      </c>
      <c r="G3688" s="223" t="str">
        <f>VLOOKUP($B3688,'FRS geographical categories'!$A$2:$C$45,2,FALSE)</f>
        <v>Predominantly Rural</v>
      </c>
      <c r="H3688" s="223" t="str">
        <f>VLOOKUP($B3688,'FRS geographical categories'!$A$2:$C$45,3,FALSE)</f>
        <v>Non-metropolitan</v>
      </c>
      <c r="I3688" s="224">
        <v>0</v>
      </c>
    </row>
    <row r="3689" spans="1:9" ht="15.5" x14ac:dyDescent="0.35">
      <c r="A3689" s="224" t="s">
        <v>247</v>
      </c>
      <c r="B3689" s="224" t="s">
        <v>42</v>
      </c>
      <c r="C3689" s="224" t="s">
        <v>89</v>
      </c>
      <c r="D3689" s="224" t="s">
        <v>9</v>
      </c>
      <c r="E3689" s="224" t="s">
        <v>256</v>
      </c>
      <c r="F3689" s="224" t="s">
        <v>10</v>
      </c>
      <c r="G3689" s="223" t="str">
        <f>VLOOKUP($B3689,'FRS geographical categories'!$A$2:$C$45,2,FALSE)</f>
        <v>Predominantly Rural</v>
      </c>
      <c r="H3689" s="223" t="str">
        <f>VLOOKUP($B3689,'FRS geographical categories'!$A$2:$C$45,3,FALSE)</f>
        <v>Non-metropolitan</v>
      </c>
      <c r="I3689" s="224">
        <v>0</v>
      </c>
    </row>
    <row r="3690" spans="1:9" ht="15.5" x14ac:dyDescent="0.35">
      <c r="A3690" s="224" t="s">
        <v>247</v>
      </c>
      <c r="B3690" s="224" t="s">
        <v>42</v>
      </c>
      <c r="C3690" s="224" t="s">
        <v>89</v>
      </c>
      <c r="D3690" s="224" t="s">
        <v>55</v>
      </c>
      <c r="E3690" s="224" t="s">
        <v>256</v>
      </c>
      <c r="F3690" s="224" t="s">
        <v>248</v>
      </c>
      <c r="G3690" s="223" t="str">
        <f>VLOOKUP($B3690,'FRS geographical categories'!$A$2:$C$45,2,FALSE)</f>
        <v>Predominantly Rural</v>
      </c>
      <c r="H3690" s="223" t="str">
        <f>VLOOKUP($B3690,'FRS geographical categories'!$A$2:$C$45,3,FALSE)</f>
        <v>Non-metropolitan</v>
      </c>
      <c r="I3690" s="224">
        <v>0</v>
      </c>
    </row>
    <row r="3691" spans="1:9" ht="15.5" x14ac:dyDescent="0.35">
      <c r="A3691" s="224" t="s">
        <v>247</v>
      </c>
      <c r="B3691" s="224" t="s">
        <v>42</v>
      </c>
      <c r="C3691" s="224" t="s">
        <v>89</v>
      </c>
      <c r="D3691" s="224" t="s">
        <v>55</v>
      </c>
      <c r="E3691" s="224" t="s">
        <v>256</v>
      </c>
      <c r="F3691" s="224" t="s">
        <v>249</v>
      </c>
      <c r="G3691" s="223" t="str">
        <f>VLOOKUP($B3691,'FRS geographical categories'!$A$2:$C$45,2,FALSE)</f>
        <v>Predominantly Rural</v>
      </c>
      <c r="H3691" s="223" t="str">
        <f>VLOOKUP($B3691,'FRS geographical categories'!$A$2:$C$45,3,FALSE)</f>
        <v>Non-metropolitan</v>
      </c>
      <c r="I3691" s="224">
        <v>0</v>
      </c>
    </row>
    <row r="3692" spans="1:9" ht="15.5" x14ac:dyDescent="0.35">
      <c r="A3692" s="224" t="s">
        <v>247</v>
      </c>
      <c r="B3692" s="224" t="s">
        <v>42</v>
      </c>
      <c r="C3692" s="224" t="s">
        <v>89</v>
      </c>
      <c r="D3692" s="224" t="s">
        <v>55</v>
      </c>
      <c r="E3692" s="224" t="s">
        <v>256</v>
      </c>
      <c r="F3692" s="224" t="s">
        <v>250</v>
      </c>
      <c r="G3692" s="223" t="str">
        <f>VLOOKUP($B3692,'FRS geographical categories'!$A$2:$C$45,2,FALSE)</f>
        <v>Predominantly Rural</v>
      </c>
      <c r="H3692" s="223" t="str">
        <f>VLOOKUP($B3692,'FRS geographical categories'!$A$2:$C$45,3,FALSE)</f>
        <v>Non-metropolitan</v>
      </c>
      <c r="I3692" s="224">
        <v>0</v>
      </c>
    </row>
    <row r="3693" spans="1:9" ht="15.5" x14ac:dyDescent="0.35">
      <c r="A3693" s="224" t="s">
        <v>247</v>
      </c>
      <c r="B3693" s="224" t="s">
        <v>42</v>
      </c>
      <c r="C3693" s="224" t="s">
        <v>89</v>
      </c>
      <c r="D3693" s="224" t="s">
        <v>55</v>
      </c>
      <c r="E3693" s="224" t="s">
        <v>256</v>
      </c>
      <c r="F3693" s="224" t="s">
        <v>10</v>
      </c>
      <c r="G3693" s="223" t="str">
        <f>VLOOKUP($B3693,'FRS geographical categories'!$A$2:$C$45,2,FALSE)</f>
        <v>Predominantly Rural</v>
      </c>
      <c r="H3693" s="223" t="str">
        <f>VLOOKUP($B3693,'FRS geographical categories'!$A$2:$C$45,3,FALSE)</f>
        <v>Non-metropolitan</v>
      </c>
      <c r="I3693" s="224">
        <v>0</v>
      </c>
    </row>
    <row r="3694" spans="1:9" ht="15.5" x14ac:dyDescent="0.35">
      <c r="A3694" s="224" t="s">
        <v>247</v>
      </c>
      <c r="B3694" s="224" t="s">
        <v>43</v>
      </c>
      <c r="C3694" s="224" t="s">
        <v>86</v>
      </c>
      <c r="D3694" s="224" t="s">
        <v>9</v>
      </c>
      <c r="E3694" s="224" t="s">
        <v>256</v>
      </c>
      <c r="F3694" s="224" t="s">
        <v>248</v>
      </c>
      <c r="G3694" s="223" t="str">
        <f>VLOOKUP($B3694,'FRS geographical categories'!$A$2:$C$45,2,FALSE)</f>
        <v>Predominantly Rural</v>
      </c>
      <c r="H3694" s="223" t="str">
        <f>VLOOKUP($B3694,'FRS geographical categories'!$A$2:$C$45,3,FALSE)</f>
        <v>Non-metropolitan</v>
      </c>
      <c r="I3694" s="224">
        <v>158</v>
      </c>
    </row>
    <row r="3695" spans="1:9" ht="15.5" x14ac:dyDescent="0.35">
      <c r="A3695" s="224" t="s">
        <v>247</v>
      </c>
      <c r="B3695" s="224" t="s">
        <v>43</v>
      </c>
      <c r="C3695" s="224" t="s">
        <v>86</v>
      </c>
      <c r="D3695" s="224" t="s">
        <v>9</v>
      </c>
      <c r="E3695" s="224" t="s">
        <v>256</v>
      </c>
      <c r="F3695" s="224" t="s">
        <v>249</v>
      </c>
      <c r="G3695" s="223" t="str">
        <f>VLOOKUP($B3695,'FRS geographical categories'!$A$2:$C$45,2,FALSE)</f>
        <v>Predominantly Rural</v>
      </c>
      <c r="H3695" s="223" t="str">
        <f>VLOOKUP($B3695,'FRS geographical categories'!$A$2:$C$45,3,FALSE)</f>
        <v>Non-metropolitan</v>
      </c>
      <c r="I3695" s="224">
        <v>828</v>
      </c>
    </row>
    <row r="3696" spans="1:9" ht="15.5" x14ac:dyDescent="0.35">
      <c r="A3696" s="224" t="s">
        <v>247</v>
      </c>
      <c r="B3696" s="224" t="s">
        <v>43</v>
      </c>
      <c r="C3696" s="224" t="s">
        <v>86</v>
      </c>
      <c r="D3696" s="224" t="s">
        <v>9</v>
      </c>
      <c r="E3696" s="224" t="s">
        <v>256</v>
      </c>
      <c r="F3696" s="224" t="s">
        <v>250</v>
      </c>
      <c r="G3696" s="223" t="str">
        <f>VLOOKUP($B3696,'FRS geographical categories'!$A$2:$C$45,2,FALSE)</f>
        <v>Predominantly Rural</v>
      </c>
      <c r="H3696" s="223" t="str">
        <f>VLOOKUP($B3696,'FRS geographical categories'!$A$2:$C$45,3,FALSE)</f>
        <v>Non-metropolitan</v>
      </c>
      <c r="I3696" s="224">
        <v>2290</v>
      </c>
    </row>
    <row r="3697" spans="1:9" ht="15.5" x14ac:dyDescent="0.35">
      <c r="A3697" s="224" t="s">
        <v>247</v>
      </c>
      <c r="B3697" s="224" t="s">
        <v>43</v>
      </c>
      <c r="C3697" s="224" t="s">
        <v>86</v>
      </c>
      <c r="D3697" s="224" t="s">
        <v>9</v>
      </c>
      <c r="E3697" s="224" t="s">
        <v>256</v>
      </c>
      <c r="F3697" s="224" t="s">
        <v>111</v>
      </c>
      <c r="G3697" s="223" t="str">
        <f>VLOOKUP($B3697,'FRS geographical categories'!$A$2:$C$45,2,FALSE)</f>
        <v>Predominantly Rural</v>
      </c>
      <c r="H3697" s="223" t="str">
        <f>VLOOKUP($B3697,'FRS geographical categories'!$A$2:$C$45,3,FALSE)</f>
        <v>Non-metropolitan</v>
      </c>
      <c r="I3697" s="224">
        <v>3633</v>
      </c>
    </row>
    <row r="3698" spans="1:9" ht="15.5" x14ac:dyDescent="0.35">
      <c r="A3698" s="224" t="s">
        <v>247</v>
      </c>
      <c r="B3698" s="224" t="s">
        <v>43</v>
      </c>
      <c r="C3698" s="224" t="s">
        <v>86</v>
      </c>
      <c r="D3698" s="224" t="s">
        <v>9</v>
      </c>
      <c r="E3698" s="224" t="s">
        <v>256</v>
      </c>
      <c r="F3698" s="224" t="s">
        <v>10</v>
      </c>
      <c r="G3698" s="223" t="str">
        <f>VLOOKUP($B3698,'FRS geographical categories'!$A$2:$C$45,2,FALSE)</f>
        <v>Predominantly Rural</v>
      </c>
      <c r="H3698" s="223" t="str">
        <f>VLOOKUP($B3698,'FRS geographical categories'!$A$2:$C$45,3,FALSE)</f>
        <v>Non-metropolitan</v>
      </c>
      <c r="I3698" s="224">
        <v>4012</v>
      </c>
    </row>
    <row r="3699" spans="1:9" ht="15.5" x14ac:dyDescent="0.35">
      <c r="A3699" s="224" t="s">
        <v>247</v>
      </c>
      <c r="B3699" s="224" t="s">
        <v>43</v>
      </c>
      <c r="C3699" s="224" t="s">
        <v>86</v>
      </c>
      <c r="D3699" s="224" t="s">
        <v>55</v>
      </c>
      <c r="E3699" s="224" t="s">
        <v>256</v>
      </c>
      <c r="F3699" s="224" t="s">
        <v>248</v>
      </c>
      <c r="G3699" s="223" t="str">
        <f>VLOOKUP($B3699,'FRS geographical categories'!$A$2:$C$45,2,FALSE)</f>
        <v>Predominantly Rural</v>
      </c>
      <c r="H3699" s="223" t="str">
        <f>VLOOKUP($B3699,'FRS geographical categories'!$A$2:$C$45,3,FALSE)</f>
        <v>Non-metropolitan</v>
      </c>
      <c r="I3699" s="224">
        <v>0</v>
      </c>
    </row>
    <row r="3700" spans="1:9" ht="15.5" x14ac:dyDescent="0.35">
      <c r="A3700" s="224" t="s">
        <v>247</v>
      </c>
      <c r="B3700" s="224" t="s">
        <v>43</v>
      </c>
      <c r="C3700" s="224" t="s">
        <v>86</v>
      </c>
      <c r="D3700" s="224" t="s">
        <v>55</v>
      </c>
      <c r="E3700" s="224" t="s">
        <v>256</v>
      </c>
      <c r="F3700" s="224" t="s">
        <v>249</v>
      </c>
      <c r="G3700" s="223" t="str">
        <f>VLOOKUP($B3700,'FRS geographical categories'!$A$2:$C$45,2,FALSE)</f>
        <v>Predominantly Rural</v>
      </c>
      <c r="H3700" s="223" t="str">
        <f>VLOOKUP($B3700,'FRS geographical categories'!$A$2:$C$45,3,FALSE)</f>
        <v>Non-metropolitan</v>
      </c>
      <c r="I3700" s="224">
        <v>0</v>
      </c>
    </row>
    <row r="3701" spans="1:9" ht="15.5" x14ac:dyDescent="0.35">
      <c r="A3701" s="224" t="s">
        <v>247</v>
      </c>
      <c r="B3701" s="224" t="s">
        <v>43</v>
      </c>
      <c r="C3701" s="224" t="s">
        <v>86</v>
      </c>
      <c r="D3701" s="224" t="s">
        <v>55</v>
      </c>
      <c r="E3701" s="224" t="s">
        <v>256</v>
      </c>
      <c r="F3701" s="224" t="s">
        <v>250</v>
      </c>
      <c r="G3701" s="223" t="str">
        <f>VLOOKUP($B3701,'FRS geographical categories'!$A$2:$C$45,2,FALSE)</f>
        <v>Predominantly Rural</v>
      </c>
      <c r="H3701" s="223" t="str">
        <f>VLOOKUP($B3701,'FRS geographical categories'!$A$2:$C$45,3,FALSE)</f>
        <v>Non-metropolitan</v>
      </c>
      <c r="I3701" s="224">
        <v>0</v>
      </c>
    </row>
    <row r="3702" spans="1:9" ht="15.5" x14ac:dyDescent="0.35">
      <c r="A3702" s="224" t="s">
        <v>247</v>
      </c>
      <c r="B3702" s="224" t="s">
        <v>43</v>
      </c>
      <c r="C3702" s="224" t="s">
        <v>86</v>
      </c>
      <c r="D3702" s="224" t="s">
        <v>55</v>
      </c>
      <c r="E3702" s="224" t="s">
        <v>256</v>
      </c>
      <c r="F3702" s="224" t="s">
        <v>111</v>
      </c>
      <c r="G3702" s="223" t="str">
        <f>VLOOKUP($B3702,'FRS geographical categories'!$A$2:$C$45,2,FALSE)</f>
        <v>Predominantly Rural</v>
      </c>
      <c r="H3702" s="223" t="str">
        <f>VLOOKUP($B3702,'FRS geographical categories'!$A$2:$C$45,3,FALSE)</f>
        <v>Non-metropolitan</v>
      </c>
      <c r="I3702" s="224">
        <v>0</v>
      </c>
    </row>
    <row r="3703" spans="1:9" ht="15.5" x14ac:dyDescent="0.35">
      <c r="A3703" s="224" t="s">
        <v>247</v>
      </c>
      <c r="B3703" s="224" t="s">
        <v>43</v>
      </c>
      <c r="C3703" s="224" t="s">
        <v>86</v>
      </c>
      <c r="D3703" s="224" t="s">
        <v>55</v>
      </c>
      <c r="E3703" s="224" t="s">
        <v>256</v>
      </c>
      <c r="F3703" s="224" t="s">
        <v>10</v>
      </c>
      <c r="G3703" s="223" t="str">
        <f>VLOOKUP($B3703,'FRS geographical categories'!$A$2:$C$45,2,FALSE)</f>
        <v>Predominantly Rural</v>
      </c>
      <c r="H3703" s="223" t="str">
        <f>VLOOKUP($B3703,'FRS geographical categories'!$A$2:$C$45,3,FALSE)</f>
        <v>Non-metropolitan</v>
      </c>
      <c r="I3703" s="224">
        <v>0</v>
      </c>
    </row>
    <row r="3704" spans="1:9" ht="15.5" x14ac:dyDescent="0.35">
      <c r="A3704" s="224" t="s">
        <v>247</v>
      </c>
      <c r="B3704" s="224" t="s">
        <v>43</v>
      </c>
      <c r="C3704" s="224" t="s">
        <v>89</v>
      </c>
      <c r="D3704" s="224" t="s">
        <v>9</v>
      </c>
      <c r="E3704" s="224" t="s">
        <v>256</v>
      </c>
      <c r="F3704" s="224" t="s">
        <v>248</v>
      </c>
      <c r="G3704" s="223" t="str">
        <f>VLOOKUP($B3704,'FRS geographical categories'!$A$2:$C$45,2,FALSE)</f>
        <v>Predominantly Rural</v>
      </c>
      <c r="H3704" s="223" t="str">
        <f>VLOOKUP($B3704,'FRS geographical categories'!$A$2:$C$45,3,FALSE)</f>
        <v>Non-metropolitan</v>
      </c>
      <c r="I3704" s="224">
        <v>0</v>
      </c>
    </row>
    <row r="3705" spans="1:9" ht="15.5" x14ac:dyDescent="0.35">
      <c r="A3705" s="224" t="s">
        <v>247</v>
      </c>
      <c r="B3705" s="224" t="s">
        <v>43</v>
      </c>
      <c r="C3705" s="224" t="s">
        <v>89</v>
      </c>
      <c r="D3705" s="224" t="s">
        <v>9</v>
      </c>
      <c r="E3705" s="224" t="s">
        <v>256</v>
      </c>
      <c r="F3705" s="224" t="s">
        <v>249</v>
      </c>
      <c r="G3705" s="223" t="str">
        <f>VLOOKUP($B3705,'FRS geographical categories'!$A$2:$C$45,2,FALSE)</f>
        <v>Predominantly Rural</v>
      </c>
      <c r="H3705" s="223" t="str">
        <f>VLOOKUP($B3705,'FRS geographical categories'!$A$2:$C$45,3,FALSE)</f>
        <v>Non-metropolitan</v>
      </c>
      <c r="I3705" s="224">
        <v>0</v>
      </c>
    </row>
    <row r="3706" spans="1:9" ht="15.5" x14ac:dyDescent="0.35">
      <c r="A3706" s="224" t="s">
        <v>247</v>
      </c>
      <c r="B3706" s="224" t="s">
        <v>43</v>
      </c>
      <c r="C3706" s="224" t="s">
        <v>89</v>
      </c>
      <c r="D3706" s="224" t="s">
        <v>9</v>
      </c>
      <c r="E3706" s="224" t="s">
        <v>256</v>
      </c>
      <c r="F3706" s="224" t="s">
        <v>250</v>
      </c>
      <c r="G3706" s="223" t="str">
        <f>VLOOKUP($B3706,'FRS geographical categories'!$A$2:$C$45,2,FALSE)</f>
        <v>Predominantly Rural</v>
      </c>
      <c r="H3706" s="223" t="str">
        <f>VLOOKUP($B3706,'FRS geographical categories'!$A$2:$C$45,3,FALSE)</f>
        <v>Non-metropolitan</v>
      </c>
      <c r="I3706" s="224">
        <v>0</v>
      </c>
    </row>
    <row r="3707" spans="1:9" ht="15.5" x14ac:dyDescent="0.35">
      <c r="A3707" s="224" t="s">
        <v>247</v>
      </c>
      <c r="B3707" s="224" t="s">
        <v>43</v>
      </c>
      <c r="C3707" s="224" t="s">
        <v>89</v>
      </c>
      <c r="D3707" s="224" t="s">
        <v>9</v>
      </c>
      <c r="E3707" s="224" t="s">
        <v>256</v>
      </c>
      <c r="F3707" s="224" t="s">
        <v>10</v>
      </c>
      <c r="G3707" s="223" t="str">
        <f>VLOOKUP($B3707,'FRS geographical categories'!$A$2:$C$45,2,FALSE)</f>
        <v>Predominantly Rural</v>
      </c>
      <c r="H3707" s="223" t="str">
        <f>VLOOKUP($B3707,'FRS geographical categories'!$A$2:$C$45,3,FALSE)</f>
        <v>Non-metropolitan</v>
      </c>
      <c r="I3707" s="224">
        <v>1069</v>
      </c>
    </row>
    <row r="3708" spans="1:9" ht="15.5" x14ac:dyDescent="0.35">
      <c r="A3708" s="224" t="s">
        <v>247</v>
      </c>
      <c r="B3708" s="224" t="s">
        <v>43</v>
      </c>
      <c r="C3708" s="224" t="s">
        <v>89</v>
      </c>
      <c r="D3708" s="224" t="s">
        <v>55</v>
      </c>
      <c r="E3708" s="224" t="s">
        <v>256</v>
      </c>
      <c r="F3708" s="224" t="s">
        <v>248</v>
      </c>
      <c r="G3708" s="223" t="str">
        <f>VLOOKUP($B3708,'FRS geographical categories'!$A$2:$C$45,2,FALSE)</f>
        <v>Predominantly Rural</v>
      </c>
      <c r="H3708" s="223" t="str">
        <f>VLOOKUP($B3708,'FRS geographical categories'!$A$2:$C$45,3,FALSE)</f>
        <v>Non-metropolitan</v>
      </c>
      <c r="I3708" s="224">
        <v>0</v>
      </c>
    </row>
    <row r="3709" spans="1:9" ht="15.5" x14ac:dyDescent="0.35">
      <c r="A3709" s="224" t="s">
        <v>247</v>
      </c>
      <c r="B3709" s="224" t="s">
        <v>43</v>
      </c>
      <c r="C3709" s="224" t="s">
        <v>89</v>
      </c>
      <c r="D3709" s="224" t="s">
        <v>55</v>
      </c>
      <c r="E3709" s="224" t="s">
        <v>256</v>
      </c>
      <c r="F3709" s="224" t="s">
        <v>249</v>
      </c>
      <c r="G3709" s="223" t="str">
        <f>VLOOKUP($B3709,'FRS geographical categories'!$A$2:$C$45,2,FALSE)</f>
        <v>Predominantly Rural</v>
      </c>
      <c r="H3709" s="223" t="str">
        <f>VLOOKUP($B3709,'FRS geographical categories'!$A$2:$C$45,3,FALSE)</f>
        <v>Non-metropolitan</v>
      </c>
      <c r="I3709" s="224">
        <v>0</v>
      </c>
    </row>
    <row r="3710" spans="1:9" ht="15.5" x14ac:dyDescent="0.35">
      <c r="A3710" s="224" t="s">
        <v>247</v>
      </c>
      <c r="B3710" s="224" t="s">
        <v>43</v>
      </c>
      <c r="C3710" s="224" t="s">
        <v>89</v>
      </c>
      <c r="D3710" s="224" t="s">
        <v>55</v>
      </c>
      <c r="E3710" s="224" t="s">
        <v>256</v>
      </c>
      <c r="F3710" s="224" t="s">
        <v>250</v>
      </c>
      <c r="G3710" s="223" t="str">
        <f>VLOOKUP($B3710,'FRS geographical categories'!$A$2:$C$45,2,FALSE)</f>
        <v>Predominantly Rural</v>
      </c>
      <c r="H3710" s="223" t="str">
        <f>VLOOKUP($B3710,'FRS geographical categories'!$A$2:$C$45,3,FALSE)</f>
        <v>Non-metropolitan</v>
      </c>
      <c r="I3710" s="224">
        <v>0</v>
      </c>
    </row>
    <row r="3711" spans="1:9" ht="15.5" x14ac:dyDescent="0.35">
      <c r="A3711" s="224" t="s">
        <v>247</v>
      </c>
      <c r="B3711" s="224" t="s">
        <v>43</v>
      </c>
      <c r="C3711" s="224" t="s">
        <v>89</v>
      </c>
      <c r="D3711" s="224" t="s">
        <v>55</v>
      </c>
      <c r="E3711" s="224" t="s">
        <v>256</v>
      </c>
      <c r="F3711" s="224" t="s">
        <v>10</v>
      </c>
      <c r="G3711" s="223" t="str">
        <f>VLOOKUP($B3711,'FRS geographical categories'!$A$2:$C$45,2,FALSE)</f>
        <v>Predominantly Rural</v>
      </c>
      <c r="H3711" s="223" t="str">
        <f>VLOOKUP($B3711,'FRS geographical categories'!$A$2:$C$45,3,FALSE)</f>
        <v>Non-metropolitan</v>
      </c>
      <c r="I3711" s="224">
        <v>0</v>
      </c>
    </row>
    <row r="3712" spans="1:9" ht="15.5" x14ac:dyDescent="0.35">
      <c r="A3712" s="224" t="s">
        <v>247</v>
      </c>
      <c r="B3712" s="224" t="s">
        <v>44</v>
      </c>
      <c r="C3712" s="224" t="s">
        <v>86</v>
      </c>
      <c r="D3712" s="224" t="s">
        <v>9</v>
      </c>
      <c r="E3712" s="224" t="s">
        <v>256</v>
      </c>
      <c r="F3712" s="224" t="s">
        <v>248</v>
      </c>
      <c r="G3712" s="223" t="str">
        <f>VLOOKUP($B3712,'FRS geographical categories'!$A$2:$C$45,2,FALSE)</f>
        <v>Predominantly Urban</v>
      </c>
      <c r="H3712" s="223" t="str">
        <f>VLOOKUP($B3712,'FRS geographical categories'!$A$2:$C$45,3,FALSE)</f>
        <v>Metropolitan</v>
      </c>
      <c r="I3712" s="224">
        <v>1210</v>
      </c>
    </row>
    <row r="3713" spans="1:9" ht="15.5" x14ac:dyDescent="0.35">
      <c r="A3713" s="224" t="s">
        <v>247</v>
      </c>
      <c r="B3713" s="224" t="s">
        <v>44</v>
      </c>
      <c r="C3713" s="224" t="s">
        <v>86</v>
      </c>
      <c r="D3713" s="224" t="s">
        <v>9</v>
      </c>
      <c r="E3713" s="224" t="s">
        <v>256</v>
      </c>
      <c r="F3713" s="224" t="s">
        <v>249</v>
      </c>
      <c r="G3713" s="223" t="str">
        <f>VLOOKUP($B3713,'FRS geographical categories'!$A$2:$C$45,2,FALSE)</f>
        <v>Predominantly Urban</v>
      </c>
      <c r="H3713" s="223" t="str">
        <f>VLOOKUP($B3713,'FRS geographical categories'!$A$2:$C$45,3,FALSE)</f>
        <v>Metropolitan</v>
      </c>
      <c r="I3713" s="224">
        <v>3271</v>
      </c>
    </row>
    <row r="3714" spans="1:9" ht="15.5" x14ac:dyDescent="0.35">
      <c r="A3714" s="224" t="s">
        <v>247</v>
      </c>
      <c r="B3714" s="224" t="s">
        <v>44</v>
      </c>
      <c r="C3714" s="224" t="s">
        <v>86</v>
      </c>
      <c r="D3714" s="224" t="s">
        <v>9</v>
      </c>
      <c r="E3714" s="224" t="s">
        <v>256</v>
      </c>
      <c r="F3714" s="224" t="s">
        <v>250</v>
      </c>
      <c r="G3714" s="223" t="str">
        <f>VLOOKUP($B3714,'FRS geographical categories'!$A$2:$C$45,2,FALSE)</f>
        <v>Predominantly Urban</v>
      </c>
      <c r="H3714" s="223" t="str">
        <f>VLOOKUP($B3714,'FRS geographical categories'!$A$2:$C$45,3,FALSE)</f>
        <v>Metropolitan</v>
      </c>
      <c r="I3714" s="224">
        <v>7587</v>
      </c>
    </row>
    <row r="3715" spans="1:9" ht="15.5" x14ac:dyDescent="0.35">
      <c r="A3715" s="224" t="s">
        <v>247</v>
      </c>
      <c r="B3715" s="224" t="s">
        <v>44</v>
      </c>
      <c r="C3715" s="224" t="s">
        <v>86</v>
      </c>
      <c r="D3715" s="224" t="s">
        <v>9</v>
      </c>
      <c r="E3715" s="224" t="s">
        <v>256</v>
      </c>
      <c r="F3715" s="224" t="s">
        <v>111</v>
      </c>
      <c r="G3715" s="223" t="str">
        <f>VLOOKUP($B3715,'FRS geographical categories'!$A$2:$C$45,2,FALSE)</f>
        <v>Predominantly Urban</v>
      </c>
      <c r="H3715" s="223" t="str">
        <f>VLOOKUP($B3715,'FRS geographical categories'!$A$2:$C$45,3,FALSE)</f>
        <v>Metropolitan</v>
      </c>
      <c r="I3715" s="224">
        <v>20216</v>
      </c>
    </row>
    <row r="3716" spans="1:9" ht="15.5" x14ac:dyDescent="0.35">
      <c r="A3716" s="224" t="s">
        <v>247</v>
      </c>
      <c r="B3716" s="224" t="s">
        <v>44</v>
      </c>
      <c r="C3716" s="224" t="s">
        <v>86</v>
      </c>
      <c r="D3716" s="224" t="s">
        <v>9</v>
      </c>
      <c r="E3716" s="224" t="s">
        <v>256</v>
      </c>
      <c r="F3716" s="224" t="s">
        <v>10</v>
      </c>
      <c r="G3716" s="223" t="str">
        <f>VLOOKUP($B3716,'FRS geographical categories'!$A$2:$C$45,2,FALSE)</f>
        <v>Predominantly Urban</v>
      </c>
      <c r="H3716" s="223" t="str">
        <f>VLOOKUP($B3716,'FRS geographical categories'!$A$2:$C$45,3,FALSE)</f>
        <v>Metropolitan</v>
      </c>
      <c r="I3716" s="224">
        <v>21477</v>
      </c>
    </row>
    <row r="3717" spans="1:9" ht="15.5" x14ac:dyDescent="0.35">
      <c r="A3717" s="224" t="s">
        <v>247</v>
      </c>
      <c r="B3717" s="224" t="s">
        <v>44</v>
      </c>
      <c r="C3717" s="224" t="s">
        <v>86</v>
      </c>
      <c r="D3717" s="224" t="s">
        <v>55</v>
      </c>
      <c r="E3717" s="224" t="s">
        <v>256</v>
      </c>
      <c r="F3717" s="224" t="s">
        <v>248</v>
      </c>
      <c r="G3717" s="223" t="str">
        <f>VLOOKUP($B3717,'FRS geographical categories'!$A$2:$C$45,2,FALSE)</f>
        <v>Predominantly Urban</v>
      </c>
      <c r="H3717" s="223" t="str">
        <f>VLOOKUP($B3717,'FRS geographical categories'!$A$2:$C$45,3,FALSE)</f>
        <v>Metropolitan</v>
      </c>
      <c r="I3717" s="224">
        <v>3</v>
      </c>
    </row>
    <row r="3718" spans="1:9" ht="15.5" x14ac:dyDescent="0.35">
      <c r="A3718" s="224" t="s">
        <v>247</v>
      </c>
      <c r="B3718" s="224" t="s">
        <v>44</v>
      </c>
      <c r="C3718" s="224" t="s">
        <v>86</v>
      </c>
      <c r="D3718" s="224" t="s">
        <v>55</v>
      </c>
      <c r="E3718" s="224" t="s">
        <v>256</v>
      </c>
      <c r="F3718" s="224" t="s">
        <v>249</v>
      </c>
      <c r="G3718" s="223" t="str">
        <f>VLOOKUP($B3718,'FRS geographical categories'!$A$2:$C$45,2,FALSE)</f>
        <v>Predominantly Urban</v>
      </c>
      <c r="H3718" s="223" t="str">
        <f>VLOOKUP($B3718,'FRS geographical categories'!$A$2:$C$45,3,FALSE)</f>
        <v>Metropolitan</v>
      </c>
      <c r="I3718" s="224">
        <v>1</v>
      </c>
    </row>
    <row r="3719" spans="1:9" ht="15.5" x14ac:dyDescent="0.35">
      <c r="A3719" s="224" t="s">
        <v>247</v>
      </c>
      <c r="B3719" s="224" t="s">
        <v>44</v>
      </c>
      <c r="C3719" s="224" t="s">
        <v>86</v>
      </c>
      <c r="D3719" s="224" t="s">
        <v>55</v>
      </c>
      <c r="E3719" s="224" t="s">
        <v>256</v>
      </c>
      <c r="F3719" s="224" t="s">
        <v>250</v>
      </c>
      <c r="G3719" s="223" t="str">
        <f>VLOOKUP($B3719,'FRS geographical categories'!$A$2:$C$45,2,FALSE)</f>
        <v>Predominantly Urban</v>
      </c>
      <c r="H3719" s="223" t="str">
        <f>VLOOKUP($B3719,'FRS geographical categories'!$A$2:$C$45,3,FALSE)</f>
        <v>Metropolitan</v>
      </c>
      <c r="I3719" s="224">
        <v>1</v>
      </c>
    </row>
    <row r="3720" spans="1:9" ht="15.5" x14ac:dyDescent="0.35">
      <c r="A3720" s="224" t="s">
        <v>247</v>
      </c>
      <c r="B3720" s="224" t="s">
        <v>44</v>
      </c>
      <c r="C3720" s="224" t="s">
        <v>86</v>
      </c>
      <c r="D3720" s="224" t="s">
        <v>55</v>
      </c>
      <c r="E3720" s="224" t="s">
        <v>256</v>
      </c>
      <c r="F3720" s="224" t="s">
        <v>111</v>
      </c>
      <c r="G3720" s="223" t="str">
        <f>VLOOKUP($B3720,'FRS geographical categories'!$A$2:$C$45,2,FALSE)</f>
        <v>Predominantly Urban</v>
      </c>
      <c r="H3720" s="223" t="str">
        <f>VLOOKUP($B3720,'FRS geographical categories'!$A$2:$C$45,3,FALSE)</f>
        <v>Metropolitan</v>
      </c>
      <c r="I3720" s="224">
        <v>15</v>
      </c>
    </row>
    <row r="3721" spans="1:9" ht="15.5" x14ac:dyDescent="0.35">
      <c r="A3721" s="224" t="s">
        <v>247</v>
      </c>
      <c r="B3721" s="224" t="s">
        <v>44</v>
      </c>
      <c r="C3721" s="224" t="s">
        <v>86</v>
      </c>
      <c r="D3721" s="224" t="s">
        <v>55</v>
      </c>
      <c r="E3721" s="224" t="s">
        <v>256</v>
      </c>
      <c r="F3721" s="224" t="s">
        <v>10</v>
      </c>
      <c r="G3721" s="223" t="str">
        <f>VLOOKUP($B3721,'FRS geographical categories'!$A$2:$C$45,2,FALSE)</f>
        <v>Predominantly Urban</v>
      </c>
      <c r="H3721" s="223" t="str">
        <f>VLOOKUP($B3721,'FRS geographical categories'!$A$2:$C$45,3,FALSE)</f>
        <v>Metropolitan</v>
      </c>
      <c r="I3721" s="224">
        <v>16</v>
      </c>
    </row>
    <row r="3722" spans="1:9" ht="15.5" x14ac:dyDescent="0.35">
      <c r="A3722" s="224" t="s">
        <v>247</v>
      </c>
      <c r="B3722" s="224" t="s">
        <v>44</v>
      </c>
      <c r="C3722" s="224" t="s">
        <v>89</v>
      </c>
      <c r="D3722" s="224" t="s">
        <v>9</v>
      </c>
      <c r="E3722" s="224" t="s">
        <v>256</v>
      </c>
      <c r="F3722" s="224" t="s">
        <v>248</v>
      </c>
      <c r="G3722" s="223" t="str">
        <f>VLOOKUP($B3722,'FRS geographical categories'!$A$2:$C$45,2,FALSE)</f>
        <v>Predominantly Urban</v>
      </c>
      <c r="H3722" s="223" t="str">
        <f>VLOOKUP($B3722,'FRS geographical categories'!$A$2:$C$45,3,FALSE)</f>
        <v>Metropolitan</v>
      </c>
      <c r="I3722" s="224">
        <v>0</v>
      </c>
    </row>
    <row r="3723" spans="1:9" ht="15.5" x14ac:dyDescent="0.35">
      <c r="A3723" s="224" t="s">
        <v>247</v>
      </c>
      <c r="B3723" s="224" t="s">
        <v>44</v>
      </c>
      <c r="C3723" s="224" t="s">
        <v>89</v>
      </c>
      <c r="D3723" s="224" t="s">
        <v>9</v>
      </c>
      <c r="E3723" s="224" t="s">
        <v>256</v>
      </c>
      <c r="F3723" s="224" t="s">
        <v>249</v>
      </c>
      <c r="G3723" s="223" t="str">
        <f>VLOOKUP($B3723,'FRS geographical categories'!$A$2:$C$45,2,FALSE)</f>
        <v>Predominantly Urban</v>
      </c>
      <c r="H3723" s="223" t="str">
        <f>VLOOKUP($B3723,'FRS geographical categories'!$A$2:$C$45,3,FALSE)</f>
        <v>Metropolitan</v>
      </c>
      <c r="I3723" s="224">
        <v>0</v>
      </c>
    </row>
    <row r="3724" spans="1:9" ht="15.5" x14ac:dyDescent="0.35">
      <c r="A3724" s="224" t="s">
        <v>247</v>
      </c>
      <c r="B3724" s="224" t="s">
        <v>44</v>
      </c>
      <c r="C3724" s="224" t="s">
        <v>89</v>
      </c>
      <c r="D3724" s="224" t="s">
        <v>9</v>
      </c>
      <c r="E3724" s="224" t="s">
        <v>256</v>
      </c>
      <c r="F3724" s="224" t="s">
        <v>250</v>
      </c>
      <c r="G3724" s="223" t="str">
        <f>VLOOKUP($B3724,'FRS geographical categories'!$A$2:$C$45,2,FALSE)</f>
        <v>Predominantly Urban</v>
      </c>
      <c r="H3724" s="223" t="str">
        <f>VLOOKUP($B3724,'FRS geographical categories'!$A$2:$C$45,3,FALSE)</f>
        <v>Metropolitan</v>
      </c>
      <c r="I3724" s="224">
        <v>0</v>
      </c>
    </row>
    <row r="3725" spans="1:9" ht="15.5" x14ac:dyDescent="0.35">
      <c r="A3725" s="224" t="s">
        <v>247</v>
      </c>
      <c r="B3725" s="224" t="s">
        <v>44</v>
      </c>
      <c r="C3725" s="224" t="s">
        <v>89</v>
      </c>
      <c r="D3725" s="224" t="s">
        <v>9</v>
      </c>
      <c r="E3725" s="224" t="s">
        <v>256</v>
      </c>
      <c r="F3725" s="224" t="s">
        <v>10</v>
      </c>
      <c r="G3725" s="223" t="str">
        <f>VLOOKUP($B3725,'FRS geographical categories'!$A$2:$C$45,2,FALSE)</f>
        <v>Predominantly Urban</v>
      </c>
      <c r="H3725" s="223" t="str">
        <f>VLOOKUP($B3725,'FRS geographical categories'!$A$2:$C$45,3,FALSE)</f>
        <v>Metropolitan</v>
      </c>
      <c r="I3725" s="224">
        <v>0</v>
      </c>
    </row>
    <row r="3726" spans="1:9" ht="15.5" x14ac:dyDescent="0.35">
      <c r="A3726" s="224" t="s">
        <v>247</v>
      </c>
      <c r="B3726" s="224" t="s">
        <v>44</v>
      </c>
      <c r="C3726" s="224" t="s">
        <v>89</v>
      </c>
      <c r="D3726" s="224" t="s">
        <v>55</v>
      </c>
      <c r="E3726" s="224" t="s">
        <v>256</v>
      </c>
      <c r="F3726" s="224" t="s">
        <v>248</v>
      </c>
      <c r="G3726" s="223" t="str">
        <f>VLOOKUP($B3726,'FRS geographical categories'!$A$2:$C$45,2,FALSE)</f>
        <v>Predominantly Urban</v>
      </c>
      <c r="H3726" s="223" t="str">
        <f>VLOOKUP($B3726,'FRS geographical categories'!$A$2:$C$45,3,FALSE)</f>
        <v>Metropolitan</v>
      </c>
      <c r="I3726" s="224">
        <v>0</v>
      </c>
    </row>
    <row r="3727" spans="1:9" ht="15.5" x14ac:dyDescent="0.35">
      <c r="A3727" s="224" t="s">
        <v>247</v>
      </c>
      <c r="B3727" s="224" t="s">
        <v>44</v>
      </c>
      <c r="C3727" s="224" t="s">
        <v>89</v>
      </c>
      <c r="D3727" s="224" t="s">
        <v>55</v>
      </c>
      <c r="E3727" s="224" t="s">
        <v>256</v>
      </c>
      <c r="F3727" s="224" t="s">
        <v>249</v>
      </c>
      <c r="G3727" s="223" t="str">
        <f>VLOOKUP($B3727,'FRS geographical categories'!$A$2:$C$45,2,FALSE)</f>
        <v>Predominantly Urban</v>
      </c>
      <c r="H3727" s="223" t="str">
        <f>VLOOKUP($B3727,'FRS geographical categories'!$A$2:$C$45,3,FALSE)</f>
        <v>Metropolitan</v>
      </c>
      <c r="I3727" s="224">
        <v>0</v>
      </c>
    </row>
    <row r="3728" spans="1:9" ht="15.5" x14ac:dyDescent="0.35">
      <c r="A3728" s="224" t="s">
        <v>247</v>
      </c>
      <c r="B3728" s="224" t="s">
        <v>44</v>
      </c>
      <c r="C3728" s="224" t="s">
        <v>89</v>
      </c>
      <c r="D3728" s="224" t="s">
        <v>55</v>
      </c>
      <c r="E3728" s="224" t="s">
        <v>256</v>
      </c>
      <c r="F3728" s="224" t="s">
        <v>250</v>
      </c>
      <c r="G3728" s="223" t="str">
        <f>VLOOKUP($B3728,'FRS geographical categories'!$A$2:$C$45,2,FALSE)</f>
        <v>Predominantly Urban</v>
      </c>
      <c r="H3728" s="223" t="str">
        <f>VLOOKUP($B3728,'FRS geographical categories'!$A$2:$C$45,3,FALSE)</f>
        <v>Metropolitan</v>
      </c>
      <c r="I3728" s="224">
        <v>0</v>
      </c>
    </row>
    <row r="3729" spans="1:9" ht="15.5" x14ac:dyDescent="0.35">
      <c r="A3729" s="224" t="s">
        <v>247</v>
      </c>
      <c r="B3729" s="224" t="s">
        <v>44</v>
      </c>
      <c r="C3729" s="224" t="s">
        <v>89</v>
      </c>
      <c r="D3729" s="224" t="s">
        <v>55</v>
      </c>
      <c r="E3729" s="224" t="s">
        <v>256</v>
      </c>
      <c r="F3729" s="224" t="s">
        <v>10</v>
      </c>
      <c r="G3729" s="223" t="str">
        <f>VLOOKUP($B3729,'FRS geographical categories'!$A$2:$C$45,2,FALSE)</f>
        <v>Predominantly Urban</v>
      </c>
      <c r="H3729" s="223" t="str">
        <f>VLOOKUP($B3729,'FRS geographical categories'!$A$2:$C$45,3,FALSE)</f>
        <v>Metropolitan</v>
      </c>
      <c r="I3729" s="224">
        <v>0</v>
      </c>
    </row>
    <row r="3730" spans="1:9" ht="15.5" x14ac:dyDescent="0.35">
      <c r="A3730" s="224" t="s">
        <v>247</v>
      </c>
      <c r="B3730" s="224" t="s">
        <v>45</v>
      </c>
      <c r="C3730" s="224" t="s">
        <v>86</v>
      </c>
      <c r="D3730" s="224" t="s">
        <v>9</v>
      </c>
      <c r="E3730" s="224" t="s">
        <v>256</v>
      </c>
      <c r="F3730" s="224" t="s">
        <v>248</v>
      </c>
      <c r="G3730" s="223" t="str">
        <f>VLOOKUP($B3730,'FRS geographical categories'!$A$2:$C$45,2,FALSE)</f>
        <v>Significantly Rural</v>
      </c>
      <c r="H3730" s="223" t="str">
        <f>VLOOKUP($B3730,'FRS geographical categories'!$A$2:$C$45,3,FALSE)</f>
        <v>Non-metropolitan</v>
      </c>
      <c r="I3730" s="224">
        <v>927</v>
      </c>
    </row>
    <row r="3731" spans="1:9" ht="15.5" x14ac:dyDescent="0.35">
      <c r="A3731" s="224" t="s">
        <v>247</v>
      </c>
      <c r="B3731" s="224" t="s">
        <v>45</v>
      </c>
      <c r="C3731" s="224" t="s">
        <v>86</v>
      </c>
      <c r="D3731" s="224" t="s">
        <v>9</v>
      </c>
      <c r="E3731" s="224" t="s">
        <v>256</v>
      </c>
      <c r="F3731" s="224" t="s">
        <v>249</v>
      </c>
      <c r="G3731" s="223" t="str">
        <f>VLOOKUP($B3731,'FRS geographical categories'!$A$2:$C$45,2,FALSE)</f>
        <v>Significantly Rural</v>
      </c>
      <c r="H3731" s="223" t="str">
        <f>VLOOKUP($B3731,'FRS geographical categories'!$A$2:$C$45,3,FALSE)</f>
        <v>Non-metropolitan</v>
      </c>
      <c r="I3731" s="224">
        <v>6051</v>
      </c>
    </row>
    <row r="3732" spans="1:9" ht="15.5" x14ac:dyDescent="0.35">
      <c r="A3732" s="224" t="s">
        <v>247</v>
      </c>
      <c r="B3732" s="224" t="s">
        <v>45</v>
      </c>
      <c r="C3732" s="224" t="s">
        <v>86</v>
      </c>
      <c r="D3732" s="224" t="s">
        <v>9</v>
      </c>
      <c r="E3732" s="224" t="s">
        <v>256</v>
      </c>
      <c r="F3732" s="224" t="s">
        <v>250</v>
      </c>
      <c r="G3732" s="223" t="str">
        <f>VLOOKUP($B3732,'FRS geographical categories'!$A$2:$C$45,2,FALSE)</f>
        <v>Significantly Rural</v>
      </c>
      <c r="H3732" s="223" t="str">
        <f>VLOOKUP($B3732,'FRS geographical categories'!$A$2:$C$45,3,FALSE)</f>
        <v>Non-metropolitan</v>
      </c>
      <c r="I3732" s="224">
        <v>3890</v>
      </c>
    </row>
    <row r="3733" spans="1:9" ht="15.5" x14ac:dyDescent="0.35">
      <c r="A3733" s="224" t="s">
        <v>247</v>
      </c>
      <c r="B3733" s="224" t="s">
        <v>45</v>
      </c>
      <c r="C3733" s="224" t="s">
        <v>86</v>
      </c>
      <c r="D3733" s="224" t="s">
        <v>9</v>
      </c>
      <c r="E3733" s="224" t="s">
        <v>256</v>
      </c>
      <c r="F3733" s="224" t="s">
        <v>111</v>
      </c>
      <c r="G3733" s="223" t="str">
        <f>VLOOKUP($B3733,'FRS geographical categories'!$A$2:$C$45,2,FALSE)</f>
        <v>Significantly Rural</v>
      </c>
      <c r="H3733" s="223" t="str">
        <f>VLOOKUP($B3733,'FRS geographical categories'!$A$2:$C$45,3,FALSE)</f>
        <v>Non-metropolitan</v>
      </c>
      <c r="I3733" s="224">
        <v>10870</v>
      </c>
    </row>
    <row r="3734" spans="1:9" ht="15.5" x14ac:dyDescent="0.35">
      <c r="A3734" s="224" t="s">
        <v>247</v>
      </c>
      <c r="B3734" s="224" t="s">
        <v>45</v>
      </c>
      <c r="C3734" s="224" t="s">
        <v>86</v>
      </c>
      <c r="D3734" s="224" t="s">
        <v>9</v>
      </c>
      <c r="E3734" s="224" t="s">
        <v>256</v>
      </c>
      <c r="F3734" s="224" t="s">
        <v>10</v>
      </c>
      <c r="G3734" s="223" t="str">
        <f>VLOOKUP($B3734,'FRS geographical categories'!$A$2:$C$45,2,FALSE)</f>
        <v>Significantly Rural</v>
      </c>
      <c r="H3734" s="223" t="str">
        <f>VLOOKUP($B3734,'FRS geographical categories'!$A$2:$C$45,3,FALSE)</f>
        <v>Non-metropolitan</v>
      </c>
      <c r="I3734" s="224">
        <v>14140</v>
      </c>
    </row>
    <row r="3735" spans="1:9" ht="15.5" x14ac:dyDescent="0.35">
      <c r="A3735" s="224" t="s">
        <v>247</v>
      </c>
      <c r="B3735" s="224" t="s">
        <v>45</v>
      </c>
      <c r="C3735" s="224" t="s">
        <v>86</v>
      </c>
      <c r="D3735" s="224" t="s">
        <v>55</v>
      </c>
      <c r="E3735" s="224" t="s">
        <v>256</v>
      </c>
      <c r="F3735" s="224" t="s">
        <v>248</v>
      </c>
      <c r="G3735" s="223" t="str">
        <f>VLOOKUP($B3735,'FRS geographical categories'!$A$2:$C$45,2,FALSE)</f>
        <v>Significantly Rural</v>
      </c>
      <c r="H3735" s="223" t="str">
        <f>VLOOKUP($B3735,'FRS geographical categories'!$A$2:$C$45,3,FALSE)</f>
        <v>Non-metropolitan</v>
      </c>
      <c r="I3735" s="224">
        <v>0</v>
      </c>
    </row>
    <row r="3736" spans="1:9" ht="15.5" x14ac:dyDescent="0.35">
      <c r="A3736" s="224" t="s">
        <v>247</v>
      </c>
      <c r="B3736" s="224" t="s">
        <v>45</v>
      </c>
      <c r="C3736" s="224" t="s">
        <v>86</v>
      </c>
      <c r="D3736" s="224" t="s">
        <v>55</v>
      </c>
      <c r="E3736" s="224" t="s">
        <v>256</v>
      </c>
      <c r="F3736" s="224" t="s">
        <v>249</v>
      </c>
      <c r="G3736" s="223" t="str">
        <f>VLOOKUP($B3736,'FRS geographical categories'!$A$2:$C$45,2,FALSE)</f>
        <v>Significantly Rural</v>
      </c>
      <c r="H3736" s="223" t="str">
        <f>VLOOKUP($B3736,'FRS geographical categories'!$A$2:$C$45,3,FALSE)</f>
        <v>Non-metropolitan</v>
      </c>
      <c r="I3736" s="224">
        <v>6</v>
      </c>
    </row>
    <row r="3737" spans="1:9" ht="15.5" x14ac:dyDescent="0.35">
      <c r="A3737" s="224" t="s">
        <v>247</v>
      </c>
      <c r="B3737" s="224" t="s">
        <v>45</v>
      </c>
      <c r="C3737" s="224" t="s">
        <v>86</v>
      </c>
      <c r="D3737" s="224" t="s">
        <v>55</v>
      </c>
      <c r="E3737" s="224" t="s">
        <v>256</v>
      </c>
      <c r="F3737" s="224" t="s">
        <v>250</v>
      </c>
      <c r="G3737" s="223" t="str">
        <f>VLOOKUP($B3737,'FRS geographical categories'!$A$2:$C$45,2,FALSE)</f>
        <v>Significantly Rural</v>
      </c>
      <c r="H3737" s="223" t="str">
        <f>VLOOKUP($B3737,'FRS geographical categories'!$A$2:$C$45,3,FALSE)</f>
        <v>Non-metropolitan</v>
      </c>
      <c r="I3737" s="224">
        <v>1</v>
      </c>
    </row>
    <row r="3738" spans="1:9" ht="15.5" x14ac:dyDescent="0.35">
      <c r="A3738" s="224" t="s">
        <v>247</v>
      </c>
      <c r="B3738" s="224" t="s">
        <v>45</v>
      </c>
      <c r="C3738" s="224" t="s">
        <v>86</v>
      </c>
      <c r="D3738" s="224" t="s">
        <v>55</v>
      </c>
      <c r="E3738" s="224" t="s">
        <v>256</v>
      </c>
      <c r="F3738" s="224" t="s">
        <v>111</v>
      </c>
      <c r="G3738" s="223" t="str">
        <f>VLOOKUP($B3738,'FRS geographical categories'!$A$2:$C$45,2,FALSE)</f>
        <v>Significantly Rural</v>
      </c>
      <c r="H3738" s="223" t="str">
        <f>VLOOKUP($B3738,'FRS geographical categories'!$A$2:$C$45,3,FALSE)</f>
        <v>Non-metropolitan</v>
      </c>
      <c r="I3738" s="224">
        <v>7</v>
      </c>
    </row>
    <row r="3739" spans="1:9" ht="15.5" x14ac:dyDescent="0.35">
      <c r="A3739" s="224" t="s">
        <v>247</v>
      </c>
      <c r="B3739" s="224" t="s">
        <v>45</v>
      </c>
      <c r="C3739" s="224" t="s">
        <v>86</v>
      </c>
      <c r="D3739" s="224" t="s">
        <v>55</v>
      </c>
      <c r="E3739" s="224" t="s">
        <v>256</v>
      </c>
      <c r="F3739" s="224" t="s">
        <v>10</v>
      </c>
      <c r="G3739" s="223" t="str">
        <f>VLOOKUP($B3739,'FRS geographical categories'!$A$2:$C$45,2,FALSE)</f>
        <v>Significantly Rural</v>
      </c>
      <c r="H3739" s="223" t="str">
        <f>VLOOKUP($B3739,'FRS geographical categories'!$A$2:$C$45,3,FALSE)</f>
        <v>Non-metropolitan</v>
      </c>
      <c r="I3739" s="224">
        <v>10</v>
      </c>
    </row>
    <row r="3740" spans="1:9" ht="15.5" x14ac:dyDescent="0.35">
      <c r="A3740" s="224" t="s">
        <v>247</v>
      </c>
      <c r="B3740" s="224" t="s">
        <v>45</v>
      </c>
      <c r="C3740" s="224" t="s">
        <v>89</v>
      </c>
      <c r="D3740" s="224" t="s">
        <v>9</v>
      </c>
      <c r="E3740" s="224" t="s">
        <v>256</v>
      </c>
      <c r="F3740" s="224" t="s">
        <v>248</v>
      </c>
      <c r="G3740" s="223" t="str">
        <f>VLOOKUP($B3740,'FRS geographical categories'!$A$2:$C$45,2,FALSE)</f>
        <v>Significantly Rural</v>
      </c>
      <c r="H3740" s="223" t="str">
        <f>VLOOKUP($B3740,'FRS geographical categories'!$A$2:$C$45,3,FALSE)</f>
        <v>Non-metropolitan</v>
      </c>
      <c r="I3740" s="224">
        <v>0</v>
      </c>
    </row>
    <row r="3741" spans="1:9" ht="15.5" x14ac:dyDescent="0.35">
      <c r="A3741" s="224" t="s">
        <v>247</v>
      </c>
      <c r="B3741" s="224" t="s">
        <v>45</v>
      </c>
      <c r="C3741" s="224" t="s">
        <v>89</v>
      </c>
      <c r="D3741" s="224" t="s">
        <v>9</v>
      </c>
      <c r="E3741" s="224" t="s">
        <v>256</v>
      </c>
      <c r="F3741" s="224" t="s">
        <v>249</v>
      </c>
      <c r="G3741" s="223" t="str">
        <f>VLOOKUP($B3741,'FRS geographical categories'!$A$2:$C$45,2,FALSE)</f>
        <v>Significantly Rural</v>
      </c>
      <c r="H3741" s="223" t="str">
        <f>VLOOKUP($B3741,'FRS geographical categories'!$A$2:$C$45,3,FALSE)</f>
        <v>Non-metropolitan</v>
      </c>
      <c r="I3741" s="224">
        <v>0</v>
      </c>
    </row>
    <row r="3742" spans="1:9" ht="15.5" x14ac:dyDescent="0.35">
      <c r="A3742" s="224" t="s">
        <v>247</v>
      </c>
      <c r="B3742" s="224" t="s">
        <v>45</v>
      </c>
      <c r="C3742" s="224" t="s">
        <v>89</v>
      </c>
      <c r="D3742" s="224" t="s">
        <v>9</v>
      </c>
      <c r="E3742" s="224" t="s">
        <v>256</v>
      </c>
      <c r="F3742" s="224" t="s">
        <v>250</v>
      </c>
      <c r="G3742" s="223" t="str">
        <f>VLOOKUP($B3742,'FRS geographical categories'!$A$2:$C$45,2,FALSE)</f>
        <v>Significantly Rural</v>
      </c>
      <c r="H3742" s="223" t="str">
        <f>VLOOKUP($B3742,'FRS geographical categories'!$A$2:$C$45,3,FALSE)</f>
        <v>Non-metropolitan</v>
      </c>
      <c r="I3742" s="224">
        <v>0</v>
      </c>
    </row>
    <row r="3743" spans="1:9" ht="15.5" x14ac:dyDescent="0.35">
      <c r="A3743" s="224" t="s">
        <v>247</v>
      </c>
      <c r="B3743" s="224" t="s">
        <v>45</v>
      </c>
      <c r="C3743" s="224" t="s">
        <v>89</v>
      </c>
      <c r="D3743" s="224" t="s">
        <v>9</v>
      </c>
      <c r="E3743" s="224" t="s">
        <v>256</v>
      </c>
      <c r="F3743" s="224" t="s">
        <v>10</v>
      </c>
      <c r="G3743" s="223" t="str">
        <f>VLOOKUP($B3743,'FRS geographical categories'!$A$2:$C$45,2,FALSE)</f>
        <v>Significantly Rural</v>
      </c>
      <c r="H3743" s="223" t="str">
        <f>VLOOKUP($B3743,'FRS geographical categories'!$A$2:$C$45,3,FALSE)</f>
        <v>Non-metropolitan</v>
      </c>
      <c r="I3743" s="224">
        <v>0</v>
      </c>
    </row>
    <row r="3744" spans="1:9" ht="15.5" x14ac:dyDescent="0.35">
      <c r="A3744" s="224" t="s">
        <v>247</v>
      </c>
      <c r="B3744" s="224" t="s">
        <v>45</v>
      </c>
      <c r="C3744" s="224" t="s">
        <v>89</v>
      </c>
      <c r="D3744" s="224" t="s">
        <v>55</v>
      </c>
      <c r="E3744" s="224" t="s">
        <v>256</v>
      </c>
      <c r="F3744" s="224" t="s">
        <v>248</v>
      </c>
      <c r="G3744" s="223" t="str">
        <f>VLOOKUP($B3744,'FRS geographical categories'!$A$2:$C$45,2,FALSE)</f>
        <v>Significantly Rural</v>
      </c>
      <c r="H3744" s="223" t="str">
        <f>VLOOKUP($B3744,'FRS geographical categories'!$A$2:$C$45,3,FALSE)</f>
        <v>Non-metropolitan</v>
      </c>
      <c r="I3744" s="224">
        <v>0</v>
      </c>
    </row>
    <row r="3745" spans="1:9" ht="15.5" x14ac:dyDescent="0.35">
      <c r="A3745" s="224" t="s">
        <v>247</v>
      </c>
      <c r="B3745" s="224" t="s">
        <v>45</v>
      </c>
      <c r="C3745" s="224" t="s">
        <v>89</v>
      </c>
      <c r="D3745" s="224" t="s">
        <v>55</v>
      </c>
      <c r="E3745" s="224" t="s">
        <v>256</v>
      </c>
      <c r="F3745" s="224" t="s">
        <v>249</v>
      </c>
      <c r="G3745" s="223" t="str">
        <f>VLOOKUP($B3745,'FRS geographical categories'!$A$2:$C$45,2,FALSE)</f>
        <v>Significantly Rural</v>
      </c>
      <c r="H3745" s="223" t="str">
        <f>VLOOKUP($B3745,'FRS geographical categories'!$A$2:$C$45,3,FALSE)</f>
        <v>Non-metropolitan</v>
      </c>
      <c r="I3745" s="224">
        <v>0</v>
      </c>
    </row>
    <row r="3746" spans="1:9" ht="15.5" x14ac:dyDescent="0.35">
      <c r="A3746" s="224" t="s">
        <v>247</v>
      </c>
      <c r="B3746" s="224" t="s">
        <v>45</v>
      </c>
      <c r="C3746" s="224" t="s">
        <v>89</v>
      </c>
      <c r="D3746" s="224" t="s">
        <v>55</v>
      </c>
      <c r="E3746" s="224" t="s">
        <v>256</v>
      </c>
      <c r="F3746" s="224" t="s">
        <v>250</v>
      </c>
      <c r="G3746" s="223" t="str">
        <f>VLOOKUP($B3746,'FRS geographical categories'!$A$2:$C$45,2,FALSE)</f>
        <v>Significantly Rural</v>
      </c>
      <c r="H3746" s="223" t="str">
        <f>VLOOKUP($B3746,'FRS geographical categories'!$A$2:$C$45,3,FALSE)</f>
        <v>Non-metropolitan</v>
      </c>
      <c r="I3746" s="224">
        <v>0</v>
      </c>
    </row>
    <row r="3747" spans="1:9" ht="15.5" x14ac:dyDescent="0.35">
      <c r="A3747" s="224" t="s">
        <v>247</v>
      </c>
      <c r="B3747" s="224" t="s">
        <v>45</v>
      </c>
      <c r="C3747" s="224" t="s">
        <v>89</v>
      </c>
      <c r="D3747" s="224" t="s">
        <v>55</v>
      </c>
      <c r="E3747" s="224" t="s">
        <v>256</v>
      </c>
      <c r="F3747" s="224" t="s">
        <v>10</v>
      </c>
      <c r="G3747" s="223" t="str">
        <f>VLOOKUP($B3747,'FRS geographical categories'!$A$2:$C$45,2,FALSE)</f>
        <v>Significantly Rural</v>
      </c>
      <c r="H3747" s="223" t="str">
        <f>VLOOKUP($B3747,'FRS geographical categories'!$A$2:$C$45,3,FALSE)</f>
        <v>Non-metropolitan</v>
      </c>
      <c r="I3747" s="224">
        <v>0</v>
      </c>
    </row>
    <row r="3748" spans="1:9" ht="15.5" x14ac:dyDescent="0.35">
      <c r="A3748" s="224" t="s">
        <v>247</v>
      </c>
      <c r="B3748" s="224" t="s">
        <v>46</v>
      </c>
      <c r="C3748" s="224" t="s">
        <v>86</v>
      </c>
      <c r="D3748" s="224" t="s">
        <v>9</v>
      </c>
      <c r="E3748" s="224" t="s">
        <v>256</v>
      </c>
      <c r="F3748" s="224" t="s">
        <v>248</v>
      </c>
      <c r="G3748" s="223" t="str">
        <f>VLOOKUP($B3748,'FRS geographical categories'!$A$2:$C$45,2,FALSE)</f>
        <v>Predominantly Rural</v>
      </c>
      <c r="H3748" s="223" t="str">
        <f>VLOOKUP($B3748,'FRS geographical categories'!$A$2:$C$45,3,FALSE)</f>
        <v>Non-metropolitan</v>
      </c>
      <c r="I3748" s="224">
        <v>449</v>
      </c>
    </row>
    <row r="3749" spans="1:9" ht="15.5" x14ac:dyDescent="0.35">
      <c r="A3749" s="224" t="s">
        <v>247</v>
      </c>
      <c r="B3749" s="224" t="s">
        <v>46</v>
      </c>
      <c r="C3749" s="224" t="s">
        <v>86</v>
      </c>
      <c r="D3749" s="224" t="s">
        <v>9</v>
      </c>
      <c r="E3749" s="224" t="s">
        <v>256</v>
      </c>
      <c r="F3749" s="224" t="s">
        <v>249</v>
      </c>
      <c r="G3749" s="223" t="str">
        <f>VLOOKUP($B3749,'FRS geographical categories'!$A$2:$C$45,2,FALSE)</f>
        <v>Predominantly Rural</v>
      </c>
      <c r="H3749" s="223" t="str">
        <f>VLOOKUP($B3749,'FRS geographical categories'!$A$2:$C$45,3,FALSE)</f>
        <v>Non-metropolitan</v>
      </c>
      <c r="I3749" s="224">
        <v>1448</v>
      </c>
    </row>
    <row r="3750" spans="1:9" ht="15.5" x14ac:dyDescent="0.35">
      <c r="A3750" s="224" t="s">
        <v>247</v>
      </c>
      <c r="B3750" s="224" t="s">
        <v>46</v>
      </c>
      <c r="C3750" s="224" t="s">
        <v>86</v>
      </c>
      <c r="D3750" s="224" t="s">
        <v>9</v>
      </c>
      <c r="E3750" s="224" t="s">
        <v>256</v>
      </c>
      <c r="F3750" s="224" t="s">
        <v>250</v>
      </c>
      <c r="G3750" s="223" t="str">
        <f>VLOOKUP($B3750,'FRS geographical categories'!$A$2:$C$45,2,FALSE)</f>
        <v>Predominantly Rural</v>
      </c>
      <c r="H3750" s="223" t="str">
        <f>VLOOKUP($B3750,'FRS geographical categories'!$A$2:$C$45,3,FALSE)</f>
        <v>Non-metropolitan</v>
      </c>
      <c r="I3750" s="224">
        <v>446</v>
      </c>
    </row>
    <row r="3751" spans="1:9" ht="15.5" x14ac:dyDescent="0.35">
      <c r="A3751" s="224" t="s">
        <v>247</v>
      </c>
      <c r="B3751" s="224" t="s">
        <v>46</v>
      </c>
      <c r="C3751" s="224" t="s">
        <v>86</v>
      </c>
      <c r="D3751" s="224" t="s">
        <v>9</v>
      </c>
      <c r="E3751" s="224" t="s">
        <v>256</v>
      </c>
      <c r="F3751" s="224" t="s">
        <v>111</v>
      </c>
      <c r="G3751" s="223" t="str">
        <f>VLOOKUP($B3751,'FRS geographical categories'!$A$2:$C$45,2,FALSE)</f>
        <v>Predominantly Rural</v>
      </c>
      <c r="H3751" s="223" t="str">
        <f>VLOOKUP($B3751,'FRS geographical categories'!$A$2:$C$45,3,FALSE)</f>
        <v>Non-metropolitan</v>
      </c>
      <c r="I3751" s="224">
        <v>2343</v>
      </c>
    </row>
    <row r="3752" spans="1:9" ht="15.5" x14ac:dyDescent="0.35">
      <c r="A3752" s="224" t="s">
        <v>247</v>
      </c>
      <c r="B3752" s="224" t="s">
        <v>46</v>
      </c>
      <c r="C3752" s="224" t="s">
        <v>86</v>
      </c>
      <c r="D3752" s="224" t="s">
        <v>9</v>
      </c>
      <c r="E3752" s="224" t="s">
        <v>256</v>
      </c>
      <c r="F3752" s="224" t="s">
        <v>10</v>
      </c>
      <c r="G3752" s="223" t="str">
        <f>VLOOKUP($B3752,'FRS geographical categories'!$A$2:$C$45,2,FALSE)</f>
        <v>Predominantly Rural</v>
      </c>
      <c r="H3752" s="223" t="str">
        <f>VLOOKUP($B3752,'FRS geographical categories'!$A$2:$C$45,3,FALSE)</f>
        <v>Non-metropolitan</v>
      </c>
      <c r="I3752" s="224">
        <v>3552</v>
      </c>
    </row>
    <row r="3753" spans="1:9" ht="15.5" x14ac:dyDescent="0.35">
      <c r="A3753" s="224" t="s">
        <v>247</v>
      </c>
      <c r="B3753" s="224" t="s">
        <v>46</v>
      </c>
      <c r="C3753" s="224" t="s">
        <v>86</v>
      </c>
      <c r="D3753" s="224" t="s">
        <v>55</v>
      </c>
      <c r="E3753" s="224" t="s">
        <v>256</v>
      </c>
      <c r="F3753" s="224" t="s">
        <v>248</v>
      </c>
      <c r="G3753" s="223" t="str">
        <f>VLOOKUP($B3753,'FRS geographical categories'!$A$2:$C$45,2,FALSE)</f>
        <v>Predominantly Rural</v>
      </c>
      <c r="H3753" s="223" t="str">
        <f>VLOOKUP($B3753,'FRS geographical categories'!$A$2:$C$45,3,FALSE)</f>
        <v>Non-metropolitan</v>
      </c>
      <c r="I3753" s="224">
        <v>0</v>
      </c>
    </row>
    <row r="3754" spans="1:9" ht="15.5" x14ac:dyDescent="0.35">
      <c r="A3754" s="224" t="s">
        <v>247</v>
      </c>
      <c r="B3754" s="224" t="s">
        <v>46</v>
      </c>
      <c r="C3754" s="224" t="s">
        <v>86</v>
      </c>
      <c r="D3754" s="224" t="s">
        <v>55</v>
      </c>
      <c r="E3754" s="224" t="s">
        <v>256</v>
      </c>
      <c r="F3754" s="224" t="s">
        <v>249</v>
      </c>
      <c r="G3754" s="223" t="str">
        <f>VLOOKUP($B3754,'FRS geographical categories'!$A$2:$C$45,2,FALSE)</f>
        <v>Predominantly Rural</v>
      </c>
      <c r="H3754" s="223" t="str">
        <f>VLOOKUP($B3754,'FRS geographical categories'!$A$2:$C$45,3,FALSE)</f>
        <v>Non-metropolitan</v>
      </c>
      <c r="I3754" s="224">
        <v>0</v>
      </c>
    </row>
    <row r="3755" spans="1:9" ht="15.5" x14ac:dyDescent="0.35">
      <c r="A3755" s="224" t="s">
        <v>247</v>
      </c>
      <c r="B3755" s="224" t="s">
        <v>46</v>
      </c>
      <c r="C3755" s="224" t="s">
        <v>86</v>
      </c>
      <c r="D3755" s="224" t="s">
        <v>55</v>
      </c>
      <c r="E3755" s="224" t="s">
        <v>256</v>
      </c>
      <c r="F3755" s="224" t="s">
        <v>250</v>
      </c>
      <c r="G3755" s="223" t="str">
        <f>VLOOKUP($B3755,'FRS geographical categories'!$A$2:$C$45,2,FALSE)</f>
        <v>Predominantly Rural</v>
      </c>
      <c r="H3755" s="223" t="str">
        <f>VLOOKUP($B3755,'FRS geographical categories'!$A$2:$C$45,3,FALSE)</f>
        <v>Non-metropolitan</v>
      </c>
      <c r="I3755" s="224">
        <v>0</v>
      </c>
    </row>
    <row r="3756" spans="1:9" ht="15.5" x14ac:dyDescent="0.35">
      <c r="A3756" s="224" t="s">
        <v>247</v>
      </c>
      <c r="B3756" s="224" t="s">
        <v>46</v>
      </c>
      <c r="C3756" s="224" t="s">
        <v>86</v>
      </c>
      <c r="D3756" s="224" t="s">
        <v>55</v>
      </c>
      <c r="E3756" s="224" t="s">
        <v>256</v>
      </c>
      <c r="F3756" s="224" t="s">
        <v>111</v>
      </c>
      <c r="G3756" s="223" t="str">
        <f>VLOOKUP($B3756,'FRS geographical categories'!$A$2:$C$45,2,FALSE)</f>
        <v>Predominantly Rural</v>
      </c>
      <c r="H3756" s="223" t="str">
        <f>VLOOKUP($B3756,'FRS geographical categories'!$A$2:$C$45,3,FALSE)</f>
        <v>Non-metropolitan</v>
      </c>
      <c r="I3756" s="224">
        <v>0</v>
      </c>
    </row>
    <row r="3757" spans="1:9" ht="15.5" x14ac:dyDescent="0.35">
      <c r="A3757" s="224" t="s">
        <v>247</v>
      </c>
      <c r="B3757" s="224" t="s">
        <v>46</v>
      </c>
      <c r="C3757" s="224" t="s">
        <v>86</v>
      </c>
      <c r="D3757" s="224" t="s">
        <v>55</v>
      </c>
      <c r="E3757" s="224" t="s">
        <v>256</v>
      </c>
      <c r="F3757" s="224" t="s">
        <v>10</v>
      </c>
      <c r="G3757" s="223" t="str">
        <f>VLOOKUP($B3757,'FRS geographical categories'!$A$2:$C$45,2,FALSE)</f>
        <v>Predominantly Rural</v>
      </c>
      <c r="H3757" s="223" t="str">
        <f>VLOOKUP($B3757,'FRS geographical categories'!$A$2:$C$45,3,FALSE)</f>
        <v>Non-metropolitan</v>
      </c>
      <c r="I3757" s="224">
        <v>0</v>
      </c>
    </row>
    <row r="3758" spans="1:9" ht="15.5" x14ac:dyDescent="0.35">
      <c r="A3758" s="224" t="s">
        <v>247</v>
      </c>
      <c r="B3758" s="224" t="s">
        <v>46</v>
      </c>
      <c r="C3758" s="224" t="s">
        <v>89</v>
      </c>
      <c r="D3758" s="224" t="s">
        <v>9</v>
      </c>
      <c r="E3758" s="224" t="s">
        <v>256</v>
      </c>
      <c r="F3758" s="224" t="s">
        <v>248</v>
      </c>
      <c r="G3758" s="223" t="str">
        <f>VLOOKUP($B3758,'FRS geographical categories'!$A$2:$C$45,2,FALSE)</f>
        <v>Predominantly Rural</v>
      </c>
      <c r="H3758" s="223" t="str">
        <f>VLOOKUP($B3758,'FRS geographical categories'!$A$2:$C$45,3,FALSE)</f>
        <v>Non-metropolitan</v>
      </c>
      <c r="I3758" s="224">
        <v>0</v>
      </c>
    </row>
    <row r="3759" spans="1:9" ht="15.5" x14ac:dyDescent="0.35">
      <c r="A3759" s="224" t="s">
        <v>247</v>
      </c>
      <c r="B3759" s="224" t="s">
        <v>46</v>
      </c>
      <c r="C3759" s="224" t="s">
        <v>89</v>
      </c>
      <c r="D3759" s="224" t="s">
        <v>9</v>
      </c>
      <c r="E3759" s="224" t="s">
        <v>256</v>
      </c>
      <c r="F3759" s="224" t="s">
        <v>249</v>
      </c>
      <c r="G3759" s="223" t="str">
        <f>VLOOKUP($B3759,'FRS geographical categories'!$A$2:$C$45,2,FALSE)</f>
        <v>Predominantly Rural</v>
      </c>
      <c r="H3759" s="223" t="str">
        <f>VLOOKUP($B3759,'FRS geographical categories'!$A$2:$C$45,3,FALSE)</f>
        <v>Non-metropolitan</v>
      </c>
      <c r="I3759" s="224">
        <v>0</v>
      </c>
    </row>
    <row r="3760" spans="1:9" ht="15.5" x14ac:dyDescent="0.35">
      <c r="A3760" s="224" t="s">
        <v>247</v>
      </c>
      <c r="B3760" s="224" t="s">
        <v>46</v>
      </c>
      <c r="C3760" s="224" t="s">
        <v>89</v>
      </c>
      <c r="D3760" s="224" t="s">
        <v>9</v>
      </c>
      <c r="E3760" s="224" t="s">
        <v>256</v>
      </c>
      <c r="F3760" s="224" t="s">
        <v>250</v>
      </c>
      <c r="G3760" s="223" t="str">
        <f>VLOOKUP($B3760,'FRS geographical categories'!$A$2:$C$45,2,FALSE)</f>
        <v>Predominantly Rural</v>
      </c>
      <c r="H3760" s="223" t="str">
        <f>VLOOKUP($B3760,'FRS geographical categories'!$A$2:$C$45,3,FALSE)</f>
        <v>Non-metropolitan</v>
      </c>
      <c r="I3760" s="224">
        <v>0</v>
      </c>
    </row>
    <row r="3761" spans="1:9" ht="15.5" x14ac:dyDescent="0.35">
      <c r="A3761" s="224" t="s">
        <v>247</v>
      </c>
      <c r="B3761" s="224" t="s">
        <v>46</v>
      </c>
      <c r="C3761" s="224" t="s">
        <v>89</v>
      </c>
      <c r="D3761" s="224" t="s">
        <v>9</v>
      </c>
      <c r="E3761" s="224" t="s">
        <v>256</v>
      </c>
      <c r="F3761" s="224" t="s">
        <v>10</v>
      </c>
      <c r="G3761" s="223" t="str">
        <f>VLOOKUP($B3761,'FRS geographical categories'!$A$2:$C$45,2,FALSE)</f>
        <v>Predominantly Rural</v>
      </c>
      <c r="H3761" s="223" t="str">
        <f>VLOOKUP($B3761,'FRS geographical categories'!$A$2:$C$45,3,FALSE)</f>
        <v>Non-metropolitan</v>
      </c>
      <c r="I3761" s="224">
        <v>0</v>
      </c>
    </row>
    <row r="3762" spans="1:9" ht="15.5" x14ac:dyDescent="0.35">
      <c r="A3762" s="224" t="s">
        <v>247</v>
      </c>
      <c r="B3762" s="224" t="s">
        <v>46</v>
      </c>
      <c r="C3762" s="224" t="s">
        <v>89</v>
      </c>
      <c r="D3762" s="224" t="s">
        <v>55</v>
      </c>
      <c r="E3762" s="224" t="s">
        <v>256</v>
      </c>
      <c r="F3762" s="224" t="s">
        <v>248</v>
      </c>
      <c r="G3762" s="223" t="str">
        <f>VLOOKUP($B3762,'FRS geographical categories'!$A$2:$C$45,2,FALSE)</f>
        <v>Predominantly Rural</v>
      </c>
      <c r="H3762" s="223" t="str">
        <f>VLOOKUP($B3762,'FRS geographical categories'!$A$2:$C$45,3,FALSE)</f>
        <v>Non-metropolitan</v>
      </c>
      <c r="I3762" s="224">
        <v>0</v>
      </c>
    </row>
    <row r="3763" spans="1:9" ht="15.5" x14ac:dyDescent="0.35">
      <c r="A3763" s="224" t="s">
        <v>247</v>
      </c>
      <c r="B3763" s="224" t="s">
        <v>46</v>
      </c>
      <c r="C3763" s="224" t="s">
        <v>89</v>
      </c>
      <c r="D3763" s="224" t="s">
        <v>55</v>
      </c>
      <c r="E3763" s="224" t="s">
        <v>256</v>
      </c>
      <c r="F3763" s="224" t="s">
        <v>249</v>
      </c>
      <c r="G3763" s="223" t="str">
        <f>VLOOKUP($B3763,'FRS geographical categories'!$A$2:$C$45,2,FALSE)</f>
        <v>Predominantly Rural</v>
      </c>
      <c r="H3763" s="223" t="str">
        <f>VLOOKUP($B3763,'FRS geographical categories'!$A$2:$C$45,3,FALSE)</f>
        <v>Non-metropolitan</v>
      </c>
      <c r="I3763" s="224">
        <v>0</v>
      </c>
    </row>
    <row r="3764" spans="1:9" ht="15.5" x14ac:dyDescent="0.35">
      <c r="A3764" s="224" t="s">
        <v>247</v>
      </c>
      <c r="B3764" s="224" t="s">
        <v>46</v>
      </c>
      <c r="C3764" s="224" t="s">
        <v>89</v>
      </c>
      <c r="D3764" s="224" t="s">
        <v>55</v>
      </c>
      <c r="E3764" s="224" t="s">
        <v>256</v>
      </c>
      <c r="F3764" s="224" t="s">
        <v>250</v>
      </c>
      <c r="G3764" s="223" t="str">
        <f>VLOOKUP($B3764,'FRS geographical categories'!$A$2:$C$45,2,FALSE)</f>
        <v>Predominantly Rural</v>
      </c>
      <c r="H3764" s="223" t="str">
        <f>VLOOKUP($B3764,'FRS geographical categories'!$A$2:$C$45,3,FALSE)</f>
        <v>Non-metropolitan</v>
      </c>
      <c r="I3764" s="224">
        <v>0</v>
      </c>
    </row>
    <row r="3765" spans="1:9" ht="15.5" x14ac:dyDescent="0.35">
      <c r="A3765" s="224" t="s">
        <v>247</v>
      </c>
      <c r="B3765" s="224" t="s">
        <v>46</v>
      </c>
      <c r="C3765" s="224" t="s">
        <v>89</v>
      </c>
      <c r="D3765" s="224" t="s">
        <v>55</v>
      </c>
      <c r="E3765" s="224" t="s">
        <v>256</v>
      </c>
      <c r="F3765" s="224" t="s">
        <v>10</v>
      </c>
      <c r="G3765" s="223" t="str">
        <f>VLOOKUP($B3765,'FRS geographical categories'!$A$2:$C$45,2,FALSE)</f>
        <v>Predominantly Rural</v>
      </c>
      <c r="H3765" s="223" t="str">
        <f>VLOOKUP($B3765,'FRS geographical categories'!$A$2:$C$45,3,FALSE)</f>
        <v>Non-metropolitan</v>
      </c>
      <c r="I3765" s="224">
        <v>0</v>
      </c>
    </row>
    <row r="3766" spans="1:9" ht="15.5" x14ac:dyDescent="0.35">
      <c r="A3766" s="224" t="s">
        <v>247</v>
      </c>
      <c r="B3766" s="224" t="s">
        <v>47</v>
      </c>
      <c r="C3766" s="224" t="s">
        <v>86</v>
      </c>
      <c r="D3766" s="224" t="s">
        <v>9</v>
      </c>
      <c r="E3766" s="224" t="s">
        <v>256</v>
      </c>
      <c r="F3766" s="224" t="s">
        <v>248</v>
      </c>
      <c r="G3766" s="223" t="str">
        <f>VLOOKUP($B3766,'FRS geographical categories'!$A$2:$C$45,2,FALSE)</f>
        <v>Predominantly Urban</v>
      </c>
      <c r="H3766" s="223" t="str">
        <f>VLOOKUP($B3766,'FRS geographical categories'!$A$2:$C$45,3,FALSE)</f>
        <v>Non-metropolitan</v>
      </c>
      <c r="I3766" s="224">
        <v>363</v>
      </c>
    </row>
    <row r="3767" spans="1:9" ht="15.5" x14ac:dyDescent="0.35">
      <c r="A3767" s="224" t="s">
        <v>247</v>
      </c>
      <c r="B3767" s="224" t="s">
        <v>47</v>
      </c>
      <c r="C3767" s="224" t="s">
        <v>86</v>
      </c>
      <c r="D3767" s="224" t="s">
        <v>9</v>
      </c>
      <c r="E3767" s="224" t="s">
        <v>256</v>
      </c>
      <c r="F3767" s="224" t="s">
        <v>249</v>
      </c>
      <c r="G3767" s="223" t="str">
        <f>VLOOKUP($B3767,'FRS geographical categories'!$A$2:$C$45,2,FALSE)</f>
        <v>Predominantly Urban</v>
      </c>
      <c r="H3767" s="223" t="str">
        <f>VLOOKUP($B3767,'FRS geographical categories'!$A$2:$C$45,3,FALSE)</f>
        <v>Non-metropolitan</v>
      </c>
      <c r="I3767" s="224">
        <v>3074</v>
      </c>
    </row>
    <row r="3768" spans="1:9" ht="15.5" x14ac:dyDescent="0.35">
      <c r="A3768" s="224" t="s">
        <v>247</v>
      </c>
      <c r="B3768" s="224" t="s">
        <v>47</v>
      </c>
      <c r="C3768" s="224" t="s">
        <v>86</v>
      </c>
      <c r="D3768" s="224" t="s">
        <v>9</v>
      </c>
      <c r="E3768" s="224" t="s">
        <v>256</v>
      </c>
      <c r="F3768" s="224" t="s">
        <v>250</v>
      </c>
      <c r="G3768" s="223" t="str">
        <f>VLOOKUP($B3768,'FRS geographical categories'!$A$2:$C$45,2,FALSE)</f>
        <v>Predominantly Urban</v>
      </c>
      <c r="H3768" s="223" t="str">
        <f>VLOOKUP($B3768,'FRS geographical categories'!$A$2:$C$45,3,FALSE)</f>
        <v>Non-metropolitan</v>
      </c>
      <c r="I3768" s="224">
        <v>1234</v>
      </c>
    </row>
    <row r="3769" spans="1:9" ht="15.5" x14ac:dyDescent="0.35">
      <c r="A3769" s="224" t="s">
        <v>247</v>
      </c>
      <c r="B3769" s="224" t="s">
        <v>47</v>
      </c>
      <c r="C3769" s="224" t="s">
        <v>86</v>
      </c>
      <c r="D3769" s="224" t="s">
        <v>9</v>
      </c>
      <c r="E3769" s="224" t="s">
        <v>256</v>
      </c>
      <c r="F3769" s="224" t="s">
        <v>111</v>
      </c>
      <c r="G3769" s="223" t="str">
        <f>VLOOKUP($B3769,'FRS geographical categories'!$A$2:$C$45,2,FALSE)</f>
        <v>Predominantly Urban</v>
      </c>
      <c r="H3769" s="223" t="str">
        <f>VLOOKUP($B3769,'FRS geographical categories'!$A$2:$C$45,3,FALSE)</f>
        <v>Non-metropolitan</v>
      </c>
      <c r="I3769" s="224">
        <v>5338</v>
      </c>
    </row>
    <row r="3770" spans="1:9" ht="15.5" x14ac:dyDescent="0.35">
      <c r="A3770" s="224" t="s">
        <v>247</v>
      </c>
      <c r="B3770" s="224" t="s">
        <v>47</v>
      </c>
      <c r="C3770" s="224" t="s">
        <v>86</v>
      </c>
      <c r="D3770" s="224" t="s">
        <v>9</v>
      </c>
      <c r="E3770" s="224" t="s">
        <v>256</v>
      </c>
      <c r="F3770" s="224" t="s">
        <v>10</v>
      </c>
      <c r="G3770" s="223" t="str">
        <f>VLOOKUP($B3770,'FRS geographical categories'!$A$2:$C$45,2,FALSE)</f>
        <v>Predominantly Urban</v>
      </c>
      <c r="H3770" s="223" t="str">
        <f>VLOOKUP($B3770,'FRS geographical categories'!$A$2:$C$45,3,FALSE)</f>
        <v>Non-metropolitan</v>
      </c>
      <c r="I3770" s="224">
        <v>5727</v>
      </c>
    </row>
    <row r="3771" spans="1:9" ht="15.5" x14ac:dyDescent="0.35">
      <c r="A3771" s="224" t="s">
        <v>247</v>
      </c>
      <c r="B3771" s="224" t="s">
        <v>47</v>
      </c>
      <c r="C3771" s="224" t="s">
        <v>86</v>
      </c>
      <c r="D3771" s="224" t="s">
        <v>55</v>
      </c>
      <c r="E3771" s="224" t="s">
        <v>256</v>
      </c>
      <c r="F3771" s="224" t="s">
        <v>248</v>
      </c>
      <c r="G3771" s="223" t="str">
        <f>VLOOKUP($B3771,'FRS geographical categories'!$A$2:$C$45,2,FALSE)</f>
        <v>Predominantly Urban</v>
      </c>
      <c r="H3771" s="223" t="str">
        <f>VLOOKUP($B3771,'FRS geographical categories'!$A$2:$C$45,3,FALSE)</f>
        <v>Non-metropolitan</v>
      </c>
      <c r="I3771" s="224">
        <v>0</v>
      </c>
    </row>
    <row r="3772" spans="1:9" ht="15.5" x14ac:dyDescent="0.35">
      <c r="A3772" s="224" t="s">
        <v>247</v>
      </c>
      <c r="B3772" s="224" t="s">
        <v>47</v>
      </c>
      <c r="C3772" s="224" t="s">
        <v>86</v>
      </c>
      <c r="D3772" s="224" t="s">
        <v>55</v>
      </c>
      <c r="E3772" s="224" t="s">
        <v>256</v>
      </c>
      <c r="F3772" s="224" t="s">
        <v>249</v>
      </c>
      <c r="G3772" s="223" t="str">
        <f>VLOOKUP($B3772,'FRS geographical categories'!$A$2:$C$45,2,FALSE)</f>
        <v>Predominantly Urban</v>
      </c>
      <c r="H3772" s="223" t="str">
        <f>VLOOKUP($B3772,'FRS geographical categories'!$A$2:$C$45,3,FALSE)</f>
        <v>Non-metropolitan</v>
      </c>
      <c r="I3772" s="224">
        <v>0</v>
      </c>
    </row>
    <row r="3773" spans="1:9" ht="15.5" x14ac:dyDescent="0.35">
      <c r="A3773" s="224" t="s">
        <v>247</v>
      </c>
      <c r="B3773" s="224" t="s">
        <v>47</v>
      </c>
      <c r="C3773" s="224" t="s">
        <v>86</v>
      </c>
      <c r="D3773" s="224" t="s">
        <v>55</v>
      </c>
      <c r="E3773" s="224" t="s">
        <v>256</v>
      </c>
      <c r="F3773" s="224" t="s">
        <v>250</v>
      </c>
      <c r="G3773" s="223" t="str">
        <f>VLOOKUP($B3773,'FRS geographical categories'!$A$2:$C$45,2,FALSE)</f>
        <v>Predominantly Urban</v>
      </c>
      <c r="H3773" s="223" t="str">
        <f>VLOOKUP($B3773,'FRS geographical categories'!$A$2:$C$45,3,FALSE)</f>
        <v>Non-metropolitan</v>
      </c>
      <c r="I3773" s="224">
        <v>0</v>
      </c>
    </row>
    <row r="3774" spans="1:9" ht="15.5" x14ac:dyDescent="0.35">
      <c r="A3774" s="224" t="s">
        <v>247</v>
      </c>
      <c r="B3774" s="224" t="s">
        <v>47</v>
      </c>
      <c r="C3774" s="224" t="s">
        <v>86</v>
      </c>
      <c r="D3774" s="224" t="s">
        <v>55</v>
      </c>
      <c r="E3774" s="224" t="s">
        <v>256</v>
      </c>
      <c r="F3774" s="224" t="s">
        <v>111</v>
      </c>
      <c r="G3774" s="223" t="str">
        <f>VLOOKUP($B3774,'FRS geographical categories'!$A$2:$C$45,2,FALSE)</f>
        <v>Predominantly Urban</v>
      </c>
      <c r="H3774" s="223" t="str">
        <f>VLOOKUP($B3774,'FRS geographical categories'!$A$2:$C$45,3,FALSE)</f>
        <v>Non-metropolitan</v>
      </c>
      <c r="I3774" s="224">
        <v>0</v>
      </c>
    </row>
    <row r="3775" spans="1:9" ht="15.5" x14ac:dyDescent="0.35">
      <c r="A3775" s="224" t="s">
        <v>247</v>
      </c>
      <c r="B3775" s="224" t="s">
        <v>47</v>
      </c>
      <c r="C3775" s="224" t="s">
        <v>86</v>
      </c>
      <c r="D3775" s="224" t="s">
        <v>55</v>
      </c>
      <c r="E3775" s="224" t="s">
        <v>256</v>
      </c>
      <c r="F3775" s="224" t="s">
        <v>10</v>
      </c>
      <c r="G3775" s="223" t="str">
        <f>VLOOKUP($B3775,'FRS geographical categories'!$A$2:$C$45,2,FALSE)</f>
        <v>Predominantly Urban</v>
      </c>
      <c r="H3775" s="223" t="str">
        <f>VLOOKUP($B3775,'FRS geographical categories'!$A$2:$C$45,3,FALSE)</f>
        <v>Non-metropolitan</v>
      </c>
      <c r="I3775" s="224">
        <v>0</v>
      </c>
    </row>
    <row r="3776" spans="1:9" ht="15.5" x14ac:dyDescent="0.35">
      <c r="A3776" s="224" t="s">
        <v>247</v>
      </c>
      <c r="B3776" s="224" t="s">
        <v>47</v>
      </c>
      <c r="C3776" s="224" t="s">
        <v>89</v>
      </c>
      <c r="D3776" s="224" t="s">
        <v>9</v>
      </c>
      <c r="E3776" s="224" t="s">
        <v>256</v>
      </c>
      <c r="F3776" s="224" t="s">
        <v>248</v>
      </c>
      <c r="G3776" s="223" t="str">
        <f>VLOOKUP($B3776,'FRS geographical categories'!$A$2:$C$45,2,FALSE)</f>
        <v>Predominantly Urban</v>
      </c>
      <c r="H3776" s="223" t="str">
        <f>VLOOKUP($B3776,'FRS geographical categories'!$A$2:$C$45,3,FALSE)</f>
        <v>Non-metropolitan</v>
      </c>
      <c r="I3776" s="224">
        <v>0</v>
      </c>
    </row>
    <row r="3777" spans="1:9" ht="15.5" x14ac:dyDescent="0.35">
      <c r="A3777" s="224" t="s">
        <v>247</v>
      </c>
      <c r="B3777" s="224" t="s">
        <v>47</v>
      </c>
      <c r="C3777" s="224" t="s">
        <v>89</v>
      </c>
      <c r="D3777" s="224" t="s">
        <v>9</v>
      </c>
      <c r="E3777" s="224" t="s">
        <v>256</v>
      </c>
      <c r="F3777" s="224" t="s">
        <v>249</v>
      </c>
      <c r="G3777" s="223" t="str">
        <f>VLOOKUP($B3777,'FRS geographical categories'!$A$2:$C$45,2,FALSE)</f>
        <v>Predominantly Urban</v>
      </c>
      <c r="H3777" s="223" t="str">
        <f>VLOOKUP($B3777,'FRS geographical categories'!$A$2:$C$45,3,FALSE)</f>
        <v>Non-metropolitan</v>
      </c>
      <c r="I3777" s="224">
        <v>0</v>
      </c>
    </row>
    <row r="3778" spans="1:9" ht="15.5" x14ac:dyDescent="0.35">
      <c r="A3778" s="224" t="s">
        <v>247</v>
      </c>
      <c r="B3778" s="224" t="s">
        <v>47</v>
      </c>
      <c r="C3778" s="224" t="s">
        <v>89</v>
      </c>
      <c r="D3778" s="224" t="s">
        <v>9</v>
      </c>
      <c r="E3778" s="224" t="s">
        <v>256</v>
      </c>
      <c r="F3778" s="224" t="s">
        <v>250</v>
      </c>
      <c r="G3778" s="223" t="str">
        <f>VLOOKUP($B3778,'FRS geographical categories'!$A$2:$C$45,2,FALSE)</f>
        <v>Predominantly Urban</v>
      </c>
      <c r="H3778" s="223" t="str">
        <f>VLOOKUP($B3778,'FRS geographical categories'!$A$2:$C$45,3,FALSE)</f>
        <v>Non-metropolitan</v>
      </c>
      <c r="I3778" s="224">
        <v>0</v>
      </c>
    </row>
    <row r="3779" spans="1:9" ht="15.5" x14ac:dyDescent="0.35">
      <c r="A3779" s="224" t="s">
        <v>247</v>
      </c>
      <c r="B3779" s="224" t="s">
        <v>47</v>
      </c>
      <c r="C3779" s="224" t="s">
        <v>89</v>
      </c>
      <c r="D3779" s="224" t="s">
        <v>9</v>
      </c>
      <c r="E3779" s="224" t="s">
        <v>256</v>
      </c>
      <c r="F3779" s="224" t="s">
        <v>10</v>
      </c>
      <c r="G3779" s="223" t="str">
        <f>VLOOKUP($B3779,'FRS geographical categories'!$A$2:$C$45,2,FALSE)</f>
        <v>Predominantly Urban</v>
      </c>
      <c r="H3779" s="223" t="str">
        <f>VLOOKUP($B3779,'FRS geographical categories'!$A$2:$C$45,3,FALSE)</f>
        <v>Non-metropolitan</v>
      </c>
      <c r="I3779" s="224">
        <v>0</v>
      </c>
    </row>
    <row r="3780" spans="1:9" ht="15.5" x14ac:dyDescent="0.35">
      <c r="A3780" s="224" t="s">
        <v>247</v>
      </c>
      <c r="B3780" s="224" t="s">
        <v>47</v>
      </c>
      <c r="C3780" s="224" t="s">
        <v>89</v>
      </c>
      <c r="D3780" s="224" t="s">
        <v>55</v>
      </c>
      <c r="E3780" s="224" t="s">
        <v>256</v>
      </c>
      <c r="F3780" s="224" t="s">
        <v>248</v>
      </c>
      <c r="G3780" s="223" t="str">
        <f>VLOOKUP($B3780,'FRS geographical categories'!$A$2:$C$45,2,FALSE)</f>
        <v>Predominantly Urban</v>
      </c>
      <c r="H3780" s="223" t="str">
        <f>VLOOKUP($B3780,'FRS geographical categories'!$A$2:$C$45,3,FALSE)</f>
        <v>Non-metropolitan</v>
      </c>
      <c r="I3780" s="224">
        <v>0</v>
      </c>
    </row>
    <row r="3781" spans="1:9" ht="15.5" x14ac:dyDescent="0.35">
      <c r="A3781" s="224" t="s">
        <v>247</v>
      </c>
      <c r="B3781" s="224" t="s">
        <v>47</v>
      </c>
      <c r="C3781" s="224" t="s">
        <v>89</v>
      </c>
      <c r="D3781" s="224" t="s">
        <v>55</v>
      </c>
      <c r="E3781" s="224" t="s">
        <v>256</v>
      </c>
      <c r="F3781" s="224" t="s">
        <v>249</v>
      </c>
      <c r="G3781" s="223" t="str">
        <f>VLOOKUP($B3781,'FRS geographical categories'!$A$2:$C$45,2,FALSE)</f>
        <v>Predominantly Urban</v>
      </c>
      <c r="H3781" s="223" t="str">
        <f>VLOOKUP($B3781,'FRS geographical categories'!$A$2:$C$45,3,FALSE)</f>
        <v>Non-metropolitan</v>
      </c>
      <c r="I3781" s="224">
        <v>0</v>
      </c>
    </row>
    <row r="3782" spans="1:9" ht="15.5" x14ac:dyDescent="0.35">
      <c r="A3782" s="224" t="s">
        <v>247</v>
      </c>
      <c r="B3782" s="224" t="s">
        <v>47</v>
      </c>
      <c r="C3782" s="224" t="s">
        <v>89</v>
      </c>
      <c r="D3782" s="224" t="s">
        <v>55</v>
      </c>
      <c r="E3782" s="224" t="s">
        <v>256</v>
      </c>
      <c r="F3782" s="224" t="s">
        <v>250</v>
      </c>
      <c r="G3782" s="223" t="str">
        <f>VLOOKUP($B3782,'FRS geographical categories'!$A$2:$C$45,2,FALSE)</f>
        <v>Predominantly Urban</v>
      </c>
      <c r="H3782" s="223" t="str">
        <f>VLOOKUP($B3782,'FRS geographical categories'!$A$2:$C$45,3,FALSE)</f>
        <v>Non-metropolitan</v>
      </c>
      <c r="I3782" s="224">
        <v>0</v>
      </c>
    </row>
    <row r="3783" spans="1:9" ht="15.5" x14ac:dyDescent="0.35">
      <c r="A3783" s="224" t="s">
        <v>247</v>
      </c>
      <c r="B3783" s="224" t="s">
        <v>47</v>
      </c>
      <c r="C3783" s="224" t="s">
        <v>89</v>
      </c>
      <c r="D3783" s="224" t="s">
        <v>55</v>
      </c>
      <c r="E3783" s="224" t="s">
        <v>256</v>
      </c>
      <c r="F3783" s="224" t="s">
        <v>10</v>
      </c>
      <c r="G3783" s="223" t="str">
        <f>VLOOKUP($B3783,'FRS geographical categories'!$A$2:$C$45,2,FALSE)</f>
        <v>Predominantly Urban</v>
      </c>
      <c r="H3783" s="223" t="str">
        <f>VLOOKUP($B3783,'FRS geographical categories'!$A$2:$C$45,3,FALSE)</f>
        <v>Non-metropolitan</v>
      </c>
      <c r="I3783" s="224">
        <v>0</v>
      </c>
    </row>
    <row r="3784" spans="1:9" ht="15.5" x14ac:dyDescent="0.35">
      <c r="A3784" s="224" t="s">
        <v>247</v>
      </c>
      <c r="B3784" s="224" t="s">
        <v>48</v>
      </c>
      <c r="C3784" s="224" t="s">
        <v>86</v>
      </c>
      <c r="D3784" s="224" t="s">
        <v>9</v>
      </c>
      <c r="E3784" s="224" t="s">
        <v>256</v>
      </c>
      <c r="F3784" s="224" t="s">
        <v>248</v>
      </c>
      <c r="G3784" s="223" t="str">
        <f>VLOOKUP($B3784,'FRS geographical categories'!$A$2:$C$45,2,FALSE)</f>
        <v>Predominantly Urban</v>
      </c>
      <c r="H3784" s="223" t="str">
        <f>VLOOKUP($B3784,'FRS geographical categories'!$A$2:$C$45,3,FALSE)</f>
        <v>Metropolitan</v>
      </c>
      <c r="I3784" s="224">
        <v>2783</v>
      </c>
    </row>
    <row r="3785" spans="1:9" ht="15.5" x14ac:dyDescent="0.35">
      <c r="A3785" s="224" t="s">
        <v>247</v>
      </c>
      <c r="B3785" s="224" t="s">
        <v>48</v>
      </c>
      <c r="C3785" s="224" t="s">
        <v>86</v>
      </c>
      <c r="D3785" s="224" t="s">
        <v>9</v>
      </c>
      <c r="E3785" s="224" t="s">
        <v>256</v>
      </c>
      <c r="F3785" s="224" t="s">
        <v>249</v>
      </c>
      <c r="G3785" s="223" t="str">
        <f>VLOOKUP($B3785,'FRS geographical categories'!$A$2:$C$45,2,FALSE)</f>
        <v>Predominantly Urban</v>
      </c>
      <c r="H3785" s="223" t="str">
        <f>VLOOKUP($B3785,'FRS geographical categories'!$A$2:$C$45,3,FALSE)</f>
        <v>Metropolitan</v>
      </c>
      <c r="I3785" s="224">
        <v>6442</v>
      </c>
    </row>
    <row r="3786" spans="1:9" ht="15.5" x14ac:dyDescent="0.35">
      <c r="A3786" s="224" t="s">
        <v>247</v>
      </c>
      <c r="B3786" s="224" t="s">
        <v>48</v>
      </c>
      <c r="C3786" s="224" t="s">
        <v>86</v>
      </c>
      <c r="D3786" s="224" t="s">
        <v>9</v>
      </c>
      <c r="E3786" s="224" t="s">
        <v>256</v>
      </c>
      <c r="F3786" s="224" t="s">
        <v>250</v>
      </c>
      <c r="G3786" s="223" t="str">
        <f>VLOOKUP($B3786,'FRS geographical categories'!$A$2:$C$45,2,FALSE)</f>
        <v>Predominantly Urban</v>
      </c>
      <c r="H3786" s="223" t="str">
        <f>VLOOKUP($B3786,'FRS geographical categories'!$A$2:$C$45,3,FALSE)</f>
        <v>Metropolitan</v>
      </c>
      <c r="I3786" s="224">
        <v>5271</v>
      </c>
    </row>
    <row r="3787" spans="1:9" ht="15.5" x14ac:dyDescent="0.35">
      <c r="A3787" s="224" t="s">
        <v>247</v>
      </c>
      <c r="B3787" s="224" t="s">
        <v>48</v>
      </c>
      <c r="C3787" s="224" t="s">
        <v>86</v>
      </c>
      <c r="D3787" s="224" t="s">
        <v>9</v>
      </c>
      <c r="E3787" s="224" t="s">
        <v>256</v>
      </c>
      <c r="F3787" s="224" t="s">
        <v>111</v>
      </c>
      <c r="G3787" s="223" t="str">
        <f>VLOOKUP($B3787,'FRS geographical categories'!$A$2:$C$45,2,FALSE)</f>
        <v>Predominantly Urban</v>
      </c>
      <c r="H3787" s="223" t="str">
        <f>VLOOKUP($B3787,'FRS geographical categories'!$A$2:$C$45,3,FALSE)</f>
        <v>Metropolitan</v>
      </c>
      <c r="I3787" s="224">
        <v>18192</v>
      </c>
    </row>
    <row r="3788" spans="1:9" ht="15.5" x14ac:dyDescent="0.35">
      <c r="A3788" s="224" t="s">
        <v>247</v>
      </c>
      <c r="B3788" s="224" t="s">
        <v>48</v>
      </c>
      <c r="C3788" s="224" t="s">
        <v>86</v>
      </c>
      <c r="D3788" s="224" t="s">
        <v>9</v>
      </c>
      <c r="E3788" s="224" t="s">
        <v>256</v>
      </c>
      <c r="F3788" s="224" t="s">
        <v>10</v>
      </c>
      <c r="G3788" s="223" t="str">
        <f>VLOOKUP($B3788,'FRS geographical categories'!$A$2:$C$45,2,FALSE)</f>
        <v>Predominantly Urban</v>
      </c>
      <c r="H3788" s="223" t="str">
        <f>VLOOKUP($B3788,'FRS geographical categories'!$A$2:$C$45,3,FALSE)</f>
        <v>Metropolitan</v>
      </c>
      <c r="I3788" s="224">
        <v>20762</v>
      </c>
    </row>
    <row r="3789" spans="1:9" ht="15.5" x14ac:dyDescent="0.35">
      <c r="A3789" s="224" t="s">
        <v>247</v>
      </c>
      <c r="B3789" s="224" t="s">
        <v>48</v>
      </c>
      <c r="C3789" s="224" t="s">
        <v>86</v>
      </c>
      <c r="D3789" s="224" t="s">
        <v>55</v>
      </c>
      <c r="E3789" s="224" t="s">
        <v>256</v>
      </c>
      <c r="F3789" s="224" t="s">
        <v>248</v>
      </c>
      <c r="G3789" s="223" t="str">
        <f>VLOOKUP($B3789,'FRS geographical categories'!$A$2:$C$45,2,FALSE)</f>
        <v>Predominantly Urban</v>
      </c>
      <c r="H3789" s="223" t="str">
        <f>VLOOKUP($B3789,'FRS geographical categories'!$A$2:$C$45,3,FALSE)</f>
        <v>Metropolitan</v>
      </c>
      <c r="I3789" s="224">
        <v>0</v>
      </c>
    </row>
    <row r="3790" spans="1:9" ht="15.5" x14ac:dyDescent="0.35">
      <c r="A3790" s="224" t="s">
        <v>247</v>
      </c>
      <c r="B3790" s="224" t="s">
        <v>48</v>
      </c>
      <c r="C3790" s="224" t="s">
        <v>86</v>
      </c>
      <c r="D3790" s="224" t="s">
        <v>55</v>
      </c>
      <c r="E3790" s="224" t="s">
        <v>256</v>
      </c>
      <c r="F3790" s="224" t="s">
        <v>249</v>
      </c>
      <c r="G3790" s="223" t="str">
        <f>VLOOKUP($B3790,'FRS geographical categories'!$A$2:$C$45,2,FALSE)</f>
        <v>Predominantly Urban</v>
      </c>
      <c r="H3790" s="223" t="str">
        <f>VLOOKUP($B3790,'FRS geographical categories'!$A$2:$C$45,3,FALSE)</f>
        <v>Metropolitan</v>
      </c>
      <c r="I3790" s="224">
        <v>0</v>
      </c>
    </row>
    <row r="3791" spans="1:9" ht="15.5" x14ac:dyDescent="0.35">
      <c r="A3791" s="224" t="s">
        <v>247</v>
      </c>
      <c r="B3791" s="224" t="s">
        <v>48</v>
      </c>
      <c r="C3791" s="224" t="s">
        <v>86</v>
      </c>
      <c r="D3791" s="224" t="s">
        <v>55</v>
      </c>
      <c r="E3791" s="224" t="s">
        <v>256</v>
      </c>
      <c r="F3791" s="224" t="s">
        <v>250</v>
      </c>
      <c r="G3791" s="223" t="str">
        <f>VLOOKUP($B3791,'FRS geographical categories'!$A$2:$C$45,2,FALSE)</f>
        <v>Predominantly Urban</v>
      </c>
      <c r="H3791" s="223" t="str">
        <f>VLOOKUP($B3791,'FRS geographical categories'!$A$2:$C$45,3,FALSE)</f>
        <v>Metropolitan</v>
      </c>
      <c r="I3791" s="224">
        <v>0</v>
      </c>
    </row>
    <row r="3792" spans="1:9" ht="15.5" x14ac:dyDescent="0.35">
      <c r="A3792" s="224" t="s">
        <v>247</v>
      </c>
      <c r="B3792" s="224" t="s">
        <v>48</v>
      </c>
      <c r="C3792" s="224" t="s">
        <v>86</v>
      </c>
      <c r="D3792" s="224" t="s">
        <v>55</v>
      </c>
      <c r="E3792" s="224" t="s">
        <v>256</v>
      </c>
      <c r="F3792" s="224" t="s">
        <v>111</v>
      </c>
      <c r="G3792" s="223" t="str">
        <f>VLOOKUP($B3792,'FRS geographical categories'!$A$2:$C$45,2,FALSE)</f>
        <v>Predominantly Urban</v>
      </c>
      <c r="H3792" s="223" t="str">
        <f>VLOOKUP($B3792,'FRS geographical categories'!$A$2:$C$45,3,FALSE)</f>
        <v>Metropolitan</v>
      </c>
      <c r="I3792" s="224">
        <v>0</v>
      </c>
    </row>
    <row r="3793" spans="1:9" ht="15.5" x14ac:dyDescent="0.35">
      <c r="A3793" s="224" t="s">
        <v>247</v>
      </c>
      <c r="B3793" s="224" t="s">
        <v>48</v>
      </c>
      <c r="C3793" s="224" t="s">
        <v>86</v>
      </c>
      <c r="D3793" s="224" t="s">
        <v>55</v>
      </c>
      <c r="E3793" s="224" t="s">
        <v>256</v>
      </c>
      <c r="F3793" s="224" t="s">
        <v>10</v>
      </c>
      <c r="G3793" s="223" t="str">
        <f>VLOOKUP($B3793,'FRS geographical categories'!$A$2:$C$45,2,FALSE)</f>
        <v>Predominantly Urban</v>
      </c>
      <c r="H3793" s="223" t="str">
        <f>VLOOKUP($B3793,'FRS geographical categories'!$A$2:$C$45,3,FALSE)</f>
        <v>Metropolitan</v>
      </c>
      <c r="I3793" s="224">
        <v>0</v>
      </c>
    </row>
    <row r="3794" spans="1:9" ht="15.5" x14ac:dyDescent="0.35">
      <c r="A3794" s="224" t="s">
        <v>247</v>
      </c>
      <c r="B3794" s="224" t="s">
        <v>48</v>
      </c>
      <c r="C3794" s="224" t="s">
        <v>89</v>
      </c>
      <c r="D3794" s="224" t="s">
        <v>9</v>
      </c>
      <c r="E3794" s="224" t="s">
        <v>256</v>
      </c>
      <c r="F3794" s="224" t="s">
        <v>248</v>
      </c>
      <c r="G3794" s="223" t="str">
        <f>VLOOKUP($B3794,'FRS geographical categories'!$A$2:$C$45,2,FALSE)</f>
        <v>Predominantly Urban</v>
      </c>
      <c r="H3794" s="223" t="str">
        <f>VLOOKUP($B3794,'FRS geographical categories'!$A$2:$C$45,3,FALSE)</f>
        <v>Metropolitan</v>
      </c>
      <c r="I3794" s="224">
        <v>228</v>
      </c>
    </row>
    <row r="3795" spans="1:9" ht="15.5" x14ac:dyDescent="0.35">
      <c r="A3795" s="224" t="s">
        <v>247</v>
      </c>
      <c r="B3795" s="224" t="s">
        <v>48</v>
      </c>
      <c r="C3795" s="224" t="s">
        <v>89</v>
      </c>
      <c r="D3795" s="224" t="s">
        <v>9</v>
      </c>
      <c r="E3795" s="224" t="s">
        <v>256</v>
      </c>
      <c r="F3795" s="224" t="s">
        <v>249</v>
      </c>
      <c r="G3795" s="223" t="str">
        <f>VLOOKUP($B3795,'FRS geographical categories'!$A$2:$C$45,2,FALSE)</f>
        <v>Predominantly Urban</v>
      </c>
      <c r="H3795" s="223" t="str">
        <f>VLOOKUP($B3795,'FRS geographical categories'!$A$2:$C$45,3,FALSE)</f>
        <v>Metropolitan</v>
      </c>
      <c r="I3795" s="224">
        <v>593</v>
      </c>
    </row>
    <row r="3796" spans="1:9" ht="15.5" x14ac:dyDescent="0.35">
      <c r="A3796" s="224" t="s">
        <v>247</v>
      </c>
      <c r="B3796" s="224" t="s">
        <v>48</v>
      </c>
      <c r="C3796" s="224" t="s">
        <v>89</v>
      </c>
      <c r="D3796" s="224" t="s">
        <v>9</v>
      </c>
      <c r="E3796" s="224" t="s">
        <v>256</v>
      </c>
      <c r="F3796" s="224" t="s">
        <v>250</v>
      </c>
      <c r="G3796" s="223" t="str">
        <f>VLOOKUP($B3796,'FRS geographical categories'!$A$2:$C$45,2,FALSE)</f>
        <v>Predominantly Urban</v>
      </c>
      <c r="H3796" s="223" t="str">
        <f>VLOOKUP($B3796,'FRS geographical categories'!$A$2:$C$45,3,FALSE)</f>
        <v>Metropolitan</v>
      </c>
      <c r="I3796" s="224">
        <v>475</v>
      </c>
    </row>
    <row r="3797" spans="1:9" ht="15.5" x14ac:dyDescent="0.35">
      <c r="A3797" s="224" t="s">
        <v>247</v>
      </c>
      <c r="B3797" s="224" t="s">
        <v>48</v>
      </c>
      <c r="C3797" s="224" t="s">
        <v>89</v>
      </c>
      <c r="D3797" s="224" t="s">
        <v>9</v>
      </c>
      <c r="E3797" s="224" t="s">
        <v>256</v>
      </c>
      <c r="F3797" s="224" t="s">
        <v>10</v>
      </c>
      <c r="G3797" s="223" t="str">
        <f>VLOOKUP($B3797,'FRS geographical categories'!$A$2:$C$45,2,FALSE)</f>
        <v>Predominantly Urban</v>
      </c>
      <c r="H3797" s="223" t="str">
        <f>VLOOKUP($B3797,'FRS geographical categories'!$A$2:$C$45,3,FALSE)</f>
        <v>Metropolitan</v>
      </c>
      <c r="I3797" s="224">
        <v>1519</v>
      </c>
    </row>
    <row r="3798" spans="1:9" ht="15.5" x14ac:dyDescent="0.35">
      <c r="A3798" s="224" t="s">
        <v>247</v>
      </c>
      <c r="B3798" s="224" t="s">
        <v>48</v>
      </c>
      <c r="C3798" s="224" t="s">
        <v>89</v>
      </c>
      <c r="D3798" s="224" t="s">
        <v>55</v>
      </c>
      <c r="E3798" s="224" t="s">
        <v>256</v>
      </c>
      <c r="F3798" s="224" t="s">
        <v>248</v>
      </c>
      <c r="G3798" s="223" t="str">
        <f>VLOOKUP($B3798,'FRS geographical categories'!$A$2:$C$45,2,FALSE)</f>
        <v>Predominantly Urban</v>
      </c>
      <c r="H3798" s="223" t="str">
        <f>VLOOKUP($B3798,'FRS geographical categories'!$A$2:$C$45,3,FALSE)</f>
        <v>Metropolitan</v>
      </c>
      <c r="I3798" s="224">
        <v>0</v>
      </c>
    </row>
    <row r="3799" spans="1:9" ht="15.5" x14ac:dyDescent="0.35">
      <c r="A3799" s="224" t="s">
        <v>247</v>
      </c>
      <c r="B3799" s="224" t="s">
        <v>48</v>
      </c>
      <c r="C3799" s="224" t="s">
        <v>89</v>
      </c>
      <c r="D3799" s="224" t="s">
        <v>55</v>
      </c>
      <c r="E3799" s="224" t="s">
        <v>256</v>
      </c>
      <c r="F3799" s="224" t="s">
        <v>249</v>
      </c>
      <c r="G3799" s="223" t="str">
        <f>VLOOKUP($B3799,'FRS geographical categories'!$A$2:$C$45,2,FALSE)</f>
        <v>Predominantly Urban</v>
      </c>
      <c r="H3799" s="223" t="str">
        <f>VLOOKUP($B3799,'FRS geographical categories'!$A$2:$C$45,3,FALSE)</f>
        <v>Metropolitan</v>
      </c>
      <c r="I3799" s="224">
        <v>0</v>
      </c>
    </row>
    <row r="3800" spans="1:9" ht="15.5" x14ac:dyDescent="0.35">
      <c r="A3800" s="224" t="s">
        <v>247</v>
      </c>
      <c r="B3800" s="224" t="s">
        <v>48</v>
      </c>
      <c r="C3800" s="224" t="s">
        <v>89</v>
      </c>
      <c r="D3800" s="224" t="s">
        <v>55</v>
      </c>
      <c r="E3800" s="224" t="s">
        <v>256</v>
      </c>
      <c r="F3800" s="224" t="s">
        <v>250</v>
      </c>
      <c r="G3800" s="223" t="str">
        <f>VLOOKUP($B3800,'FRS geographical categories'!$A$2:$C$45,2,FALSE)</f>
        <v>Predominantly Urban</v>
      </c>
      <c r="H3800" s="223" t="str">
        <f>VLOOKUP($B3800,'FRS geographical categories'!$A$2:$C$45,3,FALSE)</f>
        <v>Metropolitan</v>
      </c>
      <c r="I3800" s="224">
        <v>0</v>
      </c>
    </row>
    <row r="3801" spans="1:9" ht="15.5" x14ac:dyDescent="0.35">
      <c r="A3801" s="224" t="s">
        <v>247</v>
      </c>
      <c r="B3801" s="224" t="s">
        <v>48</v>
      </c>
      <c r="C3801" s="224" t="s">
        <v>89</v>
      </c>
      <c r="D3801" s="224" t="s">
        <v>55</v>
      </c>
      <c r="E3801" s="224" t="s">
        <v>256</v>
      </c>
      <c r="F3801" s="224" t="s">
        <v>10</v>
      </c>
      <c r="G3801" s="223" t="str">
        <f>VLOOKUP($B3801,'FRS geographical categories'!$A$2:$C$45,2,FALSE)</f>
        <v>Predominantly Urban</v>
      </c>
      <c r="H3801" s="223" t="str">
        <f>VLOOKUP($B3801,'FRS geographical categories'!$A$2:$C$45,3,FALSE)</f>
        <v>Metropolitan</v>
      </c>
      <c r="I3801" s="224">
        <v>0</v>
      </c>
    </row>
    <row r="3802" spans="1:9" ht="15.5" x14ac:dyDescent="0.35">
      <c r="A3802" s="224" t="s">
        <v>247</v>
      </c>
      <c r="B3802" s="224" t="s">
        <v>49</v>
      </c>
      <c r="C3802" s="224" t="s">
        <v>86</v>
      </c>
      <c r="D3802" s="224" t="s">
        <v>9</v>
      </c>
      <c r="E3802" s="224" t="s">
        <v>256</v>
      </c>
      <c r="F3802" s="224" t="s">
        <v>248</v>
      </c>
      <c r="G3802" s="223" t="str">
        <f>VLOOKUP($B3802,'FRS geographical categories'!$A$2:$C$45,2,FALSE)</f>
        <v>Significantly Rural</v>
      </c>
      <c r="H3802" s="223" t="str">
        <f>VLOOKUP($B3802,'FRS geographical categories'!$A$2:$C$45,3,FALSE)</f>
        <v>Non-metropolitan</v>
      </c>
      <c r="I3802" s="224">
        <v>365</v>
      </c>
    </row>
    <row r="3803" spans="1:9" ht="15.5" x14ac:dyDescent="0.35">
      <c r="A3803" s="224" t="s">
        <v>247</v>
      </c>
      <c r="B3803" s="224" t="s">
        <v>49</v>
      </c>
      <c r="C3803" s="224" t="s">
        <v>86</v>
      </c>
      <c r="D3803" s="224" t="s">
        <v>9</v>
      </c>
      <c r="E3803" s="224" t="s">
        <v>256</v>
      </c>
      <c r="F3803" s="224" t="s">
        <v>249</v>
      </c>
      <c r="G3803" s="223" t="str">
        <f>VLOOKUP($B3803,'FRS geographical categories'!$A$2:$C$45,2,FALSE)</f>
        <v>Significantly Rural</v>
      </c>
      <c r="H3803" s="223" t="str">
        <f>VLOOKUP($B3803,'FRS geographical categories'!$A$2:$C$45,3,FALSE)</f>
        <v>Non-metropolitan</v>
      </c>
      <c r="I3803" s="224">
        <v>4621</v>
      </c>
    </row>
    <row r="3804" spans="1:9" ht="15.5" x14ac:dyDescent="0.35">
      <c r="A3804" s="224" t="s">
        <v>247</v>
      </c>
      <c r="B3804" s="224" t="s">
        <v>49</v>
      </c>
      <c r="C3804" s="224" t="s">
        <v>86</v>
      </c>
      <c r="D3804" s="224" t="s">
        <v>9</v>
      </c>
      <c r="E3804" s="224" t="s">
        <v>256</v>
      </c>
      <c r="F3804" s="224" t="s">
        <v>250</v>
      </c>
      <c r="G3804" s="223" t="str">
        <f>VLOOKUP($B3804,'FRS geographical categories'!$A$2:$C$45,2,FALSE)</f>
        <v>Significantly Rural</v>
      </c>
      <c r="H3804" s="223" t="str">
        <f>VLOOKUP($B3804,'FRS geographical categories'!$A$2:$C$45,3,FALSE)</f>
        <v>Non-metropolitan</v>
      </c>
      <c r="I3804" s="224">
        <v>1589</v>
      </c>
    </row>
    <row r="3805" spans="1:9" ht="15.5" x14ac:dyDescent="0.35">
      <c r="A3805" s="224" t="s">
        <v>247</v>
      </c>
      <c r="B3805" s="224" t="s">
        <v>49</v>
      </c>
      <c r="C3805" s="224" t="s">
        <v>86</v>
      </c>
      <c r="D3805" s="224" t="s">
        <v>9</v>
      </c>
      <c r="E3805" s="224" t="s">
        <v>256</v>
      </c>
      <c r="F3805" s="224" t="s">
        <v>111</v>
      </c>
      <c r="G3805" s="223" t="str">
        <f>VLOOKUP($B3805,'FRS geographical categories'!$A$2:$C$45,2,FALSE)</f>
        <v>Significantly Rural</v>
      </c>
      <c r="H3805" s="223" t="str">
        <f>VLOOKUP($B3805,'FRS geographical categories'!$A$2:$C$45,3,FALSE)</f>
        <v>Non-metropolitan</v>
      </c>
      <c r="I3805" s="224">
        <v>6839</v>
      </c>
    </row>
    <row r="3806" spans="1:9" ht="15.5" x14ac:dyDescent="0.35">
      <c r="A3806" s="224" t="s">
        <v>247</v>
      </c>
      <c r="B3806" s="224" t="s">
        <v>49</v>
      </c>
      <c r="C3806" s="224" t="s">
        <v>86</v>
      </c>
      <c r="D3806" s="224" t="s">
        <v>9</v>
      </c>
      <c r="E3806" s="224" t="s">
        <v>256</v>
      </c>
      <c r="F3806" s="224" t="s">
        <v>10</v>
      </c>
      <c r="G3806" s="223" t="str">
        <f>VLOOKUP($B3806,'FRS geographical categories'!$A$2:$C$45,2,FALSE)</f>
        <v>Significantly Rural</v>
      </c>
      <c r="H3806" s="223" t="str">
        <f>VLOOKUP($B3806,'FRS geographical categories'!$A$2:$C$45,3,FALSE)</f>
        <v>Non-metropolitan</v>
      </c>
      <c r="I3806" s="224">
        <v>6839</v>
      </c>
    </row>
    <row r="3807" spans="1:9" ht="15.5" x14ac:dyDescent="0.35">
      <c r="A3807" s="224" t="s">
        <v>247</v>
      </c>
      <c r="B3807" s="224" t="s">
        <v>49</v>
      </c>
      <c r="C3807" s="224" t="s">
        <v>86</v>
      </c>
      <c r="D3807" s="224" t="s">
        <v>55</v>
      </c>
      <c r="E3807" s="224" t="s">
        <v>256</v>
      </c>
      <c r="F3807" s="224" t="s">
        <v>248</v>
      </c>
      <c r="G3807" s="223" t="str">
        <f>VLOOKUP($B3807,'FRS geographical categories'!$A$2:$C$45,2,FALSE)</f>
        <v>Significantly Rural</v>
      </c>
      <c r="H3807" s="223" t="str">
        <f>VLOOKUP($B3807,'FRS geographical categories'!$A$2:$C$45,3,FALSE)</f>
        <v>Non-metropolitan</v>
      </c>
      <c r="I3807" s="224">
        <v>0</v>
      </c>
    </row>
    <row r="3808" spans="1:9" ht="15.5" x14ac:dyDescent="0.35">
      <c r="A3808" s="224" t="s">
        <v>247</v>
      </c>
      <c r="B3808" s="224" t="s">
        <v>49</v>
      </c>
      <c r="C3808" s="224" t="s">
        <v>86</v>
      </c>
      <c r="D3808" s="224" t="s">
        <v>55</v>
      </c>
      <c r="E3808" s="224" t="s">
        <v>256</v>
      </c>
      <c r="F3808" s="224" t="s">
        <v>249</v>
      </c>
      <c r="G3808" s="223" t="str">
        <f>VLOOKUP($B3808,'FRS geographical categories'!$A$2:$C$45,2,FALSE)</f>
        <v>Significantly Rural</v>
      </c>
      <c r="H3808" s="223" t="str">
        <f>VLOOKUP($B3808,'FRS geographical categories'!$A$2:$C$45,3,FALSE)</f>
        <v>Non-metropolitan</v>
      </c>
      <c r="I3808" s="224">
        <v>0</v>
      </c>
    </row>
    <row r="3809" spans="1:9" ht="15.5" x14ac:dyDescent="0.35">
      <c r="A3809" s="224" t="s">
        <v>247</v>
      </c>
      <c r="B3809" s="224" t="s">
        <v>49</v>
      </c>
      <c r="C3809" s="224" t="s">
        <v>86</v>
      </c>
      <c r="D3809" s="224" t="s">
        <v>55</v>
      </c>
      <c r="E3809" s="224" t="s">
        <v>256</v>
      </c>
      <c r="F3809" s="224" t="s">
        <v>250</v>
      </c>
      <c r="G3809" s="223" t="str">
        <f>VLOOKUP($B3809,'FRS geographical categories'!$A$2:$C$45,2,FALSE)</f>
        <v>Significantly Rural</v>
      </c>
      <c r="H3809" s="223" t="str">
        <f>VLOOKUP($B3809,'FRS geographical categories'!$A$2:$C$45,3,FALSE)</f>
        <v>Non-metropolitan</v>
      </c>
      <c r="I3809" s="224">
        <v>0</v>
      </c>
    </row>
    <row r="3810" spans="1:9" ht="15.5" x14ac:dyDescent="0.35">
      <c r="A3810" s="224" t="s">
        <v>247</v>
      </c>
      <c r="B3810" s="224" t="s">
        <v>49</v>
      </c>
      <c r="C3810" s="224" t="s">
        <v>86</v>
      </c>
      <c r="D3810" s="224" t="s">
        <v>55</v>
      </c>
      <c r="E3810" s="224" t="s">
        <v>256</v>
      </c>
      <c r="F3810" s="224" t="s">
        <v>111</v>
      </c>
      <c r="G3810" s="223" t="str">
        <f>VLOOKUP($B3810,'FRS geographical categories'!$A$2:$C$45,2,FALSE)</f>
        <v>Significantly Rural</v>
      </c>
      <c r="H3810" s="223" t="str">
        <f>VLOOKUP($B3810,'FRS geographical categories'!$A$2:$C$45,3,FALSE)</f>
        <v>Non-metropolitan</v>
      </c>
      <c r="I3810" s="224">
        <v>0</v>
      </c>
    </row>
    <row r="3811" spans="1:9" ht="15.5" x14ac:dyDescent="0.35">
      <c r="A3811" s="224" t="s">
        <v>247</v>
      </c>
      <c r="B3811" s="224" t="s">
        <v>49</v>
      </c>
      <c r="C3811" s="224" t="s">
        <v>86</v>
      </c>
      <c r="D3811" s="224" t="s">
        <v>55</v>
      </c>
      <c r="E3811" s="224" t="s">
        <v>256</v>
      </c>
      <c r="F3811" s="224" t="s">
        <v>10</v>
      </c>
      <c r="G3811" s="223" t="str">
        <f>VLOOKUP($B3811,'FRS geographical categories'!$A$2:$C$45,2,FALSE)</f>
        <v>Significantly Rural</v>
      </c>
      <c r="H3811" s="223" t="str">
        <f>VLOOKUP($B3811,'FRS geographical categories'!$A$2:$C$45,3,FALSE)</f>
        <v>Non-metropolitan</v>
      </c>
      <c r="I3811" s="224">
        <v>0</v>
      </c>
    </row>
    <row r="3812" spans="1:9" ht="15.5" x14ac:dyDescent="0.35">
      <c r="A3812" s="224" t="s">
        <v>247</v>
      </c>
      <c r="B3812" s="224" t="s">
        <v>49</v>
      </c>
      <c r="C3812" s="224" t="s">
        <v>89</v>
      </c>
      <c r="D3812" s="224" t="s">
        <v>9</v>
      </c>
      <c r="E3812" s="224" t="s">
        <v>256</v>
      </c>
      <c r="F3812" s="224" t="s">
        <v>248</v>
      </c>
      <c r="G3812" s="223" t="str">
        <f>VLOOKUP($B3812,'FRS geographical categories'!$A$2:$C$45,2,FALSE)</f>
        <v>Significantly Rural</v>
      </c>
      <c r="H3812" s="223" t="str">
        <f>VLOOKUP($B3812,'FRS geographical categories'!$A$2:$C$45,3,FALSE)</f>
        <v>Non-metropolitan</v>
      </c>
      <c r="I3812" s="224">
        <v>0</v>
      </c>
    </row>
    <row r="3813" spans="1:9" ht="15.5" x14ac:dyDescent="0.35">
      <c r="A3813" s="224" t="s">
        <v>247</v>
      </c>
      <c r="B3813" s="224" t="s">
        <v>49</v>
      </c>
      <c r="C3813" s="224" t="s">
        <v>89</v>
      </c>
      <c r="D3813" s="224" t="s">
        <v>9</v>
      </c>
      <c r="E3813" s="224" t="s">
        <v>256</v>
      </c>
      <c r="F3813" s="224" t="s">
        <v>249</v>
      </c>
      <c r="G3813" s="223" t="str">
        <f>VLOOKUP($B3813,'FRS geographical categories'!$A$2:$C$45,2,FALSE)</f>
        <v>Significantly Rural</v>
      </c>
      <c r="H3813" s="223" t="str">
        <f>VLOOKUP($B3813,'FRS geographical categories'!$A$2:$C$45,3,FALSE)</f>
        <v>Non-metropolitan</v>
      </c>
      <c r="I3813" s="224">
        <v>0</v>
      </c>
    </row>
    <row r="3814" spans="1:9" ht="15.5" x14ac:dyDescent="0.35">
      <c r="A3814" s="224" t="s">
        <v>247</v>
      </c>
      <c r="B3814" s="224" t="s">
        <v>49</v>
      </c>
      <c r="C3814" s="224" t="s">
        <v>89</v>
      </c>
      <c r="D3814" s="224" t="s">
        <v>9</v>
      </c>
      <c r="E3814" s="224" t="s">
        <v>256</v>
      </c>
      <c r="F3814" s="224" t="s">
        <v>250</v>
      </c>
      <c r="G3814" s="223" t="str">
        <f>VLOOKUP($B3814,'FRS geographical categories'!$A$2:$C$45,2,FALSE)</f>
        <v>Significantly Rural</v>
      </c>
      <c r="H3814" s="223" t="str">
        <f>VLOOKUP($B3814,'FRS geographical categories'!$A$2:$C$45,3,FALSE)</f>
        <v>Non-metropolitan</v>
      </c>
      <c r="I3814" s="224">
        <v>0</v>
      </c>
    </row>
    <row r="3815" spans="1:9" ht="15.5" x14ac:dyDescent="0.35">
      <c r="A3815" s="224" t="s">
        <v>247</v>
      </c>
      <c r="B3815" s="224" t="s">
        <v>49</v>
      </c>
      <c r="C3815" s="224" t="s">
        <v>89</v>
      </c>
      <c r="D3815" s="224" t="s">
        <v>9</v>
      </c>
      <c r="E3815" s="224" t="s">
        <v>256</v>
      </c>
      <c r="F3815" s="224" t="s">
        <v>10</v>
      </c>
      <c r="G3815" s="223" t="str">
        <f>VLOOKUP($B3815,'FRS geographical categories'!$A$2:$C$45,2,FALSE)</f>
        <v>Significantly Rural</v>
      </c>
      <c r="H3815" s="223" t="str">
        <f>VLOOKUP($B3815,'FRS geographical categories'!$A$2:$C$45,3,FALSE)</f>
        <v>Non-metropolitan</v>
      </c>
      <c r="I3815" s="224">
        <v>0</v>
      </c>
    </row>
    <row r="3816" spans="1:9" ht="15.5" x14ac:dyDescent="0.35">
      <c r="A3816" s="224" t="s">
        <v>247</v>
      </c>
      <c r="B3816" s="224" t="s">
        <v>49</v>
      </c>
      <c r="C3816" s="224" t="s">
        <v>89</v>
      </c>
      <c r="D3816" s="224" t="s">
        <v>55</v>
      </c>
      <c r="E3816" s="224" t="s">
        <v>256</v>
      </c>
      <c r="F3816" s="224" t="s">
        <v>248</v>
      </c>
      <c r="G3816" s="223" t="str">
        <f>VLOOKUP($B3816,'FRS geographical categories'!$A$2:$C$45,2,FALSE)</f>
        <v>Significantly Rural</v>
      </c>
      <c r="H3816" s="223" t="str">
        <f>VLOOKUP($B3816,'FRS geographical categories'!$A$2:$C$45,3,FALSE)</f>
        <v>Non-metropolitan</v>
      </c>
      <c r="I3816" s="224">
        <v>0</v>
      </c>
    </row>
    <row r="3817" spans="1:9" ht="15.5" x14ac:dyDescent="0.35">
      <c r="A3817" s="224" t="s">
        <v>247</v>
      </c>
      <c r="B3817" s="224" t="s">
        <v>49</v>
      </c>
      <c r="C3817" s="224" t="s">
        <v>89</v>
      </c>
      <c r="D3817" s="224" t="s">
        <v>55</v>
      </c>
      <c r="E3817" s="224" t="s">
        <v>256</v>
      </c>
      <c r="F3817" s="224" t="s">
        <v>249</v>
      </c>
      <c r="G3817" s="223" t="str">
        <f>VLOOKUP($B3817,'FRS geographical categories'!$A$2:$C$45,2,FALSE)</f>
        <v>Significantly Rural</v>
      </c>
      <c r="H3817" s="223" t="str">
        <f>VLOOKUP($B3817,'FRS geographical categories'!$A$2:$C$45,3,FALSE)</f>
        <v>Non-metropolitan</v>
      </c>
      <c r="I3817" s="224">
        <v>0</v>
      </c>
    </row>
    <row r="3818" spans="1:9" ht="15.5" x14ac:dyDescent="0.35">
      <c r="A3818" s="224" t="s">
        <v>247</v>
      </c>
      <c r="B3818" s="224" t="s">
        <v>49</v>
      </c>
      <c r="C3818" s="224" t="s">
        <v>89</v>
      </c>
      <c r="D3818" s="224" t="s">
        <v>55</v>
      </c>
      <c r="E3818" s="224" t="s">
        <v>256</v>
      </c>
      <c r="F3818" s="224" t="s">
        <v>250</v>
      </c>
      <c r="G3818" s="223" t="str">
        <f>VLOOKUP($B3818,'FRS geographical categories'!$A$2:$C$45,2,FALSE)</f>
        <v>Significantly Rural</v>
      </c>
      <c r="H3818" s="223" t="str">
        <f>VLOOKUP($B3818,'FRS geographical categories'!$A$2:$C$45,3,FALSE)</f>
        <v>Non-metropolitan</v>
      </c>
      <c r="I3818" s="224">
        <v>0</v>
      </c>
    </row>
    <row r="3819" spans="1:9" ht="15.5" x14ac:dyDescent="0.35">
      <c r="A3819" s="224" t="s">
        <v>247</v>
      </c>
      <c r="B3819" s="224" t="s">
        <v>49</v>
      </c>
      <c r="C3819" s="224" t="s">
        <v>89</v>
      </c>
      <c r="D3819" s="224" t="s">
        <v>55</v>
      </c>
      <c r="E3819" s="224" t="s">
        <v>256</v>
      </c>
      <c r="F3819" s="224" t="s">
        <v>10</v>
      </c>
      <c r="G3819" s="223" t="str">
        <f>VLOOKUP($B3819,'FRS geographical categories'!$A$2:$C$45,2,FALSE)</f>
        <v>Significantly Rural</v>
      </c>
      <c r="H3819" s="223" t="str">
        <f>VLOOKUP($B3819,'FRS geographical categories'!$A$2:$C$45,3,FALSE)</f>
        <v>Non-metropolitan</v>
      </c>
      <c r="I3819" s="224">
        <v>0</v>
      </c>
    </row>
    <row r="3820" spans="1:9" ht="15.5" x14ac:dyDescent="0.35">
      <c r="A3820" s="224" t="s">
        <v>247</v>
      </c>
      <c r="B3820" s="224" t="s">
        <v>50</v>
      </c>
      <c r="C3820" s="224" t="s">
        <v>86</v>
      </c>
      <c r="D3820" s="224" t="s">
        <v>9</v>
      </c>
      <c r="E3820" s="224" t="s">
        <v>256</v>
      </c>
      <c r="F3820" s="224" t="s">
        <v>248</v>
      </c>
      <c r="G3820" s="223" t="str">
        <f>VLOOKUP($B3820,'FRS geographical categories'!$A$2:$C$45,2,FALSE)</f>
        <v>Predominantly Urban</v>
      </c>
      <c r="H3820" s="223" t="str">
        <f>VLOOKUP($B3820,'FRS geographical categories'!$A$2:$C$45,3,FALSE)</f>
        <v>Metropolitan</v>
      </c>
      <c r="I3820" s="224">
        <v>5400</v>
      </c>
    </row>
    <row r="3821" spans="1:9" ht="15.5" x14ac:dyDescent="0.35">
      <c r="A3821" s="224" t="s">
        <v>247</v>
      </c>
      <c r="B3821" s="224" t="s">
        <v>50</v>
      </c>
      <c r="C3821" s="224" t="s">
        <v>86</v>
      </c>
      <c r="D3821" s="224" t="s">
        <v>9</v>
      </c>
      <c r="E3821" s="224" t="s">
        <v>256</v>
      </c>
      <c r="F3821" s="224" t="s">
        <v>249</v>
      </c>
      <c r="G3821" s="223" t="str">
        <f>VLOOKUP($B3821,'FRS geographical categories'!$A$2:$C$45,2,FALSE)</f>
        <v>Predominantly Urban</v>
      </c>
      <c r="H3821" s="223" t="str">
        <f>VLOOKUP($B3821,'FRS geographical categories'!$A$2:$C$45,3,FALSE)</f>
        <v>Metropolitan</v>
      </c>
      <c r="I3821" s="224">
        <v>9109</v>
      </c>
    </row>
    <row r="3822" spans="1:9" ht="15.5" x14ac:dyDescent="0.35">
      <c r="A3822" s="224" t="s">
        <v>247</v>
      </c>
      <c r="B3822" s="224" t="s">
        <v>50</v>
      </c>
      <c r="C3822" s="224" t="s">
        <v>86</v>
      </c>
      <c r="D3822" s="224" t="s">
        <v>9</v>
      </c>
      <c r="E3822" s="224" t="s">
        <v>256</v>
      </c>
      <c r="F3822" s="224" t="s">
        <v>250</v>
      </c>
      <c r="G3822" s="223" t="str">
        <f>VLOOKUP($B3822,'FRS geographical categories'!$A$2:$C$45,2,FALSE)</f>
        <v>Predominantly Urban</v>
      </c>
      <c r="H3822" s="223" t="str">
        <f>VLOOKUP($B3822,'FRS geographical categories'!$A$2:$C$45,3,FALSE)</f>
        <v>Metropolitan</v>
      </c>
      <c r="I3822" s="224">
        <v>3454</v>
      </c>
    </row>
    <row r="3823" spans="1:9" ht="15.5" x14ac:dyDescent="0.35">
      <c r="A3823" s="224" t="s">
        <v>247</v>
      </c>
      <c r="B3823" s="224" t="s">
        <v>50</v>
      </c>
      <c r="C3823" s="224" t="s">
        <v>86</v>
      </c>
      <c r="D3823" s="224" t="s">
        <v>9</v>
      </c>
      <c r="E3823" s="224" t="s">
        <v>256</v>
      </c>
      <c r="F3823" s="224" t="s">
        <v>111</v>
      </c>
      <c r="G3823" s="223" t="str">
        <f>VLOOKUP($B3823,'FRS geographical categories'!$A$2:$C$45,2,FALSE)</f>
        <v>Predominantly Urban</v>
      </c>
      <c r="H3823" s="223" t="str">
        <f>VLOOKUP($B3823,'FRS geographical categories'!$A$2:$C$45,3,FALSE)</f>
        <v>Metropolitan</v>
      </c>
      <c r="I3823" s="224">
        <v>22143</v>
      </c>
    </row>
    <row r="3824" spans="1:9" ht="15.5" x14ac:dyDescent="0.35">
      <c r="A3824" s="224" t="s">
        <v>247</v>
      </c>
      <c r="B3824" s="224" t="s">
        <v>50</v>
      </c>
      <c r="C3824" s="224" t="s">
        <v>86</v>
      </c>
      <c r="D3824" s="224" t="s">
        <v>9</v>
      </c>
      <c r="E3824" s="224" t="s">
        <v>256</v>
      </c>
      <c r="F3824" s="224" t="s">
        <v>10</v>
      </c>
      <c r="G3824" s="223" t="str">
        <f>VLOOKUP($B3824,'FRS geographical categories'!$A$2:$C$45,2,FALSE)</f>
        <v>Predominantly Urban</v>
      </c>
      <c r="H3824" s="223" t="str">
        <f>VLOOKUP($B3824,'FRS geographical categories'!$A$2:$C$45,3,FALSE)</f>
        <v>Metropolitan</v>
      </c>
      <c r="I3824" s="224">
        <v>22143</v>
      </c>
    </row>
    <row r="3825" spans="1:9" ht="15.5" x14ac:dyDescent="0.35">
      <c r="A3825" s="224" t="s">
        <v>247</v>
      </c>
      <c r="B3825" s="224" t="s">
        <v>50</v>
      </c>
      <c r="C3825" s="224" t="s">
        <v>86</v>
      </c>
      <c r="D3825" s="224" t="s">
        <v>55</v>
      </c>
      <c r="E3825" s="224" t="s">
        <v>256</v>
      </c>
      <c r="F3825" s="224" t="s">
        <v>248</v>
      </c>
      <c r="G3825" s="223" t="str">
        <f>VLOOKUP($B3825,'FRS geographical categories'!$A$2:$C$45,2,FALSE)</f>
        <v>Predominantly Urban</v>
      </c>
      <c r="H3825" s="223" t="str">
        <f>VLOOKUP($B3825,'FRS geographical categories'!$A$2:$C$45,3,FALSE)</f>
        <v>Metropolitan</v>
      </c>
      <c r="I3825" s="224">
        <v>10</v>
      </c>
    </row>
    <row r="3826" spans="1:9" ht="15.5" x14ac:dyDescent="0.35">
      <c r="A3826" s="224" t="s">
        <v>247</v>
      </c>
      <c r="B3826" s="224" t="s">
        <v>50</v>
      </c>
      <c r="C3826" s="224" t="s">
        <v>86</v>
      </c>
      <c r="D3826" s="224" t="s">
        <v>55</v>
      </c>
      <c r="E3826" s="224" t="s">
        <v>256</v>
      </c>
      <c r="F3826" s="224" t="s">
        <v>249</v>
      </c>
      <c r="G3826" s="223" t="str">
        <f>VLOOKUP($B3826,'FRS geographical categories'!$A$2:$C$45,2,FALSE)</f>
        <v>Predominantly Urban</v>
      </c>
      <c r="H3826" s="223" t="str">
        <f>VLOOKUP($B3826,'FRS geographical categories'!$A$2:$C$45,3,FALSE)</f>
        <v>Metropolitan</v>
      </c>
      <c r="I3826" s="224">
        <v>8</v>
      </c>
    </row>
    <row r="3827" spans="1:9" ht="15.5" x14ac:dyDescent="0.35">
      <c r="A3827" s="224" t="s">
        <v>247</v>
      </c>
      <c r="B3827" s="224" t="s">
        <v>50</v>
      </c>
      <c r="C3827" s="224" t="s">
        <v>86</v>
      </c>
      <c r="D3827" s="224" t="s">
        <v>55</v>
      </c>
      <c r="E3827" s="224" t="s">
        <v>256</v>
      </c>
      <c r="F3827" s="224" t="s">
        <v>250</v>
      </c>
      <c r="G3827" s="223" t="str">
        <f>VLOOKUP($B3827,'FRS geographical categories'!$A$2:$C$45,2,FALSE)</f>
        <v>Predominantly Urban</v>
      </c>
      <c r="H3827" s="223" t="str">
        <f>VLOOKUP($B3827,'FRS geographical categories'!$A$2:$C$45,3,FALSE)</f>
        <v>Metropolitan</v>
      </c>
      <c r="I3827" s="224">
        <v>120</v>
      </c>
    </row>
    <row r="3828" spans="1:9" ht="15.5" x14ac:dyDescent="0.35">
      <c r="A3828" s="224" t="s">
        <v>247</v>
      </c>
      <c r="B3828" s="224" t="s">
        <v>50</v>
      </c>
      <c r="C3828" s="224" t="s">
        <v>86</v>
      </c>
      <c r="D3828" s="224" t="s">
        <v>55</v>
      </c>
      <c r="E3828" s="224" t="s">
        <v>256</v>
      </c>
      <c r="F3828" s="224" t="s">
        <v>111</v>
      </c>
      <c r="G3828" s="223" t="str">
        <f>VLOOKUP($B3828,'FRS geographical categories'!$A$2:$C$45,2,FALSE)</f>
        <v>Predominantly Urban</v>
      </c>
      <c r="H3828" s="223" t="str">
        <f>VLOOKUP($B3828,'FRS geographical categories'!$A$2:$C$45,3,FALSE)</f>
        <v>Metropolitan</v>
      </c>
      <c r="I3828" s="224">
        <v>588</v>
      </c>
    </row>
    <row r="3829" spans="1:9" ht="15.5" x14ac:dyDescent="0.35">
      <c r="A3829" s="224" t="s">
        <v>247</v>
      </c>
      <c r="B3829" s="224" t="s">
        <v>50</v>
      </c>
      <c r="C3829" s="224" t="s">
        <v>86</v>
      </c>
      <c r="D3829" s="224" t="s">
        <v>55</v>
      </c>
      <c r="E3829" s="224" t="s">
        <v>256</v>
      </c>
      <c r="F3829" s="224" t="s">
        <v>10</v>
      </c>
      <c r="G3829" s="223" t="str">
        <f>VLOOKUP($B3829,'FRS geographical categories'!$A$2:$C$45,2,FALSE)</f>
        <v>Predominantly Urban</v>
      </c>
      <c r="H3829" s="223" t="str">
        <f>VLOOKUP($B3829,'FRS geographical categories'!$A$2:$C$45,3,FALSE)</f>
        <v>Metropolitan</v>
      </c>
      <c r="I3829" s="224">
        <v>588</v>
      </c>
    </row>
    <row r="3830" spans="1:9" ht="15.5" x14ac:dyDescent="0.35">
      <c r="A3830" s="224" t="s">
        <v>247</v>
      </c>
      <c r="B3830" s="224" t="s">
        <v>50</v>
      </c>
      <c r="C3830" s="224" t="s">
        <v>89</v>
      </c>
      <c r="D3830" s="224" t="s">
        <v>9</v>
      </c>
      <c r="E3830" s="224" t="s">
        <v>256</v>
      </c>
      <c r="F3830" s="224" t="s">
        <v>248</v>
      </c>
      <c r="G3830" s="223" t="str">
        <f>VLOOKUP($B3830,'FRS geographical categories'!$A$2:$C$45,2,FALSE)</f>
        <v>Predominantly Urban</v>
      </c>
      <c r="H3830" s="223" t="str">
        <f>VLOOKUP($B3830,'FRS geographical categories'!$A$2:$C$45,3,FALSE)</f>
        <v>Metropolitan</v>
      </c>
      <c r="I3830" s="224">
        <v>0</v>
      </c>
    </row>
    <row r="3831" spans="1:9" ht="15.5" x14ac:dyDescent="0.35">
      <c r="A3831" s="224" t="s">
        <v>247</v>
      </c>
      <c r="B3831" s="224" t="s">
        <v>50</v>
      </c>
      <c r="C3831" s="224" t="s">
        <v>89</v>
      </c>
      <c r="D3831" s="224" t="s">
        <v>9</v>
      </c>
      <c r="E3831" s="224" t="s">
        <v>256</v>
      </c>
      <c r="F3831" s="224" t="s">
        <v>249</v>
      </c>
      <c r="G3831" s="223" t="str">
        <f>VLOOKUP($B3831,'FRS geographical categories'!$A$2:$C$45,2,FALSE)</f>
        <v>Predominantly Urban</v>
      </c>
      <c r="H3831" s="223" t="str">
        <f>VLOOKUP($B3831,'FRS geographical categories'!$A$2:$C$45,3,FALSE)</f>
        <v>Metropolitan</v>
      </c>
      <c r="I3831" s="224">
        <v>0</v>
      </c>
    </row>
    <row r="3832" spans="1:9" ht="15.5" x14ac:dyDescent="0.35">
      <c r="A3832" s="224" t="s">
        <v>247</v>
      </c>
      <c r="B3832" s="224" t="s">
        <v>50</v>
      </c>
      <c r="C3832" s="224" t="s">
        <v>89</v>
      </c>
      <c r="D3832" s="224" t="s">
        <v>9</v>
      </c>
      <c r="E3832" s="224" t="s">
        <v>256</v>
      </c>
      <c r="F3832" s="224" t="s">
        <v>250</v>
      </c>
      <c r="G3832" s="223" t="str">
        <f>VLOOKUP($B3832,'FRS geographical categories'!$A$2:$C$45,2,FALSE)</f>
        <v>Predominantly Urban</v>
      </c>
      <c r="H3832" s="223" t="str">
        <f>VLOOKUP($B3832,'FRS geographical categories'!$A$2:$C$45,3,FALSE)</f>
        <v>Metropolitan</v>
      </c>
      <c r="I3832" s="224">
        <v>0</v>
      </c>
    </row>
    <row r="3833" spans="1:9" ht="15.5" x14ac:dyDescent="0.35">
      <c r="A3833" s="224" t="s">
        <v>247</v>
      </c>
      <c r="B3833" s="224" t="s">
        <v>50</v>
      </c>
      <c r="C3833" s="224" t="s">
        <v>89</v>
      </c>
      <c r="D3833" s="224" t="s">
        <v>9</v>
      </c>
      <c r="E3833" s="224" t="s">
        <v>256</v>
      </c>
      <c r="F3833" s="224" t="s">
        <v>10</v>
      </c>
      <c r="G3833" s="223" t="str">
        <f>VLOOKUP($B3833,'FRS geographical categories'!$A$2:$C$45,2,FALSE)</f>
        <v>Predominantly Urban</v>
      </c>
      <c r="H3833" s="223" t="str">
        <f>VLOOKUP($B3833,'FRS geographical categories'!$A$2:$C$45,3,FALSE)</f>
        <v>Metropolitan</v>
      </c>
      <c r="I3833" s="224">
        <v>0</v>
      </c>
    </row>
    <row r="3834" spans="1:9" ht="15.5" x14ac:dyDescent="0.35">
      <c r="A3834" s="224" t="s">
        <v>247</v>
      </c>
      <c r="B3834" s="224" t="s">
        <v>50</v>
      </c>
      <c r="C3834" s="224" t="s">
        <v>89</v>
      </c>
      <c r="D3834" s="224" t="s">
        <v>55</v>
      </c>
      <c r="E3834" s="224" t="s">
        <v>256</v>
      </c>
      <c r="F3834" s="224" t="s">
        <v>248</v>
      </c>
      <c r="G3834" s="223" t="str">
        <f>VLOOKUP($B3834,'FRS geographical categories'!$A$2:$C$45,2,FALSE)</f>
        <v>Predominantly Urban</v>
      </c>
      <c r="H3834" s="223" t="str">
        <f>VLOOKUP($B3834,'FRS geographical categories'!$A$2:$C$45,3,FALSE)</f>
        <v>Metropolitan</v>
      </c>
      <c r="I3834" s="224">
        <v>0</v>
      </c>
    </row>
    <row r="3835" spans="1:9" ht="15.5" x14ac:dyDescent="0.35">
      <c r="A3835" s="224" t="s">
        <v>247</v>
      </c>
      <c r="B3835" s="224" t="s">
        <v>50</v>
      </c>
      <c r="C3835" s="224" t="s">
        <v>89</v>
      </c>
      <c r="D3835" s="224" t="s">
        <v>55</v>
      </c>
      <c r="E3835" s="224" t="s">
        <v>256</v>
      </c>
      <c r="F3835" s="224" t="s">
        <v>249</v>
      </c>
      <c r="G3835" s="223" t="str">
        <f>VLOOKUP($B3835,'FRS geographical categories'!$A$2:$C$45,2,FALSE)</f>
        <v>Predominantly Urban</v>
      </c>
      <c r="H3835" s="223" t="str">
        <f>VLOOKUP($B3835,'FRS geographical categories'!$A$2:$C$45,3,FALSE)</f>
        <v>Metropolitan</v>
      </c>
      <c r="I3835" s="224">
        <v>0</v>
      </c>
    </row>
    <row r="3836" spans="1:9" ht="15.5" x14ac:dyDescent="0.35">
      <c r="A3836" s="224" t="s">
        <v>247</v>
      </c>
      <c r="B3836" s="224" t="s">
        <v>50</v>
      </c>
      <c r="C3836" s="224" t="s">
        <v>89</v>
      </c>
      <c r="D3836" s="224" t="s">
        <v>55</v>
      </c>
      <c r="E3836" s="224" t="s">
        <v>256</v>
      </c>
      <c r="F3836" s="224" t="s">
        <v>250</v>
      </c>
      <c r="G3836" s="223" t="str">
        <f>VLOOKUP($B3836,'FRS geographical categories'!$A$2:$C$45,2,FALSE)</f>
        <v>Predominantly Urban</v>
      </c>
      <c r="H3836" s="223" t="str">
        <f>VLOOKUP($B3836,'FRS geographical categories'!$A$2:$C$45,3,FALSE)</f>
        <v>Metropolitan</v>
      </c>
      <c r="I3836" s="224">
        <v>0</v>
      </c>
    </row>
    <row r="3837" spans="1:9" ht="15.5" x14ac:dyDescent="0.35">
      <c r="A3837" s="224" t="s">
        <v>247</v>
      </c>
      <c r="B3837" s="224" t="s">
        <v>50</v>
      </c>
      <c r="C3837" s="224" t="s">
        <v>89</v>
      </c>
      <c r="D3837" s="224" t="s">
        <v>55</v>
      </c>
      <c r="E3837" s="224" t="s">
        <v>256</v>
      </c>
      <c r="F3837" s="224" t="s">
        <v>10</v>
      </c>
      <c r="G3837" s="223" t="str">
        <f>VLOOKUP($B3837,'FRS geographical categories'!$A$2:$C$45,2,FALSE)</f>
        <v>Predominantly Urban</v>
      </c>
      <c r="H3837" s="223" t="str">
        <f>VLOOKUP($B3837,'FRS geographical categories'!$A$2:$C$45,3,FALSE)</f>
        <v>Metropolitan</v>
      </c>
      <c r="I3837" s="224">
        <v>0</v>
      </c>
    </row>
    <row r="3838" spans="1:9" ht="15.5" x14ac:dyDescent="0.35">
      <c r="A3838" s="224" t="s">
        <v>247</v>
      </c>
      <c r="B3838" s="224" t="s">
        <v>51</v>
      </c>
      <c r="C3838" s="224" t="s">
        <v>86</v>
      </c>
      <c r="D3838" s="224" t="s">
        <v>9</v>
      </c>
      <c r="E3838" s="224" t="s">
        <v>256</v>
      </c>
      <c r="F3838" s="224" t="s">
        <v>248</v>
      </c>
      <c r="G3838" s="223" t="str">
        <f>VLOOKUP($B3838,'FRS geographical categories'!$A$2:$C$45,2,FALSE)</f>
        <v>Significantly Rural</v>
      </c>
      <c r="H3838" s="223" t="str">
        <f>VLOOKUP($B3838,'FRS geographical categories'!$A$2:$C$45,3,FALSE)</f>
        <v>Non-metropolitan</v>
      </c>
      <c r="I3838" s="224">
        <v>501</v>
      </c>
    </row>
    <row r="3839" spans="1:9" ht="15.5" x14ac:dyDescent="0.35">
      <c r="A3839" s="224" t="s">
        <v>247</v>
      </c>
      <c r="B3839" s="224" t="s">
        <v>51</v>
      </c>
      <c r="C3839" s="224" t="s">
        <v>86</v>
      </c>
      <c r="D3839" s="224" t="s">
        <v>9</v>
      </c>
      <c r="E3839" s="224" t="s">
        <v>256</v>
      </c>
      <c r="F3839" s="224" t="s">
        <v>249</v>
      </c>
      <c r="G3839" s="223" t="str">
        <f>VLOOKUP($B3839,'FRS geographical categories'!$A$2:$C$45,2,FALSE)</f>
        <v>Significantly Rural</v>
      </c>
      <c r="H3839" s="223" t="str">
        <f>VLOOKUP($B3839,'FRS geographical categories'!$A$2:$C$45,3,FALSE)</f>
        <v>Non-metropolitan</v>
      </c>
      <c r="I3839" s="224">
        <v>3179</v>
      </c>
    </row>
    <row r="3840" spans="1:9" ht="15.5" x14ac:dyDescent="0.35">
      <c r="A3840" s="224" t="s">
        <v>247</v>
      </c>
      <c r="B3840" s="224" t="s">
        <v>51</v>
      </c>
      <c r="C3840" s="224" t="s">
        <v>86</v>
      </c>
      <c r="D3840" s="224" t="s">
        <v>9</v>
      </c>
      <c r="E3840" s="224" t="s">
        <v>256</v>
      </c>
      <c r="F3840" s="224" t="s">
        <v>250</v>
      </c>
      <c r="G3840" s="223" t="str">
        <f>VLOOKUP($B3840,'FRS geographical categories'!$A$2:$C$45,2,FALSE)</f>
        <v>Significantly Rural</v>
      </c>
      <c r="H3840" s="223" t="str">
        <f>VLOOKUP($B3840,'FRS geographical categories'!$A$2:$C$45,3,FALSE)</f>
        <v>Non-metropolitan</v>
      </c>
      <c r="I3840" s="224">
        <v>995</v>
      </c>
    </row>
    <row r="3841" spans="1:9" ht="15.5" x14ac:dyDescent="0.35">
      <c r="A3841" s="224" t="s">
        <v>247</v>
      </c>
      <c r="B3841" s="224" t="s">
        <v>51</v>
      </c>
      <c r="C3841" s="224" t="s">
        <v>86</v>
      </c>
      <c r="D3841" s="224" t="s">
        <v>9</v>
      </c>
      <c r="E3841" s="224" t="s">
        <v>256</v>
      </c>
      <c r="F3841" s="224" t="s">
        <v>111</v>
      </c>
      <c r="G3841" s="223" t="str">
        <f>VLOOKUP($B3841,'FRS geographical categories'!$A$2:$C$45,2,FALSE)</f>
        <v>Significantly Rural</v>
      </c>
      <c r="H3841" s="223" t="str">
        <f>VLOOKUP($B3841,'FRS geographical categories'!$A$2:$C$45,3,FALSE)</f>
        <v>Non-metropolitan</v>
      </c>
      <c r="I3841" s="224">
        <v>5332</v>
      </c>
    </row>
    <row r="3842" spans="1:9" ht="15.5" x14ac:dyDescent="0.35">
      <c r="A3842" s="224" t="s">
        <v>247</v>
      </c>
      <c r="B3842" s="224" t="s">
        <v>51</v>
      </c>
      <c r="C3842" s="224" t="s">
        <v>86</v>
      </c>
      <c r="D3842" s="224" t="s">
        <v>9</v>
      </c>
      <c r="E3842" s="224" t="s">
        <v>256</v>
      </c>
      <c r="F3842" s="224" t="s">
        <v>10</v>
      </c>
      <c r="G3842" s="223" t="str">
        <f>VLOOKUP($B3842,'FRS geographical categories'!$A$2:$C$45,2,FALSE)</f>
        <v>Significantly Rural</v>
      </c>
      <c r="H3842" s="223" t="str">
        <f>VLOOKUP($B3842,'FRS geographical categories'!$A$2:$C$45,3,FALSE)</f>
        <v>Non-metropolitan</v>
      </c>
      <c r="I3842" s="224">
        <v>6665</v>
      </c>
    </row>
    <row r="3843" spans="1:9" ht="15.5" x14ac:dyDescent="0.35">
      <c r="A3843" s="224" t="s">
        <v>247</v>
      </c>
      <c r="B3843" s="224" t="s">
        <v>51</v>
      </c>
      <c r="C3843" s="224" t="s">
        <v>86</v>
      </c>
      <c r="D3843" s="224" t="s">
        <v>55</v>
      </c>
      <c r="E3843" s="224" t="s">
        <v>256</v>
      </c>
      <c r="F3843" s="224" t="s">
        <v>248</v>
      </c>
      <c r="G3843" s="223" t="str">
        <f>VLOOKUP($B3843,'FRS geographical categories'!$A$2:$C$45,2,FALSE)</f>
        <v>Significantly Rural</v>
      </c>
      <c r="H3843" s="223" t="str">
        <f>VLOOKUP($B3843,'FRS geographical categories'!$A$2:$C$45,3,FALSE)</f>
        <v>Non-metropolitan</v>
      </c>
      <c r="I3843" s="224">
        <v>1</v>
      </c>
    </row>
    <row r="3844" spans="1:9" ht="15.5" x14ac:dyDescent="0.35">
      <c r="A3844" s="224" t="s">
        <v>247</v>
      </c>
      <c r="B3844" s="224" t="s">
        <v>51</v>
      </c>
      <c r="C3844" s="224" t="s">
        <v>86</v>
      </c>
      <c r="D3844" s="224" t="s">
        <v>55</v>
      </c>
      <c r="E3844" s="224" t="s">
        <v>256</v>
      </c>
      <c r="F3844" s="224" t="s">
        <v>249</v>
      </c>
      <c r="G3844" s="223" t="str">
        <f>VLOOKUP($B3844,'FRS geographical categories'!$A$2:$C$45,2,FALSE)</f>
        <v>Significantly Rural</v>
      </c>
      <c r="H3844" s="223" t="str">
        <f>VLOOKUP($B3844,'FRS geographical categories'!$A$2:$C$45,3,FALSE)</f>
        <v>Non-metropolitan</v>
      </c>
      <c r="I3844" s="224">
        <v>2</v>
      </c>
    </row>
    <row r="3845" spans="1:9" ht="15.5" x14ac:dyDescent="0.35">
      <c r="A3845" s="224" t="s">
        <v>247</v>
      </c>
      <c r="B3845" s="224" t="s">
        <v>51</v>
      </c>
      <c r="C3845" s="224" t="s">
        <v>86</v>
      </c>
      <c r="D3845" s="224" t="s">
        <v>55</v>
      </c>
      <c r="E3845" s="224" t="s">
        <v>256</v>
      </c>
      <c r="F3845" s="224" t="s">
        <v>250</v>
      </c>
      <c r="G3845" s="223" t="str">
        <f>VLOOKUP($B3845,'FRS geographical categories'!$A$2:$C$45,2,FALSE)</f>
        <v>Significantly Rural</v>
      </c>
      <c r="H3845" s="223" t="str">
        <f>VLOOKUP($B3845,'FRS geographical categories'!$A$2:$C$45,3,FALSE)</f>
        <v>Non-metropolitan</v>
      </c>
      <c r="I3845" s="224">
        <v>0</v>
      </c>
    </row>
    <row r="3846" spans="1:9" ht="15.5" x14ac:dyDescent="0.35">
      <c r="A3846" s="224" t="s">
        <v>247</v>
      </c>
      <c r="B3846" s="224" t="s">
        <v>51</v>
      </c>
      <c r="C3846" s="224" t="s">
        <v>86</v>
      </c>
      <c r="D3846" s="224" t="s">
        <v>55</v>
      </c>
      <c r="E3846" s="224" t="s">
        <v>256</v>
      </c>
      <c r="F3846" s="224" t="s">
        <v>111</v>
      </c>
      <c r="G3846" s="223" t="str">
        <f>VLOOKUP($B3846,'FRS geographical categories'!$A$2:$C$45,2,FALSE)</f>
        <v>Significantly Rural</v>
      </c>
      <c r="H3846" s="223" t="str">
        <f>VLOOKUP($B3846,'FRS geographical categories'!$A$2:$C$45,3,FALSE)</f>
        <v>Non-metropolitan</v>
      </c>
      <c r="I3846" s="224">
        <v>3</v>
      </c>
    </row>
    <row r="3847" spans="1:9" ht="15.5" x14ac:dyDescent="0.35">
      <c r="A3847" s="224" t="s">
        <v>247</v>
      </c>
      <c r="B3847" s="224" t="s">
        <v>51</v>
      </c>
      <c r="C3847" s="224" t="s">
        <v>86</v>
      </c>
      <c r="D3847" s="224" t="s">
        <v>55</v>
      </c>
      <c r="E3847" s="224" t="s">
        <v>256</v>
      </c>
      <c r="F3847" s="224" t="s">
        <v>10</v>
      </c>
      <c r="G3847" s="223" t="str">
        <f>VLOOKUP($B3847,'FRS geographical categories'!$A$2:$C$45,2,FALSE)</f>
        <v>Significantly Rural</v>
      </c>
      <c r="H3847" s="223" t="str">
        <f>VLOOKUP($B3847,'FRS geographical categories'!$A$2:$C$45,3,FALSE)</f>
        <v>Non-metropolitan</v>
      </c>
      <c r="I3847" s="224">
        <v>3</v>
      </c>
    </row>
    <row r="3848" spans="1:9" ht="15.5" x14ac:dyDescent="0.35">
      <c r="A3848" s="224" t="s">
        <v>247</v>
      </c>
      <c r="B3848" s="224" t="s">
        <v>51</v>
      </c>
      <c r="C3848" s="224" t="s">
        <v>89</v>
      </c>
      <c r="D3848" s="224" t="s">
        <v>9</v>
      </c>
      <c r="E3848" s="224" t="s">
        <v>256</v>
      </c>
      <c r="F3848" s="224" t="s">
        <v>248</v>
      </c>
      <c r="G3848" s="223" t="str">
        <f>VLOOKUP($B3848,'FRS geographical categories'!$A$2:$C$45,2,FALSE)</f>
        <v>Significantly Rural</v>
      </c>
      <c r="H3848" s="223" t="str">
        <f>VLOOKUP($B3848,'FRS geographical categories'!$A$2:$C$45,3,FALSE)</f>
        <v>Non-metropolitan</v>
      </c>
      <c r="I3848" s="224">
        <v>0</v>
      </c>
    </row>
    <row r="3849" spans="1:9" ht="15.5" x14ac:dyDescent="0.35">
      <c r="A3849" s="224" t="s">
        <v>247</v>
      </c>
      <c r="B3849" s="224" t="s">
        <v>51</v>
      </c>
      <c r="C3849" s="224" t="s">
        <v>89</v>
      </c>
      <c r="D3849" s="224" t="s">
        <v>9</v>
      </c>
      <c r="E3849" s="224" t="s">
        <v>256</v>
      </c>
      <c r="F3849" s="224" t="s">
        <v>249</v>
      </c>
      <c r="G3849" s="223" t="str">
        <f>VLOOKUP($B3849,'FRS geographical categories'!$A$2:$C$45,2,FALSE)</f>
        <v>Significantly Rural</v>
      </c>
      <c r="H3849" s="223" t="str">
        <f>VLOOKUP($B3849,'FRS geographical categories'!$A$2:$C$45,3,FALSE)</f>
        <v>Non-metropolitan</v>
      </c>
      <c r="I3849" s="224">
        <v>0</v>
      </c>
    </row>
    <row r="3850" spans="1:9" ht="15.5" x14ac:dyDescent="0.35">
      <c r="A3850" s="224" t="s">
        <v>247</v>
      </c>
      <c r="B3850" s="224" t="s">
        <v>51</v>
      </c>
      <c r="C3850" s="224" t="s">
        <v>89</v>
      </c>
      <c r="D3850" s="224" t="s">
        <v>9</v>
      </c>
      <c r="E3850" s="224" t="s">
        <v>256</v>
      </c>
      <c r="F3850" s="224" t="s">
        <v>250</v>
      </c>
      <c r="G3850" s="223" t="str">
        <f>VLOOKUP($B3850,'FRS geographical categories'!$A$2:$C$45,2,FALSE)</f>
        <v>Significantly Rural</v>
      </c>
      <c r="H3850" s="223" t="str">
        <f>VLOOKUP($B3850,'FRS geographical categories'!$A$2:$C$45,3,FALSE)</f>
        <v>Non-metropolitan</v>
      </c>
      <c r="I3850" s="224">
        <v>0</v>
      </c>
    </row>
    <row r="3851" spans="1:9" ht="15.5" x14ac:dyDescent="0.35">
      <c r="A3851" s="224" t="s">
        <v>247</v>
      </c>
      <c r="B3851" s="224" t="s">
        <v>51</v>
      </c>
      <c r="C3851" s="224" t="s">
        <v>89</v>
      </c>
      <c r="D3851" s="224" t="s">
        <v>9</v>
      </c>
      <c r="E3851" s="224" t="s">
        <v>256</v>
      </c>
      <c r="F3851" s="224" t="s">
        <v>10</v>
      </c>
      <c r="G3851" s="223" t="str">
        <f>VLOOKUP($B3851,'FRS geographical categories'!$A$2:$C$45,2,FALSE)</f>
        <v>Significantly Rural</v>
      </c>
      <c r="H3851" s="223" t="str">
        <f>VLOOKUP($B3851,'FRS geographical categories'!$A$2:$C$45,3,FALSE)</f>
        <v>Non-metropolitan</v>
      </c>
      <c r="I3851" s="224">
        <v>0</v>
      </c>
    </row>
    <row r="3852" spans="1:9" ht="15.5" x14ac:dyDescent="0.35">
      <c r="A3852" s="224" t="s">
        <v>247</v>
      </c>
      <c r="B3852" s="224" t="s">
        <v>51</v>
      </c>
      <c r="C3852" s="224" t="s">
        <v>89</v>
      </c>
      <c r="D3852" s="224" t="s">
        <v>55</v>
      </c>
      <c r="E3852" s="224" t="s">
        <v>256</v>
      </c>
      <c r="F3852" s="224" t="s">
        <v>248</v>
      </c>
      <c r="G3852" s="223" t="str">
        <f>VLOOKUP($B3852,'FRS geographical categories'!$A$2:$C$45,2,FALSE)</f>
        <v>Significantly Rural</v>
      </c>
      <c r="H3852" s="223" t="str">
        <f>VLOOKUP($B3852,'FRS geographical categories'!$A$2:$C$45,3,FALSE)</f>
        <v>Non-metropolitan</v>
      </c>
      <c r="I3852" s="224">
        <v>0</v>
      </c>
    </row>
    <row r="3853" spans="1:9" ht="15.5" x14ac:dyDescent="0.35">
      <c r="A3853" s="224" t="s">
        <v>247</v>
      </c>
      <c r="B3853" s="224" t="s">
        <v>51</v>
      </c>
      <c r="C3853" s="224" t="s">
        <v>89</v>
      </c>
      <c r="D3853" s="224" t="s">
        <v>55</v>
      </c>
      <c r="E3853" s="224" t="s">
        <v>256</v>
      </c>
      <c r="F3853" s="224" t="s">
        <v>249</v>
      </c>
      <c r="G3853" s="223" t="str">
        <f>VLOOKUP($B3853,'FRS geographical categories'!$A$2:$C$45,2,FALSE)</f>
        <v>Significantly Rural</v>
      </c>
      <c r="H3853" s="223" t="str">
        <f>VLOOKUP($B3853,'FRS geographical categories'!$A$2:$C$45,3,FALSE)</f>
        <v>Non-metropolitan</v>
      </c>
      <c r="I3853" s="224">
        <v>0</v>
      </c>
    </row>
    <row r="3854" spans="1:9" ht="15.5" x14ac:dyDescent="0.35">
      <c r="A3854" s="224" t="s">
        <v>247</v>
      </c>
      <c r="B3854" s="224" t="s">
        <v>51</v>
      </c>
      <c r="C3854" s="224" t="s">
        <v>89</v>
      </c>
      <c r="D3854" s="224" t="s">
        <v>55</v>
      </c>
      <c r="E3854" s="224" t="s">
        <v>256</v>
      </c>
      <c r="F3854" s="224" t="s">
        <v>250</v>
      </c>
      <c r="G3854" s="223" t="str">
        <f>VLOOKUP($B3854,'FRS geographical categories'!$A$2:$C$45,2,FALSE)</f>
        <v>Significantly Rural</v>
      </c>
      <c r="H3854" s="223" t="str">
        <f>VLOOKUP($B3854,'FRS geographical categories'!$A$2:$C$45,3,FALSE)</f>
        <v>Non-metropolitan</v>
      </c>
      <c r="I3854" s="224">
        <v>0</v>
      </c>
    </row>
    <row r="3855" spans="1:9" ht="15.5" x14ac:dyDescent="0.35">
      <c r="A3855" s="224" t="s">
        <v>247</v>
      </c>
      <c r="B3855" s="224" t="s">
        <v>51</v>
      </c>
      <c r="C3855" s="224" t="s">
        <v>89</v>
      </c>
      <c r="D3855" s="224" t="s">
        <v>55</v>
      </c>
      <c r="E3855" s="224" t="s">
        <v>256</v>
      </c>
      <c r="F3855" s="224" t="s">
        <v>10</v>
      </c>
      <c r="G3855" s="223" t="str">
        <f>VLOOKUP($B3855,'FRS geographical categories'!$A$2:$C$45,2,FALSE)</f>
        <v>Significantly Rural</v>
      </c>
      <c r="H3855" s="223" t="str">
        <f>VLOOKUP($B3855,'FRS geographical categories'!$A$2:$C$45,3,FALSE)</f>
        <v>Non-metropolitan</v>
      </c>
      <c r="I3855" s="224">
        <v>0</v>
      </c>
    </row>
    <row r="3856" spans="1:9" ht="15.5" x14ac:dyDescent="0.35">
      <c r="A3856" s="224" t="s">
        <v>247</v>
      </c>
      <c r="B3856" s="224" t="s">
        <v>52</v>
      </c>
      <c r="C3856" s="224" t="s">
        <v>86</v>
      </c>
      <c r="D3856" s="224" t="s">
        <v>9</v>
      </c>
      <c r="E3856" s="224" t="s">
        <v>256</v>
      </c>
      <c r="F3856" s="224" t="s">
        <v>248</v>
      </c>
      <c r="G3856" s="223" t="str">
        <f>VLOOKUP($B3856,'FRS geographical categories'!$A$2:$C$45,2,FALSE)</f>
        <v>Predominantly Urban</v>
      </c>
      <c r="H3856" s="223" t="str">
        <f>VLOOKUP($B3856,'FRS geographical categories'!$A$2:$C$45,3,FALSE)</f>
        <v>Metropolitan</v>
      </c>
      <c r="I3856" s="224">
        <v>1105</v>
      </c>
    </row>
    <row r="3857" spans="1:9" ht="15.5" x14ac:dyDescent="0.35">
      <c r="A3857" s="224" t="s">
        <v>247</v>
      </c>
      <c r="B3857" s="224" t="s">
        <v>52</v>
      </c>
      <c r="C3857" s="224" t="s">
        <v>86</v>
      </c>
      <c r="D3857" s="224" t="s">
        <v>9</v>
      </c>
      <c r="E3857" s="224" t="s">
        <v>256</v>
      </c>
      <c r="F3857" s="224" t="s">
        <v>249</v>
      </c>
      <c r="G3857" s="223" t="str">
        <f>VLOOKUP($B3857,'FRS geographical categories'!$A$2:$C$45,2,FALSE)</f>
        <v>Predominantly Urban</v>
      </c>
      <c r="H3857" s="223" t="str">
        <f>VLOOKUP($B3857,'FRS geographical categories'!$A$2:$C$45,3,FALSE)</f>
        <v>Metropolitan</v>
      </c>
      <c r="I3857" s="224">
        <v>3456</v>
      </c>
    </row>
    <row r="3858" spans="1:9" ht="15.5" x14ac:dyDescent="0.35">
      <c r="A3858" s="224" t="s">
        <v>247</v>
      </c>
      <c r="B3858" s="224" t="s">
        <v>52</v>
      </c>
      <c r="C3858" s="224" t="s">
        <v>86</v>
      </c>
      <c r="D3858" s="224" t="s">
        <v>9</v>
      </c>
      <c r="E3858" s="224" t="s">
        <v>256</v>
      </c>
      <c r="F3858" s="224" t="s">
        <v>250</v>
      </c>
      <c r="G3858" s="223" t="str">
        <f>VLOOKUP($B3858,'FRS geographical categories'!$A$2:$C$45,2,FALSE)</f>
        <v>Predominantly Urban</v>
      </c>
      <c r="H3858" s="223" t="str">
        <f>VLOOKUP($B3858,'FRS geographical categories'!$A$2:$C$45,3,FALSE)</f>
        <v>Metropolitan</v>
      </c>
      <c r="I3858" s="224">
        <v>3567</v>
      </c>
    </row>
    <row r="3859" spans="1:9" ht="15.5" x14ac:dyDescent="0.35">
      <c r="A3859" s="224" t="s">
        <v>247</v>
      </c>
      <c r="B3859" s="224" t="s">
        <v>52</v>
      </c>
      <c r="C3859" s="224" t="s">
        <v>86</v>
      </c>
      <c r="D3859" s="224" t="s">
        <v>9</v>
      </c>
      <c r="E3859" s="224" t="s">
        <v>256</v>
      </c>
      <c r="F3859" s="224" t="s">
        <v>111</v>
      </c>
      <c r="G3859" s="223" t="str">
        <f>VLOOKUP($B3859,'FRS geographical categories'!$A$2:$C$45,2,FALSE)</f>
        <v>Predominantly Urban</v>
      </c>
      <c r="H3859" s="223" t="str">
        <f>VLOOKUP($B3859,'FRS geographical categories'!$A$2:$C$45,3,FALSE)</f>
        <v>Metropolitan</v>
      </c>
      <c r="I3859" s="224">
        <v>12070</v>
      </c>
    </row>
    <row r="3860" spans="1:9" ht="15.5" x14ac:dyDescent="0.35">
      <c r="A3860" s="224" t="s">
        <v>247</v>
      </c>
      <c r="B3860" s="224" t="s">
        <v>52</v>
      </c>
      <c r="C3860" s="224" t="s">
        <v>86</v>
      </c>
      <c r="D3860" s="224" t="s">
        <v>9</v>
      </c>
      <c r="E3860" s="224" t="s">
        <v>256</v>
      </c>
      <c r="F3860" s="224" t="s">
        <v>10</v>
      </c>
      <c r="G3860" s="223" t="str">
        <f>VLOOKUP($B3860,'FRS geographical categories'!$A$2:$C$45,2,FALSE)</f>
        <v>Predominantly Urban</v>
      </c>
      <c r="H3860" s="223" t="str">
        <f>VLOOKUP($B3860,'FRS geographical categories'!$A$2:$C$45,3,FALSE)</f>
        <v>Metropolitan</v>
      </c>
      <c r="I3860" s="224">
        <v>12070</v>
      </c>
    </row>
    <row r="3861" spans="1:9" ht="15.5" x14ac:dyDescent="0.35">
      <c r="A3861" s="224" t="s">
        <v>247</v>
      </c>
      <c r="B3861" s="224" t="s">
        <v>52</v>
      </c>
      <c r="C3861" s="224" t="s">
        <v>86</v>
      </c>
      <c r="D3861" s="224" t="s">
        <v>55</v>
      </c>
      <c r="E3861" s="224" t="s">
        <v>256</v>
      </c>
      <c r="F3861" s="224" t="s">
        <v>248</v>
      </c>
      <c r="G3861" s="223" t="str">
        <f>VLOOKUP($B3861,'FRS geographical categories'!$A$2:$C$45,2,FALSE)</f>
        <v>Predominantly Urban</v>
      </c>
      <c r="H3861" s="223" t="str">
        <f>VLOOKUP($B3861,'FRS geographical categories'!$A$2:$C$45,3,FALSE)</f>
        <v>Metropolitan</v>
      </c>
      <c r="I3861" s="224">
        <v>0</v>
      </c>
    </row>
    <row r="3862" spans="1:9" ht="15.5" x14ac:dyDescent="0.35">
      <c r="A3862" s="224" t="s">
        <v>247</v>
      </c>
      <c r="B3862" s="224" t="s">
        <v>52</v>
      </c>
      <c r="C3862" s="224" t="s">
        <v>86</v>
      </c>
      <c r="D3862" s="224" t="s">
        <v>55</v>
      </c>
      <c r="E3862" s="224" t="s">
        <v>256</v>
      </c>
      <c r="F3862" s="224" t="s">
        <v>249</v>
      </c>
      <c r="G3862" s="223" t="str">
        <f>VLOOKUP($B3862,'FRS geographical categories'!$A$2:$C$45,2,FALSE)</f>
        <v>Predominantly Urban</v>
      </c>
      <c r="H3862" s="223" t="str">
        <f>VLOOKUP($B3862,'FRS geographical categories'!$A$2:$C$45,3,FALSE)</f>
        <v>Metropolitan</v>
      </c>
      <c r="I3862" s="224">
        <v>0</v>
      </c>
    </row>
    <row r="3863" spans="1:9" ht="15.5" x14ac:dyDescent="0.35">
      <c r="A3863" s="224" t="s">
        <v>247</v>
      </c>
      <c r="B3863" s="224" t="s">
        <v>52</v>
      </c>
      <c r="C3863" s="224" t="s">
        <v>86</v>
      </c>
      <c r="D3863" s="224" t="s">
        <v>55</v>
      </c>
      <c r="E3863" s="224" t="s">
        <v>256</v>
      </c>
      <c r="F3863" s="224" t="s">
        <v>250</v>
      </c>
      <c r="G3863" s="223" t="str">
        <f>VLOOKUP($B3863,'FRS geographical categories'!$A$2:$C$45,2,FALSE)</f>
        <v>Predominantly Urban</v>
      </c>
      <c r="H3863" s="223" t="str">
        <f>VLOOKUP($B3863,'FRS geographical categories'!$A$2:$C$45,3,FALSE)</f>
        <v>Metropolitan</v>
      </c>
      <c r="I3863" s="224">
        <v>0</v>
      </c>
    </row>
    <row r="3864" spans="1:9" ht="15.5" x14ac:dyDescent="0.35">
      <c r="A3864" s="224" t="s">
        <v>247</v>
      </c>
      <c r="B3864" s="224" t="s">
        <v>52</v>
      </c>
      <c r="C3864" s="224" t="s">
        <v>86</v>
      </c>
      <c r="D3864" s="224" t="s">
        <v>55</v>
      </c>
      <c r="E3864" s="224" t="s">
        <v>256</v>
      </c>
      <c r="F3864" s="224" t="s">
        <v>111</v>
      </c>
      <c r="G3864" s="223" t="str">
        <f>VLOOKUP($B3864,'FRS geographical categories'!$A$2:$C$45,2,FALSE)</f>
        <v>Predominantly Urban</v>
      </c>
      <c r="H3864" s="223" t="str">
        <f>VLOOKUP($B3864,'FRS geographical categories'!$A$2:$C$45,3,FALSE)</f>
        <v>Metropolitan</v>
      </c>
      <c r="I3864" s="224">
        <v>0</v>
      </c>
    </row>
    <row r="3865" spans="1:9" ht="15.5" x14ac:dyDescent="0.35">
      <c r="A3865" s="224" t="s">
        <v>247</v>
      </c>
      <c r="B3865" s="224" t="s">
        <v>52</v>
      </c>
      <c r="C3865" s="224" t="s">
        <v>86</v>
      </c>
      <c r="D3865" s="224" t="s">
        <v>55</v>
      </c>
      <c r="E3865" s="224" t="s">
        <v>256</v>
      </c>
      <c r="F3865" s="224" t="s">
        <v>10</v>
      </c>
      <c r="G3865" s="223" t="str">
        <f>VLOOKUP($B3865,'FRS geographical categories'!$A$2:$C$45,2,FALSE)</f>
        <v>Predominantly Urban</v>
      </c>
      <c r="H3865" s="223" t="str">
        <f>VLOOKUP($B3865,'FRS geographical categories'!$A$2:$C$45,3,FALSE)</f>
        <v>Metropolitan</v>
      </c>
      <c r="I3865" s="224">
        <v>0</v>
      </c>
    </row>
    <row r="3866" spans="1:9" ht="15.5" x14ac:dyDescent="0.35">
      <c r="A3866" s="224" t="s">
        <v>247</v>
      </c>
      <c r="B3866" s="224" t="s">
        <v>52</v>
      </c>
      <c r="C3866" s="224" t="s">
        <v>89</v>
      </c>
      <c r="D3866" s="224" t="s">
        <v>9</v>
      </c>
      <c r="E3866" s="224" t="s">
        <v>256</v>
      </c>
      <c r="F3866" s="224" t="s">
        <v>248</v>
      </c>
      <c r="G3866" s="223" t="str">
        <f>VLOOKUP($B3866,'FRS geographical categories'!$A$2:$C$45,2,FALSE)</f>
        <v>Predominantly Urban</v>
      </c>
      <c r="H3866" s="223" t="str">
        <f>VLOOKUP($B3866,'FRS geographical categories'!$A$2:$C$45,3,FALSE)</f>
        <v>Metropolitan</v>
      </c>
      <c r="I3866" s="224">
        <v>0</v>
      </c>
    </row>
    <row r="3867" spans="1:9" ht="15.5" x14ac:dyDescent="0.35">
      <c r="A3867" s="224" t="s">
        <v>247</v>
      </c>
      <c r="B3867" s="224" t="s">
        <v>52</v>
      </c>
      <c r="C3867" s="224" t="s">
        <v>89</v>
      </c>
      <c r="D3867" s="224" t="s">
        <v>9</v>
      </c>
      <c r="E3867" s="224" t="s">
        <v>256</v>
      </c>
      <c r="F3867" s="224" t="s">
        <v>249</v>
      </c>
      <c r="G3867" s="223" t="str">
        <f>VLOOKUP($B3867,'FRS geographical categories'!$A$2:$C$45,2,FALSE)</f>
        <v>Predominantly Urban</v>
      </c>
      <c r="H3867" s="223" t="str">
        <f>VLOOKUP($B3867,'FRS geographical categories'!$A$2:$C$45,3,FALSE)</f>
        <v>Metropolitan</v>
      </c>
      <c r="I3867" s="224">
        <v>0</v>
      </c>
    </row>
    <row r="3868" spans="1:9" ht="15.5" x14ac:dyDescent="0.35">
      <c r="A3868" s="224" t="s">
        <v>247</v>
      </c>
      <c r="B3868" s="224" t="s">
        <v>52</v>
      </c>
      <c r="C3868" s="224" t="s">
        <v>89</v>
      </c>
      <c r="D3868" s="224" t="s">
        <v>9</v>
      </c>
      <c r="E3868" s="224" t="s">
        <v>256</v>
      </c>
      <c r="F3868" s="224" t="s">
        <v>250</v>
      </c>
      <c r="G3868" s="223" t="str">
        <f>VLOOKUP($B3868,'FRS geographical categories'!$A$2:$C$45,2,FALSE)</f>
        <v>Predominantly Urban</v>
      </c>
      <c r="H3868" s="223" t="str">
        <f>VLOOKUP($B3868,'FRS geographical categories'!$A$2:$C$45,3,FALSE)</f>
        <v>Metropolitan</v>
      </c>
      <c r="I3868" s="224">
        <v>0</v>
      </c>
    </row>
    <row r="3869" spans="1:9" ht="15.5" x14ac:dyDescent="0.35">
      <c r="A3869" s="224" t="s">
        <v>247</v>
      </c>
      <c r="B3869" s="224" t="s">
        <v>52</v>
      </c>
      <c r="C3869" s="224" t="s">
        <v>89</v>
      </c>
      <c r="D3869" s="224" t="s">
        <v>9</v>
      </c>
      <c r="E3869" s="224" t="s">
        <v>256</v>
      </c>
      <c r="F3869" s="224" t="s">
        <v>10</v>
      </c>
      <c r="G3869" s="223" t="str">
        <f>VLOOKUP($B3869,'FRS geographical categories'!$A$2:$C$45,2,FALSE)</f>
        <v>Predominantly Urban</v>
      </c>
      <c r="H3869" s="223" t="str">
        <f>VLOOKUP($B3869,'FRS geographical categories'!$A$2:$C$45,3,FALSE)</f>
        <v>Metropolitan</v>
      </c>
      <c r="I3869" s="224">
        <v>0</v>
      </c>
    </row>
    <row r="3870" spans="1:9" ht="15.5" x14ac:dyDescent="0.35">
      <c r="A3870" s="224" t="s">
        <v>247</v>
      </c>
      <c r="B3870" s="224" t="s">
        <v>52</v>
      </c>
      <c r="C3870" s="224" t="s">
        <v>89</v>
      </c>
      <c r="D3870" s="224" t="s">
        <v>55</v>
      </c>
      <c r="E3870" s="224" t="s">
        <v>256</v>
      </c>
      <c r="F3870" s="224" t="s">
        <v>248</v>
      </c>
      <c r="G3870" s="223" t="str">
        <f>VLOOKUP($B3870,'FRS geographical categories'!$A$2:$C$45,2,FALSE)</f>
        <v>Predominantly Urban</v>
      </c>
      <c r="H3870" s="223" t="str">
        <f>VLOOKUP($B3870,'FRS geographical categories'!$A$2:$C$45,3,FALSE)</f>
        <v>Metropolitan</v>
      </c>
      <c r="I3870" s="224">
        <v>0</v>
      </c>
    </row>
    <row r="3871" spans="1:9" ht="15.5" x14ac:dyDescent="0.35">
      <c r="A3871" s="224" t="s">
        <v>247</v>
      </c>
      <c r="B3871" s="224" t="s">
        <v>52</v>
      </c>
      <c r="C3871" s="224" t="s">
        <v>89</v>
      </c>
      <c r="D3871" s="224" t="s">
        <v>55</v>
      </c>
      <c r="E3871" s="224" t="s">
        <v>256</v>
      </c>
      <c r="F3871" s="224" t="s">
        <v>249</v>
      </c>
      <c r="G3871" s="223" t="str">
        <f>VLOOKUP($B3871,'FRS geographical categories'!$A$2:$C$45,2,FALSE)</f>
        <v>Predominantly Urban</v>
      </c>
      <c r="H3871" s="223" t="str">
        <f>VLOOKUP($B3871,'FRS geographical categories'!$A$2:$C$45,3,FALSE)</f>
        <v>Metropolitan</v>
      </c>
      <c r="I3871" s="224">
        <v>0</v>
      </c>
    </row>
    <row r="3872" spans="1:9" ht="15.5" x14ac:dyDescent="0.35">
      <c r="A3872" s="224" t="s">
        <v>247</v>
      </c>
      <c r="B3872" s="224" t="s">
        <v>52</v>
      </c>
      <c r="C3872" s="224" t="s">
        <v>89</v>
      </c>
      <c r="D3872" s="224" t="s">
        <v>55</v>
      </c>
      <c r="E3872" s="224" t="s">
        <v>256</v>
      </c>
      <c r="F3872" s="224" t="s">
        <v>250</v>
      </c>
      <c r="G3872" s="223" t="str">
        <f>VLOOKUP($B3872,'FRS geographical categories'!$A$2:$C$45,2,FALSE)</f>
        <v>Predominantly Urban</v>
      </c>
      <c r="H3872" s="223" t="str">
        <f>VLOOKUP($B3872,'FRS geographical categories'!$A$2:$C$45,3,FALSE)</f>
        <v>Metropolitan</v>
      </c>
      <c r="I3872" s="224">
        <v>0</v>
      </c>
    </row>
    <row r="3873" spans="1:9" ht="15.5" x14ac:dyDescent="0.35">
      <c r="A3873" s="224" t="s">
        <v>247</v>
      </c>
      <c r="B3873" s="224" t="s">
        <v>52</v>
      </c>
      <c r="C3873" s="224" t="s">
        <v>89</v>
      </c>
      <c r="D3873" s="224" t="s">
        <v>55</v>
      </c>
      <c r="E3873" s="224" t="s">
        <v>256</v>
      </c>
      <c r="F3873" s="224" t="s">
        <v>10</v>
      </c>
      <c r="G3873" s="223" t="str">
        <f>VLOOKUP($B3873,'FRS geographical categories'!$A$2:$C$45,2,FALSE)</f>
        <v>Predominantly Urban</v>
      </c>
      <c r="H3873" s="223" t="str">
        <f>VLOOKUP($B3873,'FRS geographical categories'!$A$2:$C$45,3,FALSE)</f>
        <v>Metropolitan</v>
      </c>
      <c r="I3873" s="224">
        <v>0</v>
      </c>
    </row>
  </sheetData>
  <autoFilter ref="A1:I3873" xr:uid="{8D1E9FC0-D67F-4D50-8682-B8945085FBEB}"/>
  <pageMargins left="0.7" right="0.7" top="0.75" bottom="0.75" header="0.3" footer="0.3"/>
  <pageSetup paperSize="9" orientation="portrait" r:id="rId1"/>
  <headerFooter>
    <oddHeader>&amp;C&amp;"Aptos"&amp;10&amp;K000000 OFFICIAL&amp;1#_x000D_</oddHeader>
    <oddFooter>&amp;C_x000D_&amp;1#&amp;"Aptos"&amp;10&amp;K000000 OFFICIAL</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4FE05B-07C3-4161-8D2F-7D4884BB3446}">
  <dimension ref="A1:G1585"/>
  <sheetViews>
    <sheetView zoomScaleNormal="100" workbookViewId="0">
      <selection activeCell="G2" sqref="G2"/>
    </sheetView>
  </sheetViews>
  <sheetFormatPr defaultColWidth="8.81640625" defaultRowHeight="14.5" customHeight="1" x14ac:dyDescent="0.35"/>
  <cols>
    <col min="1" max="1" width="15" style="98" bestFit="1" customWidth="1"/>
    <col min="2" max="2" width="24.54296875" style="98" bestFit="1" customWidth="1"/>
    <col min="3" max="3" width="32" style="98" bestFit="1" customWidth="1"/>
    <col min="4" max="4" width="45.81640625" style="98" bestFit="1" customWidth="1"/>
    <col min="5" max="5" width="18.81640625" style="98" bestFit="1" customWidth="1"/>
    <col min="6" max="6" width="16.81640625" style="98" bestFit="1" customWidth="1"/>
    <col min="7" max="16384" width="8.81640625" style="98"/>
  </cols>
  <sheetData>
    <row r="1" spans="1:7" ht="14.5" customHeight="1" x14ac:dyDescent="0.35">
      <c r="A1" s="98" t="s">
        <v>0</v>
      </c>
      <c r="B1" s="98" t="s">
        <v>1</v>
      </c>
      <c r="C1" s="98" t="s">
        <v>101</v>
      </c>
      <c r="D1" s="98" t="s">
        <v>2</v>
      </c>
      <c r="E1" s="98" t="s">
        <v>3</v>
      </c>
      <c r="F1" s="98" t="s">
        <v>4</v>
      </c>
      <c r="G1" s="98" t="s">
        <v>5</v>
      </c>
    </row>
    <row r="2" spans="1:7" ht="15.5" x14ac:dyDescent="0.35">
      <c r="A2" s="224" t="s">
        <v>7</v>
      </c>
      <c r="B2" s="224" t="s">
        <v>8</v>
      </c>
      <c r="C2" s="224" t="s">
        <v>102</v>
      </c>
      <c r="D2" s="224" t="s">
        <v>257</v>
      </c>
      <c r="E2" s="224" t="str">
        <f>VLOOKUP($B2,'FRS geographical categories'!$A$2:$C$45,2,FALSE)</f>
        <v>Predominantly Urban</v>
      </c>
      <c r="F2" s="224" t="str">
        <f>VLOOKUP($B2,'FRS geographical categories'!$A$2:$C$45,3,FALSE)</f>
        <v>Non-metropolitan</v>
      </c>
      <c r="G2" s="98">
        <v>0</v>
      </c>
    </row>
    <row r="3" spans="1:7" ht="15.5" x14ac:dyDescent="0.35">
      <c r="A3" s="224" t="s">
        <v>7</v>
      </c>
      <c r="B3" s="224" t="s">
        <v>8</v>
      </c>
      <c r="C3" s="224" t="s">
        <v>105</v>
      </c>
      <c r="D3" s="224" t="s">
        <v>257</v>
      </c>
      <c r="E3" s="224" t="str">
        <f>VLOOKUP($B3,'FRS geographical categories'!$A$2:$C$45,2,FALSE)</f>
        <v>Predominantly Urban</v>
      </c>
      <c r="F3" s="224" t="str">
        <f>VLOOKUP($B3,'FRS geographical categories'!$A$2:$C$45,3,FALSE)</f>
        <v>Non-metropolitan</v>
      </c>
      <c r="G3" s="98">
        <v>0</v>
      </c>
    </row>
    <row r="4" spans="1:7" ht="15.5" x14ac:dyDescent="0.35">
      <c r="A4" s="224" t="s">
        <v>7</v>
      </c>
      <c r="B4" s="224" t="s">
        <v>8</v>
      </c>
      <c r="C4" s="224" t="s">
        <v>106</v>
      </c>
      <c r="D4" s="224" t="s">
        <v>257</v>
      </c>
      <c r="E4" s="224" t="str">
        <f>VLOOKUP($B4,'FRS geographical categories'!$A$2:$C$45,2,FALSE)</f>
        <v>Predominantly Urban</v>
      </c>
      <c r="F4" s="224" t="str">
        <f>VLOOKUP($B4,'FRS geographical categories'!$A$2:$C$45,3,FALSE)</f>
        <v>Non-metropolitan</v>
      </c>
      <c r="G4" s="98">
        <v>0</v>
      </c>
    </row>
    <row r="5" spans="1:7" ht="15.5" x14ac:dyDescent="0.35">
      <c r="A5" s="224" t="s">
        <v>7</v>
      </c>
      <c r="B5" s="224" t="s">
        <v>8</v>
      </c>
      <c r="C5" s="224" t="s">
        <v>107</v>
      </c>
      <c r="D5" s="224" t="s">
        <v>257</v>
      </c>
      <c r="E5" s="224" t="str">
        <f>VLOOKUP($B5,'FRS geographical categories'!$A$2:$C$45,2,FALSE)</f>
        <v>Predominantly Urban</v>
      </c>
      <c r="F5" s="224" t="str">
        <f>VLOOKUP($B5,'FRS geographical categories'!$A$2:$C$45,3,FALSE)</f>
        <v>Non-metropolitan</v>
      </c>
      <c r="G5" s="98">
        <v>0</v>
      </c>
    </row>
    <row r="6" spans="1:7" ht="15.5" x14ac:dyDescent="0.35">
      <c r="A6" s="224" t="s">
        <v>7</v>
      </c>
      <c r="B6" s="224" t="s">
        <v>8</v>
      </c>
      <c r="C6" s="224" t="s">
        <v>108</v>
      </c>
      <c r="D6" s="224" t="s">
        <v>257</v>
      </c>
      <c r="E6" s="224" t="str">
        <f>VLOOKUP($B6,'FRS geographical categories'!$A$2:$C$45,2,FALSE)</f>
        <v>Predominantly Urban</v>
      </c>
      <c r="F6" s="224" t="str">
        <f>VLOOKUP($B6,'FRS geographical categories'!$A$2:$C$45,3,FALSE)</f>
        <v>Non-metropolitan</v>
      </c>
      <c r="G6" s="98">
        <v>0</v>
      </c>
    </row>
    <row r="7" spans="1:7" ht="15.5" x14ac:dyDescent="0.35">
      <c r="A7" s="224" t="s">
        <v>7</v>
      </c>
      <c r="B7" s="224" t="s">
        <v>8</v>
      </c>
      <c r="C7" s="224" t="s">
        <v>109</v>
      </c>
      <c r="D7" s="224" t="s">
        <v>257</v>
      </c>
      <c r="E7" s="224" t="str">
        <f>VLOOKUP($B7,'FRS geographical categories'!$A$2:$C$45,2,FALSE)</f>
        <v>Predominantly Urban</v>
      </c>
      <c r="F7" s="224" t="str">
        <f>VLOOKUP($B7,'FRS geographical categories'!$A$2:$C$45,3,FALSE)</f>
        <v>Non-metropolitan</v>
      </c>
      <c r="G7" s="98">
        <v>0</v>
      </c>
    </row>
    <row r="8" spans="1:7" ht="15.5" x14ac:dyDescent="0.35">
      <c r="A8" s="224" t="s">
        <v>7</v>
      </c>
      <c r="B8" s="224" t="s">
        <v>11</v>
      </c>
      <c r="C8" s="224" t="s">
        <v>102</v>
      </c>
      <c r="D8" s="224" t="s">
        <v>257</v>
      </c>
      <c r="E8" s="224" t="str">
        <f>VLOOKUP($B8,'FRS geographical categories'!$A$2:$C$45,2,FALSE)</f>
        <v>Significantly Rural</v>
      </c>
      <c r="F8" s="224" t="str">
        <f>VLOOKUP($B8,'FRS geographical categories'!$A$2:$C$45,3,FALSE)</f>
        <v>Non-metropolitan</v>
      </c>
      <c r="G8" s="98">
        <v>0</v>
      </c>
    </row>
    <row r="9" spans="1:7" ht="15.5" x14ac:dyDescent="0.35">
      <c r="A9" s="224" t="s">
        <v>7</v>
      </c>
      <c r="B9" s="224" t="s">
        <v>11</v>
      </c>
      <c r="C9" s="224" t="s">
        <v>105</v>
      </c>
      <c r="D9" s="224" t="s">
        <v>257</v>
      </c>
      <c r="E9" s="224" t="str">
        <f>VLOOKUP($B9,'FRS geographical categories'!$A$2:$C$45,2,FALSE)</f>
        <v>Significantly Rural</v>
      </c>
      <c r="F9" s="224" t="str">
        <f>VLOOKUP($B9,'FRS geographical categories'!$A$2:$C$45,3,FALSE)</f>
        <v>Non-metropolitan</v>
      </c>
      <c r="G9" s="98">
        <v>563</v>
      </c>
    </row>
    <row r="10" spans="1:7" ht="15.5" x14ac:dyDescent="0.35">
      <c r="A10" s="224" t="s">
        <v>7</v>
      </c>
      <c r="B10" s="224" t="s">
        <v>11</v>
      </c>
      <c r="C10" s="224" t="s">
        <v>106</v>
      </c>
      <c r="D10" s="224" t="s">
        <v>257</v>
      </c>
      <c r="E10" s="224" t="str">
        <f>VLOOKUP($B10,'FRS geographical categories'!$A$2:$C$45,2,FALSE)</f>
        <v>Significantly Rural</v>
      </c>
      <c r="F10" s="224" t="str">
        <f>VLOOKUP($B10,'FRS geographical categories'!$A$2:$C$45,3,FALSE)</f>
        <v>Non-metropolitan</v>
      </c>
      <c r="G10" s="98">
        <v>10428</v>
      </c>
    </row>
    <row r="11" spans="1:7" ht="15.5" x14ac:dyDescent="0.35">
      <c r="A11" s="224" t="s">
        <v>7</v>
      </c>
      <c r="B11" s="224" t="s">
        <v>11</v>
      </c>
      <c r="C11" s="224" t="s">
        <v>107</v>
      </c>
      <c r="D11" s="224" t="s">
        <v>257</v>
      </c>
      <c r="E11" s="224" t="str">
        <f>VLOOKUP($B11,'FRS geographical categories'!$A$2:$C$45,2,FALSE)</f>
        <v>Significantly Rural</v>
      </c>
      <c r="F11" s="224" t="str">
        <f>VLOOKUP($B11,'FRS geographical categories'!$A$2:$C$45,3,FALSE)</f>
        <v>Non-metropolitan</v>
      </c>
      <c r="G11" s="98">
        <v>0</v>
      </c>
    </row>
    <row r="12" spans="1:7" ht="15.5" x14ac:dyDescent="0.35">
      <c r="A12" s="224" t="s">
        <v>7</v>
      </c>
      <c r="B12" s="224" t="s">
        <v>11</v>
      </c>
      <c r="C12" s="224" t="s">
        <v>108</v>
      </c>
      <c r="D12" s="224" t="s">
        <v>257</v>
      </c>
      <c r="E12" s="224" t="str">
        <f>VLOOKUP($B12,'FRS geographical categories'!$A$2:$C$45,2,FALSE)</f>
        <v>Significantly Rural</v>
      </c>
      <c r="F12" s="224" t="str">
        <f>VLOOKUP($B12,'FRS geographical categories'!$A$2:$C$45,3,FALSE)</f>
        <v>Non-metropolitan</v>
      </c>
      <c r="G12" s="98">
        <v>1401</v>
      </c>
    </row>
    <row r="13" spans="1:7" ht="15.5" x14ac:dyDescent="0.35">
      <c r="A13" s="224" t="s">
        <v>7</v>
      </c>
      <c r="B13" s="224" t="s">
        <v>11</v>
      </c>
      <c r="C13" s="224" t="s">
        <v>109</v>
      </c>
      <c r="D13" s="224" t="s">
        <v>257</v>
      </c>
      <c r="E13" s="224" t="str">
        <f>VLOOKUP($B13,'FRS geographical categories'!$A$2:$C$45,2,FALSE)</f>
        <v>Significantly Rural</v>
      </c>
      <c r="F13" s="224" t="str">
        <f>VLOOKUP($B13,'FRS geographical categories'!$A$2:$C$45,3,FALSE)</f>
        <v>Non-metropolitan</v>
      </c>
      <c r="G13" s="98">
        <v>0</v>
      </c>
    </row>
    <row r="14" spans="1:7" ht="15.5" x14ac:dyDescent="0.35">
      <c r="A14" s="224" t="s">
        <v>7</v>
      </c>
      <c r="B14" s="224" t="s">
        <v>12</v>
      </c>
      <c r="C14" s="224" t="s">
        <v>102</v>
      </c>
      <c r="D14" s="224" t="s">
        <v>257</v>
      </c>
      <c r="E14" s="224" t="str">
        <f>VLOOKUP($B14,'FRS geographical categories'!$A$2:$C$45,2,FALSE)</f>
        <v>Predominantly Urban</v>
      </c>
      <c r="F14" s="224" t="str">
        <f>VLOOKUP($B14,'FRS geographical categories'!$A$2:$C$45,3,FALSE)</f>
        <v>Non-metropolitan</v>
      </c>
      <c r="G14" s="98">
        <v>0</v>
      </c>
    </row>
    <row r="15" spans="1:7" ht="15.5" x14ac:dyDescent="0.35">
      <c r="A15" s="224" t="s">
        <v>7</v>
      </c>
      <c r="B15" s="224" t="s">
        <v>12</v>
      </c>
      <c r="C15" s="224" t="s">
        <v>105</v>
      </c>
      <c r="D15" s="224" t="s">
        <v>257</v>
      </c>
      <c r="E15" s="224" t="str">
        <f>VLOOKUP($B15,'FRS geographical categories'!$A$2:$C$45,2,FALSE)</f>
        <v>Predominantly Urban</v>
      </c>
      <c r="F15" s="224" t="str">
        <f>VLOOKUP($B15,'FRS geographical categories'!$A$2:$C$45,3,FALSE)</f>
        <v>Non-metropolitan</v>
      </c>
      <c r="G15" s="98">
        <v>0</v>
      </c>
    </row>
    <row r="16" spans="1:7" ht="15.5" x14ac:dyDescent="0.35">
      <c r="A16" s="224" t="s">
        <v>7</v>
      </c>
      <c r="B16" s="224" t="s">
        <v>12</v>
      </c>
      <c r="C16" s="224" t="s">
        <v>106</v>
      </c>
      <c r="D16" s="224" t="s">
        <v>257</v>
      </c>
      <c r="E16" s="224" t="str">
        <f>VLOOKUP($B16,'FRS geographical categories'!$A$2:$C$45,2,FALSE)</f>
        <v>Predominantly Urban</v>
      </c>
      <c r="F16" s="224" t="str">
        <f>VLOOKUP($B16,'FRS geographical categories'!$A$2:$C$45,3,FALSE)</f>
        <v>Non-metropolitan</v>
      </c>
      <c r="G16" s="98">
        <v>17520</v>
      </c>
    </row>
    <row r="17" spans="1:7" ht="15.5" x14ac:dyDescent="0.35">
      <c r="A17" s="224" t="s">
        <v>7</v>
      </c>
      <c r="B17" s="224" t="s">
        <v>12</v>
      </c>
      <c r="C17" s="224" t="s">
        <v>107</v>
      </c>
      <c r="D17" s="224" t="s">
        <v>257</v>
      </c>
      <c r="E17" s="224" t="str">
        <f>VLOOKUP($B17,'FRS geographical categories'!$A$2:$C$45,2,FALSE)</f>
        <v>Predominantly Urban</v>
      </c>
      <c r="F17" s="224" t="str">
        <f>VLOOKUP($B17,'FRS geographical categories'!$A$2:$C$45,3,FALSE)</f>
        <v>Non-metropolitan</v>
      </c>
      <c r="G17" s="98">
        <v>90</v>
      </c>
    </row>
    <row r="18" spans="1:7" ht="15.5" x14ac:dyDescent="0.35">
      <c r="A18" s="224" t="s">
        <v>7</v>
      </c>
      <c r="B18" s="224" t="s">
        <v>12</v>
      </c>
      <c r="C18" s="224" t="s">
        <v>108</v>
      </c>
      <c r="D18" s="224" t="s">
        <v>257</v>
      </c>
      <c r="E18" s="224" t="str">
        <f>VLOOKUP($B18,'FRS geographical categories'!$A$2:$C$45,2,FALSE)</f>
        <v>Predominantly Urban</v>
      </c>
      <c r="F18" s="224" t="str">
        <f>VLOOKUP($B18,'FRS geographical categories'!$A$2:$C$45,3,FALSE)</f>
        <v>Non-metropolitan</v>
      </c>
      <c r="G18" s="98">
        <v>1247</v>
      </c>
    </row>
    <row r="19" spans="1:7" ht="15.5" x14ac:dyDescent="0.35">
      <c r="A19" s="224" t="s">
        <v>7</v>
      </c>
      <c r="B19" s="224" t="s">
        <v>12</v>
      </c>
      <c r="C19" s="224" t="s">
        <v>109</v>
      </c>
      <c r="D19" s="224" t="s">
        <v>257</v>
      </c>
      <c r="E19" s="224" t="str">
        <f>VLOOKUP($B19,'FRS geographical categories'!$A$2:$C$45,2,FALSE)</f>
        <v>Predominantly Urban</v>
      </c>
      <c r="F19" s="224" t="str">
        <f>VLOOKUP($B19,'FRS geographical categories'!$A$2:$C$45,3,FALSE)</f>
        <v>Non-metropolitan</v>
      </c>
      <c r="G19" s="98">
        <v>0</v>
      </c>
    </row>
    <row r="20" spans="1:7" ht="15.5" x14ac:dyDescent="0.35">
      <c r="A20" s="224" t="s">
        <v>7</v>
      </c>
      <c r="B20" s="224" t="s">
        <v>13</v>
      </c>
      <c r="C20" s="224" t="s">
        <v>102</v>
      </c>
      <c r="D20" s="224" t="s">
        <v>257</v>
      </c>
      <c r="E20" s="224" t="str">
        <f>VLOOKUP($B20,'FRS geographical categories'!$A$2:$C$45,2,FALSE)</f>
        <v>Significantly Rural</v>
      </c>
      <c r="F20" s="224" t="str">
        <f>VLOOKUP($B20,'FRS geographical categories'!$A$2:$C$45,3,FALSE)</f>
        <v>Non-metropolitan</v>
      </c>
      <c r="G20" s="98">
        <v>0</v>
      </c>
    </row>
    <row r="21" spans="1:7" ht="15.5" x14ac:dyDescent="0.35">
      <c r="A21" s="224" t="s">
        <v>7</v>
      </c>
      <c r="B21" s="224" t="s">
        <v>13</v>
      </c>
      <c r="C21" s="224" t="s">
        <v>105</v>
      </c>
      <c r="D21" s="224" t="s">
        <v>257</v>
      </c>
      <c r="E21" s="224" t="str">
        <f>VLOOKUP($B21,'FRS geographical categories'!$A$2:$C$45,2,FALSE)</f>
        <v>Significantly Rural</v>
      </c>
      <c r="F21" s="224" t="str">
        <f>VLOOKUP($B21,'FRS geographical categories'!$A$2:$C$45,3,FALSE)</f>
        <v>Non-metropolitan</v>
      </c>
      <c r="G21" s="98">
        <v>0</v>
      </c>
    </row>
    <row r="22" spans="1:7" ht="15.5" x14ac:dyDescent="0.35">
      <c r="A22" s="224" t="s">
        <v>7</v>
      </c>
      <c r="B22" s="224" t="s">
        <v>13</v>
      </c>
      <c r="C22" s="224" t="s">
        <v>106</v>
      </c>
      <c r="D22" s="224" t="s">
        <v>257</v>
      </c>
      <c r="E22" s="224" t="str">
        <f>VLOOKUP($B22,'FRS geographical categories'!$A$2:$C$45,2,FALSE)</f>
        <v>Significantly Rural</v>
      </c>
      <c r="F22" s="224" t="str">
        <f>VLOOKUP($B22,'FRS geographical categories'!$A$2:$C$45,3,FALSE)</f>
        <v>Non-metropolitan</v>
      </c>
      <c r="G22" s="98">
        <v>3560</v>
      </c>
    </row>
    <row r="23" spans="1:7" ht="15.5" x14ac:dyDescent="0.35">
      <c r="A23" s="224" t="s">
        <v>7</v>
      </c>
      <c r="B23" s="224" t="s">
        <v>13</v>
      </c>
      <c r="C23" s="224" t="s">
        <v>107</v>
      </c>
      <c r="D23" s="224" t="s">
        <v>257</v>
      </c>
      <c r="E23" s="224" t="str">
        <f>VLOOKUP($B23,'FRS geographical categories'!$A$2:$C$45,2,FALSE)</f>
        <v>Significantly Rural</v>
      </c>
      <c r="F23" s="224" t="str">
        <f>VLOOKUP($B23,'FRS geographical categories'!$A$2:$C$45,3,FALSE)</f>
        <v>Non-metropolitan</v>
      </c>
      <c r="G23" s="98">
        <v>0</v>
      </c>
    </row>
    <row r="24" spans="1:7" ht="15.5" x14ac:dyDescent="0.35">
      <c r="A24" s="224" t="s">
        <v>7</v>
      </c>
      <c r="B24" s="224" t="s">
        <v>13</v>
      </c>
      <c r="C24" s="224" t="s">
        <v>108</v>
      </c>
      <c r="D24" s="224" t="s">
        <v>257</v>
      </c>
      <c r="E24" s="224" t="str">
        <f>VLOOKUP($B24,'FRS geographical categories'!$A$2:$C$45,2,FALSE)</f>
        <v>Significantly Rural</v>
      </c>
      <c r="F24" s="224" t="str">
        <f>VLOOKUP($B24,'FRS geographical categories'!$A$2:$C$45,3,FALSE)</f>
        <v>Non-metropolitan</v>
      </c>
      <c r="G24" s="98">
        <v>59</v>
      </c>
    </row>
    <row r="25" spans="1:7" ht="15.5" x14ac:dyDescent="0.35">
      <c r="A25" s="224" t="s">
        <v>7</v>
      </c>
      <c r="B25" s="224" t="s">
        <v>13</v>
      </c>
      <c r="C25" s="224" t="s">
        <v>109</v>
      </c>
      <c r="D25" s="224" t="s">
        <v>257</v>
      </c>
      <c r="E25" s="224" t="str">
        <f>VLOOKUP($B25,'FRS geographical categories'!$A$2:$C$45,2,FALSE)</f>
        <v>Significantly Rural</v>
      </c>
      <c r="F25" s="224" t="str">
        <f>VLOOKUP($B25,'FRS geographical categories'!$A$2:$C$45,3,FALSE)</f>
        <v>Non-metropolitan</v>
      </c>
      <c r="G25" s="98">
        <v>0</v>
      </c>
    </row>
    <row r="26" spans="1:7" ht="15.5" x14ac:dyDescent="0.35">
      <c r="A26" s="224" t="s">
        <v>7</v>
      </c>
      <c r="B26" s="224" t="s">
        <v>14</v>
      </c>
      <c r="C26" s="224" t="s">
        <v>102</v>
      </c>
      <c r="D26" s="224" t="s">
        <v>257</v>
      </c>
      <c r="E26" s="224" t="str">
        <f>VLOOKUP($B26,'FRS geographical categories'!$A$2:$C$45,2,FALSE)</f>
        <v>Predominantly Rural</v>
      </c>
      <c r="F26" s="224" t="str">
        <f>VLOOKUP($B26,'FRS geographical categories'!$A$2:$C$45,3,FALSE)</f>
        <v>Non-metropolitan</v>
      </c>
      <c r="G26" s="98">
        <v>0</v>
      </c>
    </row>
    <row r="27" spans="1:7" ht="15.5" x14ac:dyDescent="0.35">
      <c r="A27" s="224" t="s">
        <v>7</v>
      </c>
      <c r="B27" s="224" t="s">
        <v>14</v>
      </c>
      <c r="C27" s="224" t="s">
        <v>105</v>
      </c>
      <c r="D27" s="224" t="s">
        <v>257</v>
      </c>
      <c r="E27" s="224" t="str">
        <f>VLOOKUP($B27,'FRS geographical categories'!$A$2:$C$45,2,FALSE)</f>
        <v>Predominantly Rural</v>
      </c>
      <c r="F27" s="224" t="str">
        <f>VLOOKUP($B27,'FRS geographical categories'!$A$2:$C$45,3,FALSE)</f>
        <v>Non-metropolitan</v>
      </c>
      <c r="G27" s="98">
        <v>0</v>
      </c>
    </row>
    <row r="28" spans="1:7" ht="15.5" x14ac:dyDescent="0.35">
      <c r="A28" s="224" t="s">
        <v>7</v>
      </c>
      <c r="B28" s="224" t="s">
        <v>14</v>
      </c>
      <c r="C28" s="224" t="s">
        <v>106</v>
      </c>
      <c r="D28" s="224" t="s">
        <v>257</v>
      </c>
      <c r="E28" s="224" t="str">
        <f>VLOOKUP($B28,'FRS geographical categories'!$A$2:$C$45,2,FALSE)</f>
        <v>Predominantly Rural</v>
      </c>
      <c r="F28" s="224" t="str">
        <f>VLOOKUP($B28,'FRS geographical categories'!$A$2:$C$45,3,FALSE)</f>
        <v>Non-metropolitan</v>
      </c>
      <c r="G28" s="98">
        <v>2441</v>
      </c>
    </row>
    <row r="29" spans="1:7" ht="15.5" x14ac:dyDescent="0.35">
      <c r="A29" s="224" t="s">
        <v>7</v>
      </c>
      <c r="B29" s="224" t="s">
        <v>14</v>
      </c>
      <c r="C29" s="224" t="s">
        <v>107</v>
      </c>
      <c r="D29" s="224" t="s">
        <v>257</v>
      </c>
      <c r="E29" s="224" t="str">
        <f>VLOOKUP($B29,'FRS geographical categories'!$A$2:$C$45,2,FALSE)</f>
        <v>Predominantly Rural</v>
      </c>
      <c r="F29" s="224" t="str">
        <f>VLOOKUP($B29,'FRS geographical categories'!$A$2:$C$45,3,FALSE)</f>
        <v>Non-metropolitan</v>
      </c>
      <c r="G29" s="98">
        <v>0</v>
      </c>
    </row>
    <row r="30" spans="1:7" ht="15.5" x14ac:dyDescent="0.35">
      <c r="A30" s="224" t="s">
        <v>7</v>
      </c>
      <c r="B30" s="224" t="s">
        <v>14</v>
      </c>
      <c r="C30" s="224" t="s">
        <v>108</v>
      </c>
      <c r="D30" s="224" t="s">
        <v>257</v>
      </c>
      <c r="E30" s="224" t="str">
        <f>VLOOKUP($B30,'FRS geographical categories'!$A$2:$C$45,2,FALSE)</f>
        <v>Predominantly Rural</v>
      </c>
      <c r="F30" s="224" t="str">
        <f>VLOOKUP($B30,'FRS geographical categories'!$A$2:$C$45,3,FALSE)</f>
        <v>Non-metropolitan</v>
      </c>
      <c r="G30" s="98">
        <v>2380</v>
      </c>
    </row>
    <row r="31" spans="1:7" ht="15.5" x14ac:dyDescent="0.35">
      <c r="A31" s="224" t="s">
        <v>7</v>
      </c>
      <c r="B31" s="224" t="s">
        <v>14</v>
      </c>
      <c r="C31" s="224" t="s">
        <v>109</v>
      </c>
      <c r="D31" s="224" t="s">
        <v>257</v>
      </c>
      <c r="E31" s="224" t="str">
        <f>VLOOKUP($B31,'FRS geographical categories'!$A$2:$C$45,2,FALSE)</f>
        <v>Predominantly Rural</v>
      </c>
      <c r="F31" s="224" t="str">
        <f>VLOOKUP($B31,'FRS geographical categories'!$A$2:$C$45,3,FALSE)</f>
        <v>Non-metropolitan</v>
      </c>
      <c r="G31" s="98">
        <v>635</v>
      </c>
    </row>
    <row r="32" spans="1:7" ht="15.5" x14ac:dyDescent="0.35">
      <c r="A32" s="224" t="s">
        <v>7</v>
      </c>
      <c r="B32" s="224" t="s">
        <v>15</v>
      </c>
      <c r="C32" s="224" t="s">
        <v>102</v>
      </c>
      <c r="D32" s="224" t="s">
        <v>257</v>
      </c>
      <c r="E32" s="224" t="str">
        <f>VLOOKUP($B32,'FRS geographical categories'!$A$2:$C$45,2,FALSE)</f>
        <v>Significantly Rural</v>
      </c>
      <c r="F32" s="224" t="str">
        <f>VLOOKUP($B32,'FRS geographical categories'!$A$2:$C$45,3,FALSE)</f>
        <v>Non-metropolitan</v>
      </c>
      <c r="G32" s="98">
        <v>24818</v>
      </c>
    </row>
    <row r="33" spans="1:7" ht="15.5" x14ac:dyDescent="0.35">
      <c r="A33" s="224" t="s">
        <v>7</v>
      </c>
      <c r="B33" s="224" t="s">
        <v>15</v>
      </c>
      <c r="C33" s="224" t="s">
        <v>105</v>
      </c>
      <c r="D33" s="224" t="s">
        <v>257</v>
      </c>
      <c r="E33" s="224" t="str">
        <f>VLOOKUP($B33,'FRS geographical categories'!$A$2:$C$45,2,FALSE)</f>
        <v>Significantly Rural</v>
      </c>
      <c r="F33" s="224" t="str">
        <f>VLOOKUP($B33,'FRS geographical categories'!$A$2:$C$45,3,FALSE)</f>
        <v>Non-metropolitan</v>
      </c>
      <c r="G33" s="98">
        <v>0</v>
      </c>
    </row>
    <row r="34" spans="1:7" ht="15.5" x14ac:dyDescent="0.35">
      <c r="A34" s="224" t="s">
        <v>7</v>
      </c>
      <c r="B34" s="224" t="s">
        <v>15</v>
      </c>
      <c r="C34" s="224" t="s">
        <v>106</v>
      </c>
      <c r="D34" s="224" t="s">
        <v>257</v>
      </c>
      <c r="E34" s="224" t="str">
        <f>VLOOKUP($B34,'FRS geographical categories'!$A$2:$C$45,2,FALSE)</f>
        <v>Significantly Rural</v>
      </c>
      <c r="F34" s="224" t="str">
        <f>VLOOKUP($B34,'FRS geographical categories'!$A$2:$C$45,3,FALSE)</f>
        <v>Non-metropolitan</v>
      </c>
      <c r="G34" s="98">
        <v>33332</v>
      </c>
    </row>
    <row r="35" spans="1:7" ht="15.5" x14ac:dyDescent="0.35">
      <c r="A35" s="224" t="s">
        <v>7</v>
      </c>
      <c r="B35" s="224" t="s">
        <v>15</v>
      </c>
      <c r="C35" s="224" t="s">
        <v>107</v>
      </c>
      <c r="D35" s="224" t="s">
        <v>257</v>
      </c>
      <c r="E35" s="224" t="str">
        <f>VLOOKUP($B35,'FRS geographical categories'!$A$2:$C$45,2,FALSE)</f>
        <v>Significantly Rural</v>
      </c>
      <c r="F35" s="224" t="str">
        <f>VLOOKUP($B35,'FRS geographical categories'!$A$2:$C$45,3,FALSE)</f>
        <v>Non-metropolitan</v>
      </c>
      <c r="G35" s="98">
        <v>0</v>
      </c>
    </row>
    <row r="36" spans="1:7" ht="15.5" x14ac:dyDescent="0.35">
      <c r="A36" s="224" t="s">
        <v>7</v>
      </c>
      <c r="B36" s="224" t="s">
        <v>15</v>
      </c>
      <c r="C36" s="224" t="s">
        <v>108</v>
      </c>
      <c r="D36" s="224" t="s">
        <v>257</v>
      </c>
      <c r="E36" s="224" t="str">
        <f>VLOOKUP($B36,'FRS geographical categories'!$A$2:$C$45,2,FALSE)</f>
        <v>Significantly Rural</v>
      </c>
      <c r="F36" s="224" t="str">
        <f>VLOOKUP($B36,'FRS geographical categories'!$A$2:$C$45,3,FALSE)</f>
        <v>Non-metropolitan</v>
      </c>
      <c r="G36" s="98">
        <v>0</v>
      </c>
    </row>
    <row r="37" spans="1:7" ht="15.5" x14ac:dyDescent="0.35">
      <c r="A37" s="224" t="s">
        <v>7</v>
      </c>
      <c r="B37" s="224" t="s">
        <v>15</v>
      </c>
      <c r="C37" s="224" t="s">
        <v>109</v>
      </c>
      <c r="D37" s="224" t="s">
        <v>257</v>
      </c>
      <c r="E37" s="224" t="str">
        <f>VLOOKUP($B37,'FRS geographical categories'!$A$2:$C$45,2,FALSE)</f>
        <v>Significantly Rural</v>
      </c>
      <c r="F37" s="224" t="str">
        <f>VLOOKUP($B37,'FRS geographical categories'!$A$2:$C$45,3,FALSE)</f>
        <v>Non-metropolitan</v>
      </c>
      <c r="G37" s="98">
        <v>0</v>
      </c>
    </row>
    <row r="38" spans="1:7" ht="15.5" x14ac:dyDescent="0.35">
      <c r="A38" s="224" t="s">
        <v>7</v>
      </c>
      <c r="B38" s="224" t="s">
        <v>16</v>
      </c>
      <c r="C38" s="224" t="s">
        <v>102</v>
      </c>
      <c r="D38" s="224" t="s">
        <v>257</v>
      </c>
      <c r="E38" s="224" t="str">
        <f>VLOOKUP($B38,'FRS geographical categories'!$A$2:$C$45,2,FALSE)</f>
        <v>Predominantly Urban</v>
      </c>
      <c r="F38" s="224" t="str">
        <f>VLOOKUP($B38,'FRS geographical categories'!$A$2:$C$45,3,FALSE)</f>
        <v>Non-metropolitan</v>
      </c>
      <c r="G38" s="98">
        <v>2682</v>
      </c>
    </row>
    <row r="39" spans="1:7" ht="15.5" x14ac:dyDescent="0.35">
      <c r="A39" s="224" t="s">
        <v>7</v>
      </c>
      <c r="B39" s="224" t="s">
        <v>16</v>
      </c>
      <c r="C39" s="224" t="s">
        <v>105</v>
      </c>
      <c r="D39" s="224" t="s">
        <v>257</v>
      </c>
      <c r="E39" s="224" t="str">
        <f>VLOOKUP($B39,'FRS geographical categories'!$A$2:$C$45,2,FALSE)</f>
        <v>Predominantly Urban</v>
      </c>
      <c r="F39" s="224" t="str">
        <f>VLOOKUP($B39,'FRS geographical categories'!$A$2:$C$45,3,FALSE)</f>
        <v>Non-metropolitan</v>
      </c>
      <c r="G39" s="98">
        <v>0</v>
      </c>
    </row>
    <row r="40" spans="1:7" ht="15.5" x14ac:dyDescent="0.35">
      <c r="A40" s="224" t="s">
        <v>7</v>
      </c>
      <c r="B40" s="224" t="s">
        <v>16</v>
      </c>
      <c r="C40" s="224" t="s">
        <v>106</v>
      </c>
      <c r="D40" s="224" t="s">
        <v>257</v>
      </c>
      <c r="E40" s="224" t="str">
        <f>VLOOKUP($B40,'FRS geographical categories'!$A$2:$C$45,2,FALSE)</f>
        <v>Predominantly Urban</v>
      </c>
      <c r="F40" s="224" t="str">
        <f>VLOOKUP($B40,'FRS geographical categories'!$A$2:$C$45,3,FALSE)</f>
        <v>Non-metropolitan</v>
      </c>
      <c r="G40" s="98">
        <v>26572</v>
      </c>
    </row>
    <row r="41" spans="1:7" ht="15.5" x14ac:dyDescent="0.35">
      <c r="A41" s="224" t="s">
        <v>7</v>
      </c>
      <c r="B41" s="224" t="s">
        <v>16</v>
      </c>
      <c r="C41" s="224" t="s">
        <v>107</v>
      </c>
      <c r="D41" s="224" t="s">
        <v>257</v>
      </c>
      <c r="E41" s="224" t="str">
        <f>VLOOKUP($B41,'FRS geographical categories'!$A$2:$C$45,2,FALSE)</f>
        <v>Predominantly Urban</v>
      </c>
      <c r="F41" s="224" t="str">
        <f>VLOOKUP($B41,'FRS geographical categories'!$A$2:$C$45,3,FALSE)</f>
        <v>Non-metropolitan</v>
      </c>
      <c r="G41" s="98">
        <v>3634</v>
      </c>
    </row>
    <row r="42" spans="1:7" ht="15.5" x14ac:dyDescent="0.35">
      <c r="A42" s="224" t="s">
        <v>7</v>
      </c>
      <c r="B42" s="224" t="s">
        <v>16</v>
      </c>
      <c r="C42" s="224" t="s">
        <v>108</v>
      </c>
      <c r="D42" s="224" t="s">
        <v>257</v>
      </c>
      <c r="E42" s="224" t="str">
        <f>VLOOKUP($B42,'FRS geographical categories'!$A$2:$C$45,2,FALSE)</f>
        <v>Predominantly Urban</v>
      </c>
      <c r="F42" s="224" t="str">
        <f>VLOOKUP($B42,'FRS geographical categories'!$A$2:$C$45,3,FALSE)</f>
        <v>Non-metropolitan</v>
      </c>
      <c r="G42" s="98">
        <v>3438</v>
      </c>
    </row>
    <row r="43" spans="1:7" ht="15.5" x14ac:dyDescent="0.35">
      <c r="A43" s="224" t="s">
        <v>7</v>
      </c>
      <c r="B43" s="224" t="s">
        <v>16</v>
      </c>
      <c r="C43" s="224" t="s">
        <v>109</v>
      </c>
      <c r="D43" s="224" t="s">
        <v>257</v>
      </c>
      <c r="E43" s="224" t="str">
        <f>VLOOKUP($B43,'FRS geographical categories'!$A$2:$C$45,2,FALSE)</f>
        <v>Predominantly Urban</v>
      </c>
      <c r="F43" s="224" t="str">
        <f>VLOOKUP($B43,'FRS geographical categories'!$A$2:$C$45,3,FALSE)</f>
        <v>Non-metropolitan</v>
      </c>
      <c r="G43" s="98">
        <v>0</v>
      </c>
    </row>
    <row r="44" spans="1:7" ht="15.5" x14ac:dyDescent="0.35">
      <c r="A44" s="224" t="s">
        <v>7</v>
      </c>
      <c r="B44" s="224" t="s">
        <v>17</v>
      </c>
      <c r="C44" s="224" t="s">
        <v>102</v>
      </c>
      <c r="D44" s="224" t="s">
        <v>257</v>
      </c>
      <c r="E44" s="224" t="str">
        <f>VLOOKUP($B44,'FRS geographical categories'!$A$2:$C$45,2,FALSE)</f>
        <v>Predominantly Rural</v>
      </c>
      <c r="F44" s="224" t="str">
        <f>VLOOKUP($B44,'FRS geographical categories'!$A$2:$C$45,3,FALSE)</f>
        <v>Non-metropolitan</v>
      </c>
      <c r="G44" s="98">
        <v>0</v>
      </c>
    </row>
    <row r="45" spans="1:7" ht="15.5" x14ac:dyDescent="0.35">
      <c r="A45" s="224" t="s">
        <v>7</v>
      </c>
      <c r="B45" s="224" t="s">
        <v>17</v>
      </c>
      <c r="C45" s="224" t="s">
        <v>105</v>
      </c>
      <c r="D45" s="224" t="s">
        <v>257</v>
      </c>
      <c r="E45" s="224" t="str">
        <f>VLOOKUP($B45,'FRS geographical categories'!$A$2:$C$45,2,FALSE)</f>
        <v>Predominantly Rural</v>
      </c>
      <c r="F45" s="224" t="str">
        <f>VLOOKUP($B45,'FRS geographical categories'!$A$2:$C$45,3,FALSE)</f>
        <v>Non-metropolitan</v>
      </c>
      <c r="G45" s="98">
        <v>0</v>
      </c>
    </row>
    <row r="46" spans="1:7" ht="15.5" x14ac:dyDescent="0.35">
      <c r="A46" s="224" t="s">
        <v>7</v>
      </c>
      <c r="B46" s="224" t="s">
        <v>17</v>
      </c>
      <c r="C46" s="224" t="s">
        <v>106</v>
      </c>
      <c r="D46" s="224" t="s">
        <v>257</v>
      </c>
      <c r="E46" s="224" t="str">
        <f>VLOOKUP($B46,'FRS geographical categories'!$A$2:$C$45,2,FALSE)</f>
        <v>Predominantly Rural</v>
      </c>
      <c r="F46" s="224" t="str">
        <f>VLOOKUP($B46,'FRS geographical categories'!$A$2:$C$45,3,FALSE)</f>
        <v>Non-metropolitan</v>
      </c>
      <c r="G46" s="98">
        <v>22497</v>
      </c>
    </row>
    <row r="47" spans="1:7" ht="15.5" x14ac:dyDescent="0.35">
      <c r="A47" s="224" t="s">
        <v>7</v>
      </c>
      <c r="B47" s="224" t="s">
        <v>17</v>
      </c>
      <c r="C47" s="224" t="s">
        <v>107</v>
      </c>
      <c r="D47" s="224" t="s">
        <v>257</v>
      </c>
      <c r="E47" s="224" t="str">
        <f>VLOOKUP($B47,'FRS geographical categories'!$A$2:$C$45,2,FALSE)</f>
        <v>Predominantly Rural</v>
      </c>
      <c r="F47" s="224" t="str">
        <f>VLOOKUP($B47,'FRS geographical categories'!$A$2:$C$45,3,FALSE)</f>
        <v>Non-metropolitan</v>
      </c>
      <c r="G47" s="98">
        <v>17</v>
      </c>
    </row>
    <row r="48" spans="1:7" ht="15.5" x14ac:dyDescent="0.35">
      <c r="A48" s="224" t="s">
        <v>7</v>
      </c>
      <c r="B48" s="224" t="s">
        <v>17</v>
      </c>
      <c r="C48" s="224" t="s">
        <v>108</v>
      </c>
      <c r="D48" s="224" t="s">
        <v>257</v>
      </c>
      <c r="E48" s="224" t="str">
        <f>VLOOKUP($B48,'FRS geographical categories'!$A$2:$C$45,2,FALSE)</f>
        <v>Predominantly Rural</v>
      </c>
      <c r="F48" s="224" t="str">
        <f>VLOOKUP($B48,'FRS geographical categories'!$A$2:$C$45,3,FALSE)</f>
        <v>Non-metropolitan</v>
      </c>
      <c r="G48" s="98">
        <v>762</v>
      </c>
    </row>
    <row r="49" spans="1:7" ht="15.5" x14ac:dyDescent="0.35">
      <c r="A49" s="224" t="s">
        <v>7</v>
      </c>
      <c r="B49" s="224" t="s">
        <v>17</v>
      </c>
      <c r="C49" s="224" t="s">
        <v>109</v>
      </c>
      <c r="D49" s="224" t="s">
        <v>257</v>
      </c>
      <c r="E49" s="224" t="str">
        <f>VLOOKUP($B49,'FRS geographical categories'!$A$2:$C$45,2,FALSE)</f>
        <v>Predominantly Rural</v>
      </c>
      <c r="F49" s="224" t="str">
        <f>VLOOKUP($B49,'FRS geographical categories'!$A$2:$C$45,3,FALSE)</f>
        <v>Non-metropolitan</v>
      </c>
      <c r="G49" s="98">
        <v>132</v>
      </c>
    </row>
    <row r="50" spans="1:7" ht="15.5" x14ac:dyDescent="0.35">
      <c r="A50" s="224" t="s">
        <v>7</v>
      </c>
      <c r="B50" s="224" t="s">
        <v>18</v>
      </c>
      <c r="C50" s="224" t="s">
        <v>102</v>
      </c>
      <c r="D50" s="224" t="s">
        <v>257</v>
      </c>
      <c r="E50" s="224" t="str">
        <f>VLOOKUP($B50,'FRS geographical categories'!$A$2:$C$45,2,FALSE)</f>
        <v>Predominantly Rural</v>
      </c>
      <c r="F50" s="224" t="str">
        <f>VLOOKUP($B50,'FRS geographical categories'!$A$2:$C$45,3,FALSE)</f>
        <v>Non-metropolitan</v>
      </c>
      <c r="G50" s="98">
        <v>1202</v>
      </c>
    </row>
    <row r="51" spans="1:7" ht="15.5" x14ac:dyDescent="0.35">
      <c r="A51" s="224" t="s">
        <v>7</v>
      </c>
      <c r="B51" s="224" t="s">
        <v>18</v>
      </c>
      <c r="C51" s="224" t="s">
        <v>105</v>
      </c>
      <c r="D51" s="224" t="s">
        <v>257</v>
      </c>
      <c r="E51" s="224" t="str">
        <f>VLOOKUP($B51,'FRS geographical categories'!$A$2:$C$45,2,FALSE)</f>
        <v>Predominantly Rural</v>
      </c>
      <c r="F51" s="224" t="str">
        <f>VLOOKUP($B51,'FRS geographical categories'!$A$2:$C$45,3,FALSE)</f>
        <v>Non-metropolitan</v>
      </c>
      <c r="G51" s="98">
        <v>0</v>
      </c>
    </row>
    <row r="52" spans="1:7" ht="15.5" x14ac:dyDescent="0.35">
      <c r="A52" s="224" t="s">
        <v>7</v>
      </c>
      <c r="B52" s="224" t="s">
        <v>18</v>
      </c>
      <c r="C52" s="224" t="s">
        <v>106</v>
      </c>
      <c r="D52" s="224" t="s">
        <v>257</v>
      </c>
      <c r="E52" s="224" t="str">
        <f>VLOOKUP($B52,'FRS geographical categories'!$A$2:$C$45,2,FALSE)</f>
        <v>Predominantly Rural</v>
      </c>
      <c r="F52" s="224" t="str">
        <f>VLOOKUP($B52,'FRS geographical categories'!$A$2:$C$45,3,FALSE)</f>
        <v>Non-metropolitan</v>
      </c>
      <c r="G52" s="98">
        <v>15828</v>
      </c>
    </row>
    <row r="53" spans="1:7" ht="15.5" x14ac:dyDescent="0.35">
      <c r="A53" s="224" t="s">
        <v>7</v>
      </c>
      <c r="B53" s="224" t="s">
        <v>18</v>
      </c>
      <c r="C53" s="224" t="s">
        <v>107</v>
      </c>
      <c r="D53" s="224" t="s">
        <v>257</v>
      </c>
      <c r="E53" s="224" t="str">
        <f>VLOOKUP($B53,'FRS geographical categories'!$A$2:$C$45,2,FALSE)</f>
        <v>Predominantly Rural</v>
      </c>
      <c r="F53" s="224" t="str">
        <f>VLOOKUP($B53,'FRS geographical categories'!$A$2:$C$45,3,FALSE)</f>
        <v>Non-metropolitan</v>
      </c>
      <c r="G53" s="98">
        <v>26</v>
      </c>
    </row>
    <row r="54" spans="1:7" ht="15.5" x14ac:dyDescent="0.35">
      <c r="A54" s="224" t="s">
        <v>7</v>
      </c>
      <c r="B54" s="224" t="s">
        <v>18</v>
      </c>
      <c r="C54" s="224" t="s">
        <v>108</v>
      </c>
      <c r="D54" s="224" t="s">
        <v>257</v>
      </c>
      <c r="E54" s="224" t="str">
        <f>VLOOKUP($B54,'FRS geographical categories'!$A$2:$C$45,2,FALSE)</f>
        <v>Predominantly Rural</v>
      </c>
      <c r="F54" s="224" t="str">
        <f>VLOOKUP($B54,'FRS geographical categories'!$A$2:$C$45,3,FALSE)</f>
        <v>Non-metropolitan</v>
      </c>
      <c r="G54" s="98">
        <v>766</v>
      </c>
    </row>
    <row r="55" spans="1:7" ht="15.5" x14ac:dyDescent="0.35">
      <c r="A55" s="224" t="s">
        <v>7</v>
      </c>
      <c r="B55" s="224" t="s">
        <v>18</v>
      </c>
      <c r="C55" s="224" t="s">
        <v>109</v>
      </c>
      <c r="D55" s="224" t="s">
        <v>257</v>
      </c>
      <c r="E55" s="224" t="str">
        <f>VLOOKUP($B55,'FRS geographical categories'!$A$2:$C$45,2,FALSE)</f>
        <v>Predominantly Rural</v>
      </c>
      <c r="F55" s="224" t="str">
        <f>VLOOKUP($B55,'FRS geographical categories'!$A$2:$C$45,3,FALSE)</f>
        <v>Non-metropolitan</v>
      </c>
      <c r="G55" s="98">
        <v>280</v>
      </c>
    </row>
    <row r="56" spans="1:7" ht="15.5" x14ac:dyDescent="0.35">
      <c r="A56" s="224" t="s">
        <v>7</v>
      </c>
      <c r="B56" s="224" t="s">
        <v>19</v>
      </c>
      <c r="C56" s="224" t="s">
        <v>102</v>
      </c>
      <c r="D56" s="224" t="s">
        <v>257</v>
      </c>
      <c r="E56" s="224" t="str">
        <f>VLOOKUP($B56,'FRS geographical categories'!$A$2:$C$45,2,FALSE)</f>
        <v>Significantly Rural</v>
      </c>
      <c r="F56" s="224" t="str">
        <f>VLOOKUP($B56,'FRS geographical categories'!$A$2:$C$45,3,FALSE)</f>
        <v>Non-metropolitan</v>
      </c>
      <c r="G56" s="98">
        <v>3005</v>
      </c>
    </row>
    <row r="57" spans="1:7" ht="15.5" x14ac:dyDescent="0.35">
      <c r="A57" s="224" t="s">
        <v>7</v>
      </c>
      <c r="B57" s="224" t="s">
        <v>19</v>
      </c>
      <c r="C57" s="224" t="s">
        <v>105</v>
      </c>
      <c r="D57" s="224" t="s">
        <v>257</v>
      </c>
      <c r="E57" s="224" t="str">
        <f>VLOOKUP($B57,'FRS geographical categories'!$A$2:$C$45,2,FALSE)</f>
        <v>Significantly Rural</v>
      </c>
      <c r="F57" s="224" t="str">
        <f>VLOOKUP($B57,'FRS geographical categories'!$A$2:$C$45,3,FALSE)</f>
        <v>Non-metropolitan</v>
      </c>
      <c r="G57" s="98">
        <v>2992</v>
      </c>
    </row>
    <row r="58" spans="1:7" ht="15.5" x14ac:dyDescent="0.35">
      <c r="A58" s="224" t="s">
        <v>7</v>
      </c>
      <c r="B58" s="224" t="s">
        <v>19</v>
      </c>
      <c r="C58" s="224" t="s">
        <v>106</v>
      </c>
      <c r="D58" s="224" t="s">
        <v>257</v>
      </c>
      <c r="E58" s="224" t="str">
        <f>VLOOKUP($B58,'FRS geographical categories'!$A$2:$C$45,2,FALSE)</f>
        <v>Significantly Rural</v>
      </c>
      <c r="F58" s="224" t="str">
        <f>VLOOKUP($B58,'FRS geographical categories'!$A$2:$C$45,3,FALSE)</f>
        <v>Non-metropolitan</v>
      </c>
      <c r="G58" s="98">
        <v>13043</v>
      </c>
    </row>
    <row r="59" spans="1:7" ht="15.5" x14ac:dyDescent="0.35">
      <c r="A59" s="224" t="s">
        <v>7</v>
      </c>
      <c r="B59" s="224" t="s">
        <v>19</v>
      </c>
      <c r="C59" s="224" t="s">
        <v>107</v>
      </c>
      <c r="D59" s="224" t="s">
        <v>257</v>
      </c>
      <c r="E59" s="224" t="str">
        <f>VLOOKUP($B59,'FRS geographical categories'!$A$2:$C$45,2,FALSE)</f>
        <v>Significantly Rural</v>
      </c>
      <c r="F59" s="224" t="str">
        <f>VLOOKUP($B59,'FRS geographical categories'!$A$2:$C$45,3,FALSE)</f>
        <v>Non-metropolitan</v>
      </c>
      <c r="G59" s="98">
        <v>1</v>
      </c>
    </row>
    <row r="60" spans="1:7" ht="15.5" x14ac:dyDescent="0.35">
      <c r="A60" s="224" t="s">
        <v>7</v>
      </c>
      <c r="B60" s="224" t="s">
        <v>19</v>
      </c>
      <c r="C60" s="224" t="s">
        <v>108</v>
      </c>
      <c r="D60" s="224" t="s">
        <v>257</v>
      </c>
      <c r="E60" s="224" t="str">
        <f>VLOOKUP($B60,'FRS geographical categories'!$A$2:$C$45,2,FALSE)</f>
        <v>Significantly Rural</v>
      </c>
      <c r="F60" s="224" t="str">
        <f>VLOOKUP($B60,'FRS geographical categories'!$A$2:$C$45,3,FALSE)</f>
        <v>Non-metropolitan</v>
      </c>
      <c r="G60" s="98">
        <v>64</v>
      </c>
    </row>
    <row r="61" spans="1:7" ht="15.5" x14ac:dyDescent="0.35">
      <c r="A61" s="224" t="s">
        <v>7</v>
      </c>
      <c r="B61" s="224" t="s">
        <v>19</v>
      </c>
      <c r="C61" s="224" t="s">
        <v>109</v>
      </c>
      <c r="D61" s="224" t="s">
        <v>257</v>
      </c>
      <c r="E61" s="224" t="str">
        <f>VLOOKUP($B61,'FRS geographical categories'!$A$2:$C$45,2,FALSE)</f>
        <v>Significantly Rural</v>
      </c>
      <c r="F61" s="224" t="str">
        <f>VLOOKUP($B61,'FRS geographical categories'!$A$2:$C$45,3,FALSE)</f>
        <v>Non-metropolitan</v>
      </c>
      <c r="G61" s="98">
        <v>0</v>
      </c>
    </row>
    <row r="62" spans="1:7" ht="15.5" x14ac:dyDescent="0.35">
      <c r="A62" s="224" t="s">
        <v>7</v>
      </c>
      <c r="B62" s="224" t="s">
        <v>20</v>
      </c>
      <c r="C62" s="224" t="s">
        <v>102</v>
      </c>
      <c r="D62" s="224" t="s">
        <v>257</v>
      </c>
      <c r="E62" s="224" t="str">
        <f>VLOOKUP($B62,'FRS geographical categories'!$A$2:$C$45,2,FALSE)</f>
        <v>Predominantly Rural</v>
      </c>
      <c r="F62" s="224" t="str">
        <f>VLOOKUP($B62,'FRS geographical categories'!$A$2:$C$45,3,FALSE)</f>
        <v>Non-metropolitan</v>
      </c>
      <c r="G62" s="98">
        <v>0</v>
      </c>
    </row>
    <row r="63" spans="1:7" ht="15.5" x14ac:dyDescent="0.35">
      <c r="A63" s="224" t="s">
        <v>7</v>
      </c>
      <c r="B63" s="224" t="s">
        <v>20</v>
      </c>
      <c r="C63" s="224" t="s">
        <v>105</v>
      </c>
      <c r="D63" s="224" t="s">
        <v>257</v>
      </c>
      <c r="E63" s="224" t="str">
        <f>VLOOKUP($B63,'FRS geographical categories'!$A$2:$C$45,2,FALSE)</f>
        <v>Predominantly Rural</v>
      </c>
      <c r="F63" s="224" t="str">
        <f>VLOOKUP($B63,'FRS geographical categories'!$A$2:$C$45,3,FALSE)</f>
        <v>Non-metropolitan</v>
      </c>
      <c r="G63" s="98">
        <v>0</v>
      </c>
    </row>
    <row r="64" spans="1:7" ht="15.5" x14ac:dyDescent="0.35">
      <c r="A64" s="224" t="s">
        <v>7</v>
      </c>
      <c r="B64" s="224" t="s">
        <v>20</v>
      </c>
      <c r="C64" s="224" t="s">
        <v>106</v>
      </c>
      <c r="D64" s="224" t="s">
        <v>257</v>
      </c>
      <c r="E64" s="224" t="str">
        <f>VLOOKUP($B64,'FRS geographical categories'!$A$2:$C$45,2,FALSE)</f>
        <v>Predominantly Rural</v>
      </c>
      <c r="F64" s="224" t="str">
        <f>VLOOKUP($B64,'FRS geographical categories'!$A$2:$C$45,3,FALSE)</f>
        <v>Non-metropolitan</v>
      </c>
      <c r="G64" s="98">
        <v>403</v>
      </c>
    </row>
    <row r="65" spans="1:7" ht="15.5" x14ac:dyDescent="0.35">
      <c r="A65" s="224" t="s">
        <v>7</v>
      </c>
      <c r="B65" s="224" t="s">
        <v>20</v>
      </c>
      <c r="C65" s="224" t="s">
        <v>107</v>
      </c>
      <c r="D65" s="224" t="s">
        <v>257</v>
      </c>
      <c r="E65" s="224" t="str">
        <f>VLOOKUP($B65,'FRS geographical categories'!$A$2:$C$45,2,FALSE)</f>
        <v>Predominantly Rural</v>
      </c>
      <c r="F65" s="224" t="str">
        <f>VLOOKUP($B65,'FRS geographical categories'!$A$2:$C$45,3,FALSE)</f>
        <v>Non-metropolitan</v>
      </c>
      <c r="G65" s="98">
        <v>0</v>
      </c>
    </row>
    <row r="66" spans="1:7" ht="15.5" x14ac:dyDescent="0.35">
      <c r="A66" s="224" t="s">
        <v>7</v>
      </c>
      <c r="B66" s="224" t="s">
        <v>20</v>
      </c>
      <c r="C66" s="224" t="s">
        <v>108</v>
      </c>
      <c r="D66" s="224" t="s">
        <v>257</v>
      </c>
      <c r="E66" s="224" t="str">
        <f>VLOOKUP($B66,'FRS geographical categories'!$A$2:$C$45,2,FALSE)</f>
        <v>Predominantly Rural</v>
      </c>
      <c r="F66" s="224" t="str">
        <f>VLOOKUP($B66,'FRS geographical categories'!$A$2:$C$45,3,FALSE)</f>
        <v>Non-metropolitan</v>
      </c>
      <c r="G66" s="98">
        <v>9520</v>
      </c>
    </row>
    <row r="67" spans="1:7" ht="15.5" x14ac:dyDescent="0.35">
      <c r="A67" s="224" t="s">
        <v>7</v>
      </c>
      <c r="B67" s="224" t="s">
        <v>20</v>
      </c>
      <c r="C67" s="224" t="s">
        <v>109</v>
      </c>
      <c r="D67" s="224" t="s">
        <v>257</v>
      </c>
      <c r="E67" s="224" t="str">
        <f>VLOOKUP($B67,'FRS geographical categories'!$A$2:$C$45,2,FALSE)</f>
        <v>Predominantly Rural</v>
      </c>
      <c r="F67" s="224" t="str">
        <f>VLOOKUP($B67,'FRS geographical categories'!$A$2:$C$45,3,FALSE)</f>
        <v>Non-metropolitan</v>
      </c>
      <c r="G67" s="98">
        <v>0</v>
      </c>
    </row>
    <row r="68" spans="1:7" ht="15.5" x14ac:dyDescent="0.35">
      <c r="A68" s="224" t="s">
        <v>7</v>
      </c>
      <c r="B68" s="224" t="s">
        <v>21</v>
      </c>
      <c r="C68" s="224" t="s">
        <v>102</v>
      </c>
      <c r="D68" s="224" t="s">
        <v>257</v>
      </c>
      <c r="E68" s="224" t="str">
        <f>VLOOKUP($B68,'FRS geographical categories'!$A$2:$C$45,2,FALSE)</f>
        <v>Significantly Rural</v>
      </c>
      <c r="F68" s="224" t="str">
        <f>VLOOKUP($B68,'FRS geographical categories'!$A$2:$C$45,3,FALSE)</f>
        <v>Non-metropolitan</v>
      </c>
      <c r="G68" s="98">
        <v>0</v>
      </c>
    </row>
    <row r="69" spans="1:7" ht="15.5" x14ac:dyDescent="0.35">
      <c r="A69" s="224" t="s">
        <v>7</v>
      </c>
      <c r="B69" s="224" t="s">
        <v>21</v>
      </c>
      <c r="C69" s="224" t="s">
        <v>105</v>
      </c>
      <c r="D69" s="224" t="s">
        <v>257</v>
      </c>
      <c r="E69" s="224" t="str">
        <f>VLOOKUP($B69,'FRS geographical categories'!$A$2:$C$45,2,FALSE)</f>
        <v>Significantly Rural</v>
      </c>
      <c r="F69" s="224" t="str">
        <f>VLOOKUP($B69,'FRS geographical categories'!$A$2:$C$45,3,FALSE)</f>
        <v>Non-metropolitan</v>
      </c>
      <c r="G69" s="98">
        <v>0</v>
      </c>
    </row>
    <row r="70" spans="1:7" ht="15.5" x14ac:dyDescent="0.35">
      <c r="A70" s="224" t="s">
        <v>7</v>
      </c>
      <c r="B70" s="224" t="s">
        <v>21</v>
      </c>
      <c r="C70" s="224" t="s">
        <v>106</v>
      </c>
      <c r="D70" s="224" t="s">
        <v>257</v>
      </c>
      <c r="E70" s="224" t="str">
        <f>VLOOKUP($B70,'FRS geographical categories'!$A$2:$C$45,2,FALSE)</f>
        <v>Significantly Rural</v>
      </c>
      <c r="F70" s="224" t="str">
        <f>VLOOKUP($B70,'FRS geographical categories'!$A$2:$C$45,3,FALSE)</f>
        <v>Non-metropolitan</v>
      </c>
      <c r="G70" s="98">
        <v>11952</v>
      </c>
    </row>
    <row r="71" spans="1:7" ht="15.5" x14ac:dyDescent="0.35">
      <c r="A71" s="224" t="s">
        <v>7</v>
      </c>
      <c r="B71" s="224" t="s">
        <v>21</v>
      </c>
      <c r="C71" s="224" t="s">
        <v>107</v>
      </c>
      <c r="D71" s="224" t="s">
        <v>257</v>
      </c>
      <c r="E71" s="224" t="str">
        <f>VLOOKUP($B71,'FRS geographical categories'!$A$2:$C$45,2,FALSE)</f>
        <v>Significantly Rural</v>
      </c>
      <c r="F71" s="224" t="str">
        <f>VLOOKUP($B71,'FRS geographical categories'!$A$2:$C$45,3,FALSE)</f>
        <v>Non-metropolitan</v>
      </c>
      <c r="G71" s="98">
        <v>1</v>
      </c>
    </row>
    <row r="72" spans="1:7" ht="15.5" x14ac:dyDescent="0.35">
      <c r="A72" s="224" t="s">
        <v>7</v>
      </c>
      <c r="B72" s="224" t="s">
        <v>21</v>
      </c>
      <c r="C72" s="224" t="s">
        <v>108</v>
      </c>
      <c r="D72" s="224" t="s">
        <v>257</v>
      </c>
      <c r="E72" s="224" t="str">
        <f>VLOOKUP($B72,'FRS geographical categories'!$A$2:$C$45,2,FALSE)</f>
        <v>Significantly Rural</v>
      </c>
      <c r="F72" s="224" t="str">
        <f>VLOOKUP($B72,'FRS geographical categories'!$A$2:$C$45,3,FALSE)</f>
        <v>Non-metropolitan</v>
      </c>
      <c r="G72" s="98">
        <v>5242</v>
      </c>
    </row>
    <row r="73" spans="1:7" ht="15.5" x14ac:dyDescent="0.35">
      <c r="A73" s="224" t="s">
        <v>7</v>
      </c>
      <c r="B73" s="224" t="s">
        <v>21</v>
      </c>
      <c r="C73" s="224" t="s">
        <v>109</v>
      </c>
      <c r="D73" s="224" t="s">
        <v>257</v>
      </c>
      <c r="E73" s="224" t="str">
        <f>VLOOKUP($B73,'FRS geographical categories'!$A$2:$C$45,2,FALSE)</f>
        <v>Significantly Rural</v>
      </c>
      <c r="F73" s="224" t="str">
        <f>VLOOKUP($B73,'FRS geographical categories'!$A$2:$C$45,3,FALSE)</f>
        <v>Non-metropolitan</v>
      </c>
      <c r="G73" s="98">
        <v>435</v>
      </c>
    </row>
    <row r="74" spans="1:7" ht="15.5" x14ac:dyDescent="0.35">
      <c r="A74" s="224" t="s">
        <v>7</v>
      </c>
      <c r="B74" s="224" t="s">
        <v>22</v>
      </c>
      <c r="C74" s="224" t="s">
        <v>102</v>
      </c>
      <c r="D74" s="224" t="s">
        <v>257</v>
      </c>
      <c r="E74" s="224" t="str">
        <f>VLOOKUP($B74,'FRS geographical categories'!$A$2:$C$45,2,FALSE)</f>
        <v>Predominantly Rural</v>
      </c>
      <c r="F74" s="224" t="str">
        <f>VLOOKUP($B74,'FRS geographical categories'!$A$2:$C$45,3,FALSE)</f>
        <v>Non-metropolitan</v>
      </c>
      <c r="G74" s="98">
        <v>5</v>
      </c>
    </row>
    <row r="75" spans="1:7" ht="15.5" x14ac:dyDescent="0.35">
      <c r="A75" s="224" t="s">
        <v>7</v>
      </c>
      <c r="B75" s="224" t="s">
        <v>22</v>
      </c>
      <c r="C75" s="224" t="s">
        <v>105</v>
      </c>
      <c r="D75" s="224" t="s">
        <v>257</v>
      </c>
      <c r="E75" s="224" t="str">
        <f>VLOOKUP($B75,'FRS geographical categories'!$A$2:$C$45,2,FALSE)</f>
        <v>Predominantly Rural</v>
      </c>
      <c r="F75" s="224" t="str">
        <f>VLOOKUP($B75,'FRS geographical categories'!$A$2:$C$45,3,FALSE)</f>
        <v>Non-metropolitan</v>
      </c>
      <c r="G75" s="98">
        <v>0</v>
      </c>
    </row>
    <row r="76" spans="1:7" ht="15.5" x14ac:dyDescent="0.35">
      <c r="A76" s="224" t="s">
        <v>7</v>
      </c>
      <c r="B76" s="224" t="s">
        <v>22</v>
      </c>
      <c r="C76" s="224" t="s">
        <v>106</v>
      </c>
      <c r="D76" s="224" t="s">
        <v>257</v>
      </c>
      <c r="E76" s="224" t="str">
        <f>VLOOKUP($B76,'FRS geographical categories'!$A$2:$C$45,2,FALSE)</f>
        <v>Predominantly Rural</v>
      </c>
      <c r="F76" s="224" t="str">
        <f>VLOOKUP($B76,'FRS geographical categories'!$A$2:$C$45,3,FALSE)</f>
        <v>Non-metropolitan</v>
      </c>
      <c r="G76" s="98">
        <v>38898</v>
      </c>
    </row>
    <row r="77" spans="1:7" ht="15.5" x14ac:dyDescent="0.35">
      <c r="A77" s="224" t="s">
        <v>7</v>
      </c>
      <c r="B77" s="224" t="s">
        <v>22</v>
      </c>
      <c r="C77" s="224" t="s">
        <v>107</v>
      </c>
      <c r="D77" s="224" t="s">
        <v>257</v>
      </c>
      <c r="E77" s="224" t="str">
        <f>VLOOKUP($B77,'FRS geographical categories'!$A$2:$C$45,2,FALSE)</f>
        <v>Predominantly Rural</v>
      </c>
      <c r="F77" s="224" t="str">
        <f>VLOOKUP($B77,'FRS geographical categories'!$A$2:$C$45,3,FALSE)</f>
        <v>Non-metropolitan</v>
      </c>
      <c r="G77" s="98">
        <v>0</v>
      </c>
    </row>
    <row r="78" spans="1:7" ht="15.5" x14ac:dyDescent="0.35">
      <c r="A78" s="224" t="s">
        <v>7</v>
      </c>
      <c r="B78" s="224" t="s">
        <v>22</v>
      </c>
      <c r="C78" s="224" t="s">
        <v>108</v>
      </c>
      <c r="D78" s="224" t="s">
        <v>257</v>
      </c>
      <c r="E78" s="224" t="str">
        <f>VLOOKUP($B78,'FRS geographical categories'!$A$2:$C$45,2,FALSE)</f>
        <v>Predominantly Rural</v>
      </c>
      <c r="F78" s="224" t="str">
        <f>VLOOKUP($B78,'FRS geographical categories'!$A$2:$C$45,3,FALSE)</f>
        <v>Non-metropolitan</v>
      </c>
      <c r="G78" s="98">
        <v>730</v>
      </c>
    </row>
    <row r="79" spans="1:7" ht="15.5" x14ac:dyDescent="0.35">
      <c r="A79" s="224" t="s">
        <v>7</v>
      </c>
      <c r="B79" s="224" t="s">
        <v>22</v>
      </c>
      <c r="C79" s="224" t="s">
        <v>109</v>
      </c>
      <c r="D79" s="224" t="s">
        <v>257</v>
      </c>
      <c r="E79" s="224" t="str">
        <f>VLOOKUP($B79,'FRS geographical categories'!$A$2:$C$45,2,FALSE)</f>
        <v>Predominantly Rural</v>
      </c>
      <c r="F79" s="224" t="str">
        <f>VLOOKUP($B79,'FRS geographical categories'!$A$2:$C$45,3,FALSE)</f>
        <v>Non-metropolitan</v>
      </c>
      <c r="G79" s="98">
        <v>0</v>
      </c>
    </row>
    <row r="80" spans="1:7" ht="15.5" x14ac:dyDescent="0.35">
      <c r="A80" s="224" t="s">
        <v>7</v>
      </c>
      <c r="B80" s="224" t="s">
        <v>23</v>
      </c>
      <c r="C80" s="224" t="s">
        <v>102</v>
      </c>
      <c r="D80" s="224" t="s">
        <v>257</v>
      </c>
      <c r="E80" s="224" t="str">
        <f>VLOOKUP($B80,'FRS geographical categories'!$A$2:$C$45,2,FALSE)</f>
        <v>Significantly Rural</v>
      </c>
      <c r="F80" s="224" t="str">
        <f>VLOOKUP($B80,'FRS geographical categories'!$A$2:$C$45,3,FALSE)</f>
        <v>Non-metropolitan</v>
      </c>
      <c r="G80" s="98">
        <v>8240</v>
      </c>
    </row>
    <row r="81" spans="1:7" ht="15.5" x14ac:dyDescent="0.35">
      <c r="A81" s="224" t="s">
        <v>7</v>
      </c>
      <c r="B81" s="224" t="s">
        <v>23</v>
      </c>
      <c r="C81" s="224" t="s">
        <v>105</v>
      </c>
      <c r="D81" s="224" t="s">
        <v>257</v>
      </c>
      <c r="E81" s="224" t="str">
        <f>VLOOKUP($B81,'FRS geographical categories'!$A$2:$C$45,2,FALSE)</f>
        <v>Significantly Rural</v>
      </c>
      <c r="F81" s="224" t="str">
        <f>VLOOKUP($B81,'FRS geographical categories'!$A$2:$C$45,3,FALSE)</f>
        <v>Non-metropolitan</v>
      </c>
      <c r="G81" s="98">
        <v>0</v>
      </c>
    </row>
    <row r="82" spans="1:7" ht="15.5" x14ac:dyDescent="0.35">
      <c r="A82" s="224" t="s">
        <v>7</v>
      </c>
      <c r="B82" s="224" t="s">
        <v>23</v>
      </c>
      <c r="C82" s="224" t="s">
        <v>106</v>
      </c>
      <c r="D82" s="224" t="s">
        <v>257</v>
      </c>
      <c r="E82" s="224" t="str">
        <f>VLOOKUP($B82,'FRS geographical categories'!$A$2:$C$45,2,FALSE)</f>
        <v>Significantly Rural</v>
      </c>
      <c r="F82" s="224" t="str">
        <f>VLOOKUP($B82,'FRS geographical categories'!$A$2:$C$45,3,FALSE)</f>
        <v>Non-metropolitan</v>
      </c>
      <c r="G82" s="98">
        <v>22102</v>
      </c>
    </row>
    <row r="83" spans="1:7" ht="15.5" x14ac:dyDescent="0.35">
      <c r="A83" s="224" t="s">
        <v>7</v>
      </c>
      <c r="B83" s="224" t="s">
        <v>23</v>
      </c>
      <c r="C83" s="224" t="s">
        <v>107</v>
      </c>
      <c r="D83" s="224" t="s">
        <v>257</v>
      </c>
      <c r="E83" s="224" t="str">
        <f>VLOOKUP($B83,'FRS geographical categories'!$A$2:$C$45,2,FALSE)</f>
        <v>Significantly Rural</v>
      </c>
      <c r="F83" s="224" t="str">
        <f>VLOOKUP($B83,'FRS geographical categories'!$A$2:$C$45,3,FALSE)</f>
        <v>Non-metropolitan</v>
      </c>
      <c r="G83" s="98">
        <v>0</v>
      </c>
    </row>
    <row r="84" spans="1:7" ht="15.5" x14ac:dyDescent="0.35">
      <c r="A84" s="224" t="s">
        <v>7</v>
      </c>
      <c r="B84" s="224" t="s">
        <v>23</v>
      </c>
      <c r="C84" s="224" t="s">
        <v>108</v>
      </c>
      <c r="D84" s="224" t="s">
        <v>257</v>
      </c>
      <c r="E84" s="224" t="str">
        <f>VLOOKUP($B84,'FRS geographical categories'!$A$2:$C$45,2,FALSE)</f>
        <v>Significantly Rural</v>
      </c>
      <c r="F84" s="224" t="str">
        <f>VLOOKUP($B84,'FRS geographical categories'!$A$2:$C$45,3,FALSE)</f>
        <v>Non-metropolitan</v>
      </c>
      <c r="G84" s="98">
        <v>0</v>
      </c>
    </row>
    <row r="85" spans="1:7" ht="15.5" x14ac:dyDescent="0.35">
      <c r="A85" s="224" t="s">
        <v>7</v>
      </c>
      <c r="B85" s="224" t="s">
        <v>23</v>
      </c>
      <c r="C85" s="224" t="s">
        <v>109</v>
      </c>
      <c r="D85" s="224" t="s">
        <v>257</v>
      </c>
      <c r="E85" s="224" t="str">
        <f>VLOOKUP($B85,'FRS geographical categories'!$A$2:$C$45,2,FALSE)</f>
        <v>Significantly Rural</v>
      </c>
      <c r="F85" s="224" t="str">
        <f>VLOOKUP($B85,'FRS geographical categories'!$A$2:$C$45,3,FALSE)</f>
        <v>Non-metropolitan</v>
      </c>
      <c r="G85" s="98">
        <v>0</v>
      </c>
    </row>
    <row r="86" spans="1:7" ht="15.5" x14ac:dyDescent="0.35">
      <c r="A86" s="224" t="s">
        <v>7</v>
      </c>
      <c r="B86" s="224" t="s">
        <v>24</v>
      </c>
      <c r="C86" s="224" t="s">
        <v>102</v>
      </c>
      <c r="D86" s="224" t="s">
        <v>257</v>
      </c>
      <c r="E86" s="224" t="str">
        <f>VLOOKUP($B86,'FRS geographical categories'!$A$2:$C$45,2,FALSE)</f>
        <v>Significantly Rural</v>
      </c>
      <c r="F86" s="224" t="str">
        <f>VLOOKUP($B86,'FRS geographical categories'!$A$2:$C$45,3,FALSE)</f>
        <v>Non-metropolitan</v>
      </c>
      <c r="G86" s="98">
        <v>0</v>
      </c>
    </row>
    <row r="87" spans="1:7" ht="15.5" x14ac:dyDescent="0.35">
      <c r="A87" s="224" t="s">
        <v>7</v>
      </c>
      <c r="B87" s="224" t="s">
        <v>24</v>
      </c>
      <c r="C87" s="224" t="s">
        <v>105</v>
      </c>
      <c r="D87" s="224" t="s">
        <v>257</v>
      </c>
      <c r="E87" s="224" t="str">
        <f>VLOOKUP($B87,'FRS geographical categories'!$A$2:$C$45,2,FALSE)</f>
        <v>Significantly Rural</v>
      </c>
      <c r="F87" s="224" t="str">
        <f>VLOOKUP($B87,'FRS geographical categories'!$A$2:$C$45,3,FALSE)</f>
        <v>Non-metropolitan</v>
      </c>
      <c r="G87" s="98">
        <v>3</v>
      </c>
    </row>
    <row r="88" spans="1:7" ht="15.5" x14ac:dyDescent="0.35">
      <c r="A88" s="224" t="s">
        <v>7</v>
      </c>
      <c r="B88" s="224" t="s">
        <v>24</v>
      </c>
      <c r="C88" s="224" t="s">
        <v>106</v>
      </c>
      <c r="D88" s="224" t="s">
        <v>257</v>
      </c>
      <c r="E88" s="224" t="str">
        <f>VLOOKUP($B88,'FRS geographical categories'!$A$2:$C$45,2,FALSE)</f>
        <v>Significantly Rural</v>
      </c>
      <c r="F88" s="224" t="str">
        <f>VLOOKUP($B88,'FRS geographical categories'!$A$2:$C$45,3,FALSE)</f>
        <v>Non-metropolitan</v>
      </c>
      <c r="G88" s="98">
        <v>220</v>
      </c>
    </row>
    <row r="89" spans="1:7" ht="15.5" x14ac:dyDescent="0.35">
      <c r="A89" s="224" t="s">
        <v>7</v>
      </c>
      <c r="B89" s="224" t="s">
        <v>24</v>
      </c>
      <c r="C89" s="224" t="s">
        <v>107</v>
      </c>
      <c r="D89" s="224" t="s">
        <v>257</v>
      </c>
      <c r="E89" s="224" t="str">
        <f>VLOOKUP($B89,'FRS geographical categories'!$A$2:$C$45,2,FALSE)</f>
        <v>Significantly Rural</v>
      </c>
      <c r="F89" s="224" t="str">
        <f>VLOOKUP($B89,'FRS geographical categories'!$A$2:$C$45,3,FALSE)</f>
        <v>Non-metropolitan</v>
      </c>
      <c r="G89" s="98">
        <v>19</v>
      </c>
    </row>
    <row r="90" spans="1:7" ht="15.5" x14ac:dyDescent="0.35">
      <c r="A90" s="224" t="s">
        <v>7</v>
      </c>
      <c r="B90" s="224" t="s">
        <v>24</v>
      </c>
      <c r="C90" s="224" t="s">
        <v>108</v>
      </c>
      <c r="D90" s="224" t="s">
        <v>257</v>
      </c>
      <c r="E90" s="224" t="str">
        <f>VLOOKUP($B90,'FRS geographical categories'!$A$2:$C$45,2,FALSE)</f>
        <v>Significantly Rural</v>
      </c>
      <c r="F90" s="224" t="str">
        <f>VLOOKUP($B90,'FRS geographical categories'!$A$2:$C$45,3,FALSE)</f>
        <v>Non-metropolitan</v>
      </c>
      <c r="G90" s="98">
        <v>15</v>
      </c>
    </row>
    <row r="91" spans="1:7" ht="15.5" x14ac:dyDescent="0.35">
      <c r="A91" s="224" t="s">
        <v>7</v>
      </c>
      <c r="B91" s="224" t="s">
        <v>24</v>
      </c>
      <c r="C91" s="224" t="s">
        <v>109</v>
      </c>
      <c r="D91" s="224" t="s">
        <v>257</v>
      </c>
      <c r="E91" s="224" t="str">
        <f>VLOOKUP($B91,'FRS geographical categories'!$A$2:$C$45,2,FALSE)</f>
        <v>Significantly Rural</v>
      </c>
      <c r="F91" s="224" t="str">
        <f>VLOOKUP($B91,'FRS geographical categories'!$A$2:$C$45,3,FALSE)</f>
        <v>Non-metropolitan</v>
      </c>
      <c r="G91" s="98">
        <v>0</v>
      </c>
    </row>
    <row r="92" spans="1:7" ht="15.5" x14ac:dyDescent="0.35">
      <c r="A92" s="224" t="s">
        <v>7</v>
      </c>
      <c r="B92" s="224" t="s">
        <v>25</v>
      </c>
      <c r="C92" s="224" t="s">
        <v>102</v>
      </c>
      <c r="D92" s="224" t="s">
        <v>257</v>
      </c>
      <c r="E92" s="224" t="str">
        <f>VLOOKUP($B92,'FRS geographical categories'!$A$2:$C$45,2,FALSE)</f>
        <v>Significantly Rural</v>
      </c>
      <c r="F92" s="224" t="str">
        <f>VLOOKUP($B92,'FRS geographical categories'!$A$2:$C$45,3,FALSE)</f>
        <v>Non-metropolitan</v>
      </c>
      <c r="G92" s="98">
        <v>139</v>
      </c>
    </row>
    <row r="93" spans="1:7" ht="15.5" x14ac:dyDescent="0.35">
      <c r="A93" s="224" t="s">
        <v>7</v>
      </c>
      <c r="B93" s="224" t="s">
        <v>25</v>
      </c>
      <c r="C93" s="224" t="s">
        <v>105</v>
      </c>
      <c r="D93" s="224" t="s">
        <v>257</v>
      </c>
      <c r="E93" s="224" t="str">
        <f>VLOOKUP($B93,'FRS geographical categories'!$A$2:$C$45,2,FALSE)</f>
        <v>Significantly Rural</v>
      </c>
      <c r="F93" s="224" t="str">
        <f>VLOOKUP($B93,'FRS geographical categories'!$A$2:$C$45,3,FALSE)</f>
        <v>Non-metropolitan</v>
      </c>
      <c r="G93" s="98">
        <v>0</v>
      </c>
    </row>
    <row r="94" spans="1:7" ht="15.5" x14ac:dyDescent="0.35">
      <c r="A94" s="224" t="s">
        <v>7</v>
      </c>
      <c r="B94" s="224" t="s">
        <v>25</v>
      </c>
      <c r="C94" s="224" t="s">
        <v>106</v>
      </c>
      <c r="D94" s="224" t="s">
        <v>257</v>
      </c>
      <c r="E94" s="224" t="str">
        <f>VLOOKUP($B94,'FRS geographical categories'!$A$2:$C$45,2,FALSE)</f>
        <v>Significantly Rural</v>
      </c>
      <c r="F94" s="224" t="str">
        <f>VLOOKUP($B94,'FRS geographical categories'!$A$2:$C$45,3,FALSE)</f>
        <v>Non-metropolitan</v>
      </c>
      <c r="G94" s="98">
        <v>400</v>
      </c>
    </row>
    <row r="95" spans="1:7" ht="15.5" x14ac:dyDescent="0.35">
      <c r="A95" s="224" t="s">
        <v>7</v>
      </c>
      <c r="B95" s="224" t="s">
        <v>25</v>
      </c>
      <c r="C95" s="224" t="s">
        <v>107</v>
      </c>
      <c r="D95" s="224" t="s">
        <v>257</v>
      </c>
      <c r="E95" s="224" t="str">
        <f>VLOOKUP($B95,'FRS geographical categories'!$A$2:$C$45,2,FALSE)</f>
        <v>Significantly Rural</v>
      </c>
      <c r="F95" s="224" t="str">
        <f>VLOOKUP($B95,'FRS geographical categories'!$A$2:$C$45,3,FALSE)</f>
        <v>Non-metropolitan</v>
      </c>
      <c r="G95" s="98">
        <v>0</v>
      </c>
    </row>
    <row r="96" spans="1:7" ht="15.5" x14ac:dyDescent="0.35">
      <c r="A96" s="224" t="s">
        <v>7</v>
      </c>
      <c r="B96" s="224" t="s">
        <v>25</v>
      </c>
      <c r="C96" s="224" t="s">
        <v>108</v>
      </c>
      <c r="D96" s="224" t="s">
        <v>257</v>
      </c>
      <c r="E96" s="224" t="str">
        <f>VLOOKUP($B96,'FRS geographical categories'!$A$2:$C$45,2,FALSE)</f>
        <v>Significantly Rural</v>
      </c>
      <c r="F96" s="224" t="str">
        <f>VLOOKUP($B96,'FRS geographical categories'!$A$2:$C$45,3,FALSE)</f>
        <v>Non-metropolitan</v>
      </c>
      <c r="G96" s="98">
        <v>0</v>
      </c>
    </row>
    <row r="97" spans="1:7" ht="15.5" x14ac:dyDescent="0.35">
      <c r="A97" s="224" t="s">
        <v>7</v>
      </c>
      <c r="B97" s="224" t="s">
        <v>25</v>
      </c>
      <c r="C97" s="224" t="s">
        <v>109</v>
      </c>
      <c r="D97" s="224" t="s">
        <v>257</v>
      </c>
      <c r="E97" s="224" t="str">
        <f>VLOOKUP($B97,'FRS geographical categories'!$A$2:$C$45,2,FALSE)</f>
        <v>Significantly Rural</v>
      </c>
      <c r="F97" s="224" t="str">
        <f>VLOOKUP($B97,'FRS geographical categories'!$A$2:$C$45,3,FALSE)</f>
        <v>Non-metropolitan</v>
      </c>
      <c r="G97" s="98">
        <v>0</v>
      </c>
    </row>
    <row r="98" spans="1:7" ht="15.5" x14ac:dyDescent="0.35">
      <c r="A98" s="224" t="s">
        <v>7</v>
      </c>
      <c r="B98" s="224" t="s">
        <v>26</v>
      </c>
      <c r="C98" s="224" t="s">
        <v>102</v>
      </c>
      <c r="D98" s="224" t="s">
        <v>257</v>
      </c>
      <c r="E98" s="224" t="str">
        <f>VLOOKUP($B98,'FRS geographical categories'!$A$2:$C$45,2,FALSE)</f>
        <v>Predominantly Urban</v>
      </c>
      <c r="F98" s="224" t="str">
        <f>VLOOKUP($B98,'FRS geographical categories'!$A$2:$C$45,3,FALSE)</f>
        <v>Metropolitan</v>
      </c>
      <c r="G98" s="98">
        <v>0</v>
      </c>
    </row>
    <row r="99" spans="1:7" ht="15.5" x14ac:dyDescent="0.35">
      <c r="A99" s="224" t="s">
        <v>7</v>
      </c>
      <c r="B99" s="224" t="s">
        <v>26</v>
      </c>
      <c r="C99" s="224" t="s">
        <v>105</v>
      </c>
      <c r="D99" s="224" t="s">
        <v>257</v>
      </c>
      <c r="E99" s="224" t="str">
        <f>VLOOKUP($B99,'FRS geographical categories'!$A$2:$C$45,2,FALSE)</f>
        <v>Predominantly Urban</v>
      </c>
      <c r="F99" s="224" t="str">
        <f>VLOOKUP($B99,'FRS geographical categories'!$A$2:$C$45,3,FALSE)</f>
        <v>Metropolitan</v>
      </c>
      <c r="G99" s="98">
        <v>0</v>
      </c>
    </row>
    <row r="100" spans="1:7" ht="15.5" x14ac:dyDescent="0.35">
      <c r="A100" s="224" t="s">
        <v>7</v>
      </c>
      <c r="B100" s="224" t="s">
        <v>26</v>
      </c>
      <c r="C100" s="224" t="s">
        <v>106</v>
      </c>
      <c r="D100" s="224" t="s">
        <v>257</v>
      </c>
      <c r="E100" s="224" t="str">
        <f>VLOOKUP($B100,'FRS geographical categories'!$A$2:$C$45,2,FALSE)</f>
        <v>Predominantly Urban</v>
      </c>
      <c r="F100" s="224" t="str">
        <f>VLOOKUP($B100,'FRS geographical categories'!$A$2:$C$45,3,FALSE)</f>
        <v>Metropolitan</v>
      </c>
      <c r="G100" s="98">
        <v>380135</v>
      </c>
    </row>
    <row r="101" spans="1:7" ht="15.5" x14ac:dyDescent="0.35">
      <c r="A101" s="224" t="s">
        <v>7</v>
      </c>
      <c r="B101" s="224" t="s">
        <v>26</v>
      </c>
      <c r="C101" s="224" t="s">
        <v>107</v>
      </c>
      <c r="D101" s="224" t="s">
        <v>257</v>
      </c>
      <c r="E101" s="224" t="str">
        <f>VLOOKUP($B101,'FRS geographical categories'!$A$2:$C$45,2,FALSE)</f>
        <v>Predominantly Urban</v>
      </c>
      <c r="F101" s="224" t="str">
        <f>VLOOKUP($B101,'FRS geographical categories'!$A$2:$C$45,3,FALSE)</f>
        <v>Metropolitan</v>
      </c>
      <c r="G101" s="98">
        <v>0</v>
      </c>
    </row>
    <row r="102" spans="1:7" ht="15.5" x14ac:dyDescent="0.35">
      <c r="A102" s="224" t="s">
        <v>7</v>
      </c>
      <c r="B102" s="224" t="s">
        <v>26</v>
      </c>
      <c r="C102" s="224" t="s">
        <v>108</v>
      </c>
      <c r="D102" s="224" t="s">
        <v>257</v>
      </c>
      <c r="E102" s="224" t="str">
        <f>VLOOKUP($B102,'FRS geographical categories'!$A$2:$C$45,2,FALSE)</f>
        <v>Predominantly Urban</v>
      </c>
      <c r="F102" s="224" t="str">
        <f>VLOOKUP($B102,'FRS geographical categories'!$A$2:$C$45,3,FALSE)</f>
        <v>Metropolitan</v>
      </c>
      <c r="G102" s="98">
        <v>9</v>
      </c>
    </row>
    <row r="103" spans="1:7" ht="15.5" x14ac:dyDescent="0.35">
      <c r="A103" s="224" t="s">
        <v>7</v>
      </c>
      <c r="B103" s="224" t="s">
        <v>26</v>
      </c>
      <c r="C103" s="224" t="s">
        <v>109</v>
      </c>
      <c r="D103" s="224" t="s">
        <v>257</v>
      </c>
      <c r="E103" s="224" t="str">
        <f>VLOOKUP($B103,'FRS geographical categories'!$A$2:$C$45,2,FALSE)</f>
        <v>Predominantly Urban</v>
      </c>
      <c r="F103" s="224" t="str">
        <f>VLOOKUP($B103,'FRS geographical categories'!$A$2:$C$45,3,FALSE)</f>
        <v>Metropolitan</v>
      </c>
      <c r="G103" s="98">
        <v>0</v>
      </c>
    </row>
    <row r="104" spans="1:7" ht="15.5" x14ac:dyDescent="0.35">
      <c r="A104" s="224" t="s">
        <v>7</v>
      </c>
      <c r="B104" s="224" t="s">
        <v>27</v>
      </c>
      <c r="C104" s="224" t="s">
        <v>102</v>
      </c>
      <c r="D104" s="224" t="s">
        <v>257</v>
      </c>
      <c r="E104" s="224" t="str">
        <f>VLOOKUP($B104,'FRS geographical categories'!$A$2:$C$45,2,FALSE)</f>
        <v>Predominantly Urban</v>
      </c>
      <c r="F104" s="224" t="str">
        <f>VLOOKUP($B104,'FRS geographical categories'!$A$2:$C$45,3,FALSE)</f>
        <v>Metropolitan</v>
      </c>
      <c r="G104" s="98">
        <v>3202</v>
      </c>
    </row>
    <row r="105" spans="1:7" ht="15.5" x14ac:dyDescent="0.35">
      <c r="A105" s="224" t="s">
        <v>7</v>
      </c>
      <c r="B105" s="224" t="s">
        <v>27</v>
      </c>
      <c r="C105" s="224" t="s">
        <v>105</v>
      </c>
      <c r="D105" s="224" t="s">
        <v>257</v>
      </c>
      <c r="E105" s="224" t="str">
        <f>VLOOKUP($B105,'FRS geographical categories'!$A$2:$C$45,2,FALSE)</f>
        <v>Predominantly Urban</v>
      </c>
      <c r="F105" s="224" t="str">
        <f>VLOOKUP($B105,'FRS geographical categories'!$A$2:$C$45,3,FALSE)</f>
        <v>Metropolitan</v>
      </c>
      <c r="G105" s="98">
        <v>0</v>
      </c>
    </row>
    <row r="106" spans="1:7" ht="15.5" x14ac:dyDescent="0.35">
      <c r="A106" s="224" t="s">
        <v>7</v>
      </c>
      <c r="B106" s="224" t="s">
        <v>27</v>
      </c>
      <c r="C106" s="224" t="s">
        <v>106</v>
      </c>
      <c r="D106" s="224" t="s">
        <v>257</v>
      </c>
      <c r="E106" s="224" t="str">
        <f>VLOOKUP($B106,'FRS geographical categories'!$A$2:$C$45,2,FALSE)</f>
        <v>Predominantly Urban</v>
      </c>
      <c r="F106" s="224" t="str">
        <f>VLOOKUP($B106,'FRS geographical categories'!$A$2:$C$45,3,FALSE)</f>
        <v>Metropolitan</v>
      </c>
      <c r="G106" s="98">
        <v>23884</v>
      </c>
    </row>
    <row r="107" spans="1:7" ht="15.5" x14ac:dyDescent="0.35">
      <c r="A107" s="224" t="s">
        <v>7</v>
      </c>
      <c r="B107" s="224" t="s">
        <v>27</v>
      </c>
      <c r="C107" s="224" t="s">
        <v>107</v>
      </c>
      <c r="D107" s="224" t="s">
        <v>257</v>
      </c>
      <c r="E107" s="224" t="str">
        <f>VLOOKUP($B107,'FRS geographical categories'!$A$2:$C$45,2,FALSE)</f>
        <v>Predominantly Urban</v>
      </c>
      <c r="F107" s="224" t="str">
        <f>VLOOKUP($B107,'FRS geographical categories'!$A$2:$C$45,3,FALSE)</f>
        <v>Metropolitan</v>
      </c>
      <c r="G107" s="98">
        <v>79</v>
      </c>
    </row>
    <row r="108" spans="1:7" ht="15.5" x14ac:dyDescent="0.35">
      <c r="A108" s="224" t="s">
        <v>7</v>
      </c>
      <c r="B108" s="224" t="s">
        <v>27</v>
      </c>
      <c r="C108" s="224" t="s">
        <v>108</v>
      </c>
      <c r="D108" s="224" t="s">
        <v>257</v>
      </c>
      <c r="E108" s="224" t="str">
        <f>VLOOKUP($B108,'FRS geographical categories'!$A$2:$C$45,2,FALSE)</f>
        <v>Predominantly Urban</v>
      </c>
      <c r="F108" s="224" t="str">
        <f>VLOOKUP($B108,'FRS geographical categories'!$A$2:$C$45,3,FALSE)</f>
        <v>Metropolitan</v>
      </c>
      <c r="G108" s="98">
        <v>25</v>
      </c>
    </row>
    <row r="109" spans="1:7" ht="15.5" x14ac:dyDescent="0.35">
      <c r="A109" s="224" t="s">
        <v>7</v>
      </c>
      <c r="B109" s="224" t="s">
        <v>27</v>
      </c>
      <c r="C109" s="224" t="s">
        <v>109</v>
      </c>
      <c r="D109" s="224" t="s">
        <v>257</v>
      </c>
      <c r="E109" s="224" t="str">
        <f>VLOOKUP($B109,'FRS geographical categories'!$A$2:$C$45,2,FALSE)</f>
        <v>Predominantly Urban</v>
      </c>
      <c r="F109" s="224" t="str">
        <f>VLOOKUP($B109,'FRS geographical categories'!$A$2:$C$45,3,FALSE)</f>
        <v>Metropolitan</v>
      </c>
      <c r="G109" s="98">
        <v>0</v>
      </c>
    </row>
    <row r="110" spans="1:7" ht="15.5" x14ac:dyDescent="0.35">
      <c r="A110" s="224" t="s">
        <v>7</v>
      </c>
      <c r="B110" s="224" t="s">
        <v>93</v>
      </c>
      <c r="C110" s="224" t="s">
        <v>102</v>
      </c>
      <c r="D110" s="224" t="s">
        <v>257</v>
      </c>
      <c r="E110" s="224" t="str">
        <f>VLOOKUP($B110,'FRS geographical categories'!$A$2:$C$45,2,FALSE)</f>
        <v>Significantly Rural</v>
      </c>
      <c r="F110" s="224" t="str">
        <f>VLOOKUP($B110,'FRS geographical categories'!$A$2:$C$45,3,FALSE)</f>
        <v>Non-metropolitan</v>
      </c>
      <c r="G110" s="98">
        <v>158</v>
      </c>
    </row>
    <row r="111" spans="1:7" ht="15.5" x14ac:dyDescent="0.35">
      <c r="A111" s="224" t="s">
        <v>7</v>
      </c>
      <c r="B111" s="224" t="s">
        <v>93</v>
      </c>
      <c r="C111" s="224" t="s">
        <v>105</v>
      </c>
      <c r="D111" s="224" t="s">
        <v>257</v>
      </c>
      <c r="E111" s="224" t="str">
        <f>VLOOKUP($B111,'FRS geographical categories'!$A$2:$C$45,2,FALSE)</f>
        <v>Significantly Rural</v>
      </c>
      <c r="F111" s="224" t="str">
        <f>VLOOKUP($B111,'FRS geographical categories'!$A$2:$C$45,3,FALSE)</f>
        <v>Non-metropolitan</v>
      </c>
      <c r="G111" s="98">
        <v>0</v>
      </c>
    </row>
    <row r="112" spans="1:7" ht="15.5" x14ac:dyDescent="0.35">
      <c r="A112" s="224" t="s">
        <v>7</v>
      </c>
      <c r="B112" s="224" t="s">
        <v>93</v>
      </c>
      <c r="C112" s="224" t="s">
        <v>106</v>
      </c>
      <c r="D112" s="224" t="s">
        <v>257</v>
      </c>
      <c r="E112" s="224" t="str">
        <f>VLOOKUP($B112,'FRS geographical categories'!$A$2:$C$45,2,FALSE)</f>
        <v>Significantly Rural</v>
      </c>
      <c r="F112" s="224" t="str">
        <f>VLOOKUP($B112,'FRS geographical categories'!$A$2:$C$45,3,FALSE)</f>
        <v>Non-metropolitan</v>
      </c>
      <c r="G112" s="98">
        <v>307</v>
      </c>
    </row>
    <row r="113" spans="1:7" ht="15.5" x14ac:dyDescent="0.35">
      <c r="A113" s="224" t="s">
        <v>7</v>
      </c>
      <c r="B113" s="224" t="s">
        <v>93</v>
      </c>
      <c r="C113" s="224" t="s">
        <v>107</v>
      </c>
      <c r="D113" s="224" t="s">
        <v>257</v>
      </c>
      <c r="E113" s="224" t="str">
        <f>VLOOKUP($B113,'FRS geographical categories'!$A$2:$C$45,2,FALSE)</f>
        <v>Significantly Rural</v>
      </c>
      <c r="F113" s="224" t="str">
        <f>VLOOKUP($B113,'FRS geographical categories'!$A$2:$C$45,3,FALSE)</f>
        <v>Non-metropolitan</v>
      </c>
      <c r="G113" s="98">
        <v>0</v>
      </c>
    </row>
    <row r="114" spans="1:7" ht="15.5" x14ac:dyDescent="0.35">
      <c r="A114" s="224" t="s">
        <v>7</v>
      </c>
      <c r="B114" s="224" t="s">
        <v>93</v>
      </c>
      <c r="C114" s="224" t="s">
        <v>108</v>
      </c>
      <c r="D114" s="224" t="s">
        <v>257</v>
      </c>
      <c r="E114" s="224" t="str">
        <f>VLOOKUP($B114,'FRS geographical categories'!$A$2:$C$45,2,FALSE)</f>
        <v>Significantly Rural</v>
      </c>
      <c r="F114" s="224" t="str">
        <f>VLOOKUP($B114,'FRS geographical categories'!$A$2:$C$45,3,FALSE)</f>
        <v>Non-metropolitan</v>
      </c>
      <c r="G114" s="98">
        <v>141</v>
      </c>
    </row>
    <row r="115" spans="1:7" ht="15.5" x14ac:dyDescent="0.35">
      <c r="A115" s="224" t="s">
        <v>7</v>
      </c>
      <c r="B115" s="224" t="s">
        <v>93</v>
      </c>
      <c r="C115" s="224" t="s">
        <v>109</v>
      </c>
      <c r="D115" s="224" t="s">
        <v>257</v>
      </c>
      <c r="E115" s="224" t="str">
        <f>VLOOKUP($B115,'FRS geographical categories'!$A$2:$C$45,2,FALSE)</f>
        <v>Significantly Rural</v>
      </c>
      <c r="F115" s="224" t="str">
        <f>VLOOKUP($B115,'FRS geographical categories'!$A$2:$C$45,3,FALSE)</f>
        <v>Non-metropolitan</v>
      </c>
      <c r="G115" s="98">
        <v>11311</v>
      </c>
    </row>
    <row r="116" spans="1:7" ht="15.5" x14ac:dyDescent="0.35">
      <c r="A116" s="224" t="s">
        <v>7</v>
      </c>
      <c r="B116" s="224" t="s">
        <v>28</v>
      </c>
      <c r="C116" s="224" t="s">
        <v>102</v>
      </c>
      <c r="D116" s="224" t="s">
        <v>257</v>
      </c>
      <c r="E116" s="224" t="str">
        <f>VLOOKUP($B116,'FRS geographical categories'!$A$2:$C$45,2,FALSE)</f>
        <v>Significantly Rural</v>
      </c>
      <c r="F116" s="224" t="str">
        <f>VLOOKUP($B116,'FRS geographical categories'!$A$2:$C$45,3,FALSE)</f>
        <v>Non-metropolitan</v>
      </c>
      <c r="G116" s="98">
        <v>0</v>
      </c>
    </row>
    <row r="117" spans="1:7" ht="15.5" x14ac:dyDescent="0.35">
      <c r="A117" s="224" t="s">
        <v>7</v>
      </c>
      <c r="B117" s="224" t="s">
        <v>28</v>
      </c>
      <c r="C117" s="224" t="s">
        <v>105</v>
      </c>
      <c r="D117" s="224" t="s">
        <v>257</v>
      </c>
      <c r="E117" s="224" t="str">
        <f>VLOOKUP($B117,'FRS geographical categories'!$A$2:$C$45,2,FALSE)</f>
        <v>Significantly Rural</v>
      </c>
      <c r="F117" s="224" t="str">
        <f>VLOOKUP($B117,'FRS geographical categories'!$A$2:$C$45,3,FALSE)</f>
        <v>Non-metropolitan</v>
      </c>
      <c r="G117" s="98">
        <v>0</v>
      </c>
    </row>
    <row r="118" spans="1:7" ht="15.5" x14ac:dyDescent="0.35">
      <c r="A118" s="224" t="s">
        <v>7</v>
      </c>
      <c r="B118" s="224" t="s">
        <v>28</v>
      </c>
      <c r="C118" s="224" t="s">
        <v>106</v>
      </c>
      <c r="D118" s="224" t="s">
        <v>257</v>
      </c>
      <c r="E118" s="224" t="str">
        <f>VLOOKUP($B118,'FRS geographical categories'!$A$2:$C$45,2,FALSE)</f>
        <v>Significantly Rural</v>
      </c>
      <c r="F118" s="224" t="str">
        <f>VLOOKUP($B118,'FRS geographical categories'!$A$2:$C$45,3,FALSE)</f>
        <v>Non-metropolitan</v>
      </c>
      <c r="G118" s="98">
        <v>5065</v>
      </c>
    </row>
    <row r="119" spans="1:7" ht="15.5" x14ac:dyDescent="0.35">
      <c r="A119" s="224" t="s">
        <v>7</v>
      </c>
      <c r="B119" s="224" t="s">
        <v>28</v>
      </c>
      <c r="C119" s="224" t="s">
        <v>107</v>
      </c>
      <c r="D119" s="224" t="s">
        <v>257</v>
      </c>
      <c r="E119" s="224" t="str">
        <f>VLOOKUP($B119,'FRS geographical categories'!$A$2:$C$45,2,FALSE)</f>
        <v>Significantly Rural</v>
      </c>
      <c r="F119" s="224" t="str">
        <f>VLOOKUP($B119,'FRS geographical categories'!$A$2:$C$45,3,FALSE)</f>
        <v>Non-metropolitan</v>
      </c>
      <c r="G119" s="98">
        <v>0</v>
      </c>
    </row>
    <row r="120" spans="1:7" ht="15.5" x14ac:dyDescent="0.35">
      <c r="A120" s="224" t="s">
        <v>7</v>
      </c>
      <c r="B120" s="224" t="s">
        <v>28</v>
      </c>
      <c r="C120" s="224" t="s">
        <v>108</v>
      </c>
      <c r="D120" s="224" t="s">
        <v>257</v>
      </c>
      <c r="E120" s="224" t="str">
        <f>VLOOKUP($B120,'FRS geographical categories'!$A$2:$C$45,2,FALSE)</f>
        <v>Significantly Rural</v>
      </c>
      <c r="F120" s="224" t="str">
        <f>VLOOKUP($B120,'FRS geographical categories'!$A$2:$C$45,3,FALSE)</f>
        <v>Non-metropolitan</v>
      </c>
      <c r="G120" s="98">
        <v>204</v>
      </c>
    </row>
    <row r="121" spans="1:7" ht="15.5" x14ac:dyDescent="0.35">
      <c r="A121" s="224" t="s">
        <v>7</v>
      </c>
      <c r="B121" s="224" t="s">
        <v>28</v>
      </c>
      <c r="C121" s="224" t="s">
        <v>109</v>
      </c>
      <c r="D121" s="224" t="s">
        <v>257</v>
      </c>
      <c r="E121" s="224" t="str">
        <f>VLOOKUP($B121,'FRS geographical categories'!$A$2:$C$45,2,FALSE)</f>
        <v>Significantly Rural</v>
      </c>
      <c r="F121" s="224" t="str">
        <f>VLOOKUP($B121,'FRS geographical categories'!$A$2:$C$45,3,FALSE)</f>
        <v>Non-metropolitan</v>
      </c>
      <c r="G121" s="98">
        <v>0</v>
      </c>
    </row>
    <row r="122" spans="1:7" ht="15.5" x14ac:dyDescent="0.35">
      <c r="A122" s="224" t="s">
        <v>7</v>
      </c>
      <c r="B122" s="224" t="s">
        <v>29</v>
      </c>
      <c r="C122" s="224" t="s">
        <v>102</v>
      </c>
      <c r="D122" s="224" t="s">
        <v>257</v>
      </c>
      <c r="E122" s="224" t="str">
        <f>VLOOKUP($B122,'FRS geographical categories'!$A$2:$C$45,2,FALSE)</f>
        <v>Predominantly Urban</v>
      </c>
      <c r="F122" s="224" t="str">
        <f>VLOOKUP($B122,'FRS geographical categories'!$A$2:$C$45,3,FALSE)</f>
        <v>Non-metropolitan</v>
      </c>
      <c r="G122" s="98">
        <v>0</v>
      </c>
    </row>
    <row r="123" spans="1:7" ht="15.5" x14ac:dyDescent="0.35">
      <c r="A123" s="224" t="s">
        <v>7</v>
      </c>
      <c r="B123" s="224" t="s">
        <v>29</v>
      </c>
      <c r="C123" s="224" t="s">
        <v>105</v>
      </c>
      <c r="D123" s="224" t="s">
        <v>257</v>
      </c>
      <c r="E123" s="224" t="str">
        <f>VLOOKUP($B123,'FRS geographical categories'!$A$2:$C$45,2,FALSE)</f>
        <v>Predominantly Urban</v>
      </c>
      <c r="F123" s="224" t="str">
        <f>VLOOKUP($B123,'FRS geographical categories'!$A$2:$C$45,3,FALSE)</f>
        <v>Non-metropolitan</v>
      </c>
      <c r="G123" s="98">
        <v>0</v>
      </c>
    </row>
    <row r="124" spans="1:7" ht="15.5" x14ac:dyDescent="0.35">
      <c r="A124" s="224" t="s">
        <v>7</v>
      </c>
      <c r="B124" s="224" t="s">
        <v>29</v>
      </c>
      <c r="C124" s="224" t="s">
        <v>106</v>
      </c>
      <c r="D124" s="224" t="s">
        <v>257</v>
      </c>
      <c r="E124" s="224" t="str">
        <f>VLOOKUP($B124,'FRS geographical categories'!$A$2:$C$45,2,FALSE)</f>
        <v>Predominantly Urban</v>
      </c>
      <c r="F124" s="224" t="str">
        <f>VLOOKUP($B124,'FRS geographical categories'!$A$2:$C$45,3,FALSE)</f>
        <v>Non-metropolitan</v>
      </c>
      <c r="G124" s="98">
        <v>7307</v>
      </c>
    </row>
    <row r="125" spans="1:7" ht="15.5" x14ac:dyDescent="0.35">
      <c r="A125" s="224" t="s">
        <v>7</v>
      </c>
      <c r="B125" s="224" t="s">
        <v>29</v>
      </c>
      <c r="C125" s="224" t="s">
        <v>107</v>
      </c>
      <c r="D125" s="224" t="s">
        <v>257</v>
      </c>
      <c r="E125" s="224" t="str">
        <f>VLOOKUP($B125,'FRS geographical categories'!$A$2:$C$45,2,FALSE)</f>
        <v>Predominantly Urban</v>
      </c>
      <c r="F125" s="224" t="str">
        <f>VLOOKUP($B125,'FRS geographical categories'!$A$2:$C$45,3,FALSE)</f>
        <v>Non-metropolitan</v>
      </c>
      <c r="G125" s="98">
        <v>0</v>
      </c>
    </row>
    <row r="126" spans="1:7" ht="15.5" x14ac:dyDescent="0.35">
      <c r="A126" s="224" t="s">
        <v>7</v>
      </c>
      <c r="B126" s="224" t="s">
        <v>29</v>
      </c>
      <c r="C126" s="224" t="s">
        <v>108</v>
      </c>
      <c r="D126" s="224" t="s">
        <v>257</v>
      </c>
      <c r="E126" s="224" t="str">
        <f>VLOOKUP($B126,'FRS geographical categories'!$A$2:$C$45,2,FALSE)</f>
        <v>Predominantly Urban</v>
      </c>
      <c r="F126" s="224" t="str">
        <f>VLOOKUP($B126,'FRS geographical categories'!$A$2:$C$45,3,FALSE)</f>
        <v>Non-metropolitan</v>
      </c>
      <c r="G126" s="98">
        <v>2189</v>
      </c>
    </row>
    <row r="127" spans="1:7" ht="15.5" x14ac:dyDescent="0.35">
      <c r="A127" s="224" t="s">
        <v>7</v>
      </c>
      <c r="B127" s="224" t="s">
        <v>29</v>
      </c>
      <c r="C127" s="224" t="s">
        <v>109</v>
      </c>
      <c r="D127" s="224" t="s">
        <v>257</v>
      </c>
      <c r="E127" s="224" t="str">
        <f>VLOOKUP($B127,'FRS geographical categories'!$A$2:$C$45,2,FALSE)</f>
        <v>Predominantly Urban</v>
      </c>
      <c r="F127" s="224" t="str">
        <f>VLOOKUP($B127,'FRS geographical categories'!$A$2:$C$45,3,FALSE)</f>
        <v>Non-metropolitan</v>
      </c>
      <c r="G127" s="98">
        <v>0</v>
      </c>
    </row>
    <row r="128" spans="1:7" ht="15.5" x14ac:dyDescent="0.35">
      <c r="A128" s="224" t="s">
        <v>7</v>
      </c>
      <c r="B128" s="224" t="s">
        <v>30</v>
      </c>
      <c r="C128" s="224" t="s">
        <v>102</v>
      </c>
      <c r="D128" s="224" t="s">
        <v>257</v>
      </c>
      <c r="E128" s="224" t="str">
        <f>VLOOKUP($B128,'FRS geographical categories'!$A$2:$C$45,2,FALSE)</f>
        <v>Significantly Rural</v>
      </c>
      <c r="F128" s="224" t="str">
        <f>VLOOKUP($B128,'FRS geographical categories'!$A$2:$C$45,3,FALSE)</f>
        <v>Non-metropolitan</v>
      </c>
      <c r="G128" s="98">
        <v>2870</v>
      </c>
    </row>
    <row r="129" spans="1:7" ht="15.5" x14ac:dyDescent="0.35">
      <c r="A129" s="224" t="s">
        <v>7</v>
      </c>
      <c r="B129" s="224" t="s">
        <v>30</v>
      </c>
      <c r="C129" s="224" t="s">
        <v>105</v>
      </c>
      <c r="D129" s="224" t="s">
        <v>257</v>
      </c>
      <c r="E129" s="224" t="str">
        <f>VLOOKUP($B129,'FRS geographical categories'!$A$2:$C$45,2,FALSE)</f>
        <v>Significantly Rural</v>
      </c>
      <c r="F129" s="224" t="str">
        <f>VLOOKUP($B129,'FRS geographical categories'!$A$2:$C$45,3,FALSE)</f>
        <v>Non-metropolitan</v>
      </c>
      <c r="G129" s="98">
        <v>1</v>
      </c>
    </row>
    <row r="130" spans="1:7" ht="15.5" x14ac:dyDescent="0.35">
      <c r="A130" s="224" t="s">
        <v>7</v>
      </c>
      <c r="B130" s="224" t="s">
        <v>30</v>
      </c>
      <c r="C130" s="224" t="s">
        <v>106</v>
      </c>
      <c r="D130" s="224" t="s">
        <v>257</v>
      </c>
      <c r="E130" s="224" t="str">
        <f>VLOOKUP($B130,'FRS geographical categories'!$A$2:$C$45,2,FALSE)</f>
        <v>Significantly Rural</v>
      </c>
      <c r="F130" s="224" t="str">
        <f>VLOOKUP($B130,'FRS geographical categories'!$A$2:$C$45,3,FALSE)</f>
        <v>Non-metropolitan</v>
      </c>
      <c r="G130" s="98">
        <v>3953</v>
      </c>
    </row>
    <row r="131" spans="1:7" ht="15.5" x14ac:dyDescent="0.35">
      <c r="A131" s="224" t="s">
        <v>7</v>
      </c>
      <c r="B131" s="224" t="s">
        <v>30</v>
      </c>
      <c r="C131" s="224" t="s">
        <v>107</v>
      </c>
      <c r="D131" s="224" t="s">
        <v>257</v>
      </c>
      <c r="E131" s="224" t="str">
        <f>VLOOKUP($B131,'FRS geographical categories'!$A$2:$C$45,2,FALSE)</f>
        <v>Significantly Rural</v>
      </c>
      <c r="F131" s="224" t="str">
        <f>VLOOKUP($B131,'FRS geographical categories'!$A$2:$C$45,3,FALSE)</f>
        <v>Non-metropolitan</v>
      </c>
      <c r="G131" s="98">
        <v>324</v>
      </c>
    </row>
    <row r="132" spans="1:7" ht="15.5" x14ac:dyDescent="0.35">
      <c r="A132" s="224" t="s">
        <v>7</v>
      </c>
      <c r="B132" s="224" t="s">
        <v>30</v>
      </c>
      <c r="C132" s="224" t="s">
        <v>108</v>
      </c>
      <c r="D132" s="224" t="s">
        <v>257</v>
      </c>
      <c r="E132" s="224" t="str">
        <f>VLOOKUP($B132,'FRS geographical categories'!$A$2:$C$45,2,FALSE)</f>
        <v>Significantly Rural</v>
      </c>
      <c r="F132" s="224" t="str">
        <f>VLOOKUP($B132,'FRS geographical categories'!$A$2:$C$45,3,FALSE)</f>
        <v>Non-metropolitan</v>
      </c>
      <c r="G132" s="98">
        <v>0</v>
      </c>
    </row>
    <row r="133" spans="1:7" ht="15.5" x14ac:dyDescent="0.35">
      <c r="A133" s="224" t="s">
        <v>7</v>
      </c>
      <c r="B133" s="224" t="s">
        <v>30</v>
      </c>
      <c r="C133" s="224" t="s">
        <v>109</v>
      </c>
      <c r="D133" s="224" t="s">
        <v>257</v>
      </c>
      <c r="E133" s="224" t="str">
        <f>VLOOKUP($B133,'FRS geographical categories'!$A$2:$C$45,2,FALSE)</f>
        <v>Significantly Rural</v>
      </c>
      <c r="F133" s="224" t="str">
        <f>VLOOKUP($B133,'FRS geographical categories'!$A$2:$C$45,3,FALSE)</f>
        <v>Non-metropolitan</v>
      </c>
      <c r="G133" s="98">
        <v>1</v>
      </c>
    </row>
    <row r="134" spans="1:7" ht="15.5" x14ac:dyDescent="0.35">
      <c r="A134" s="224" t="s">
        <v>7</v>
      </c>
      <c r="B134" s="224" t="s">
        <v>31</v>
      </c>
      <c r="C134" s="224" t="s">
        <v>102</v>
      </c>
      <c r="D134" s="224" t="s">
        <v>257</v>
      </c>
      <c r="E134" s="224" t="str">
        <f>VLOOKUP($B134,'FRS geographical categories'!$A$2:$C$45,2,FALSE)</f>
        <v>Predominantly Rural</v>
      </c>
      <c r="F134" s="224" t="str">
        <f>VLOOKUP($B134,'FRS geographical categories'!$A$2:$C$45,3,FALSE)</f>
        <v>Non-metropolitan</v>
      </c>
      <c r="G134" s="98">
        <v>0</v>
      </c>
    </row>
    <row r="135" spans="1:7" ht="15.5" x14ac:dyDescent="0.35">
      <c r="A135" s="224" t="s">
        <v>7</v>
      </c>
      <c r="B135" s="224" t="s">
        <v>31</v>
      </c>
      <c r="C135" s="224" t="s">
        <v>105</v>
      </c>
      <c r="D135" s="224" t="s">
        <v>257</v>
      </c>
      <c r="E135" s="224" t="str">
        <f>VLOOKUP($B135,'FRS geographical categories'!$A$2:$C$45,2,FALSE)</f>
        <v>Predominantly Rural</v>
      </c>
      <c r="F135" s="224" t="str">
        <f>VLOOKUP($B135,'FRS geographical categories'!$A$2:$C$45,3,FALSE)</f>
        <v>Non-metropolitan</v>
      </c>
      <c r="G135" s="98">
        <v>0</v>
      </c>
    </row>
    <row r="136" spans="1:7" ht="15.5" x14ac:dyDescent="0.35">
      <c r="A136" s="224" t="s">
        <v>7</v>
      </c>
      <c r="B136" s="224" t="s">
        <v>31</v>
      </c>
      <c r="C136" s="224" t="s">
        <v>106</v>
      </c>
      <c r="D136" s="224" t="s">
        <v>257</v>
      </c>
      <c r="E136" s="224" t="str">
        <f>VLOOKUP($B136,'FRS geographical categories'!$A$2:$C$45,2,FALSE)</f>
        <v>Predominantly Rural</v>
      </c>
      <c r="F136" s="224" t="str">
        <f>VLOOKUP($B136,'FRS geographical categories'!$A$2:$C$45,3,FALSE)</f>
        <v>Non-metropolitan</v>
      </c>
      <c r="G136" s="98">
        <v>84</v>
      </c>
    </row>
    <row r="137" spans="1:7" ht="15.5" x14ac:dyDescent="0.35">
      <c r="A137" s="224" t="s">
        <v>7</v>
      </c>
      <c r="B137" s="224" t="s">
        <v>31</v>
      </c>
      <c r="C137" s="224" t="s">
        <v>107</v>
      </c>
      <c r="D137" s="224" t="s">
        <v>257</v>
      </c>
      <c r="E137" s="224" t="str">
        <f>VLOOKUP($B137,'FRS geographical categories'!$A$2:$C$45,2,FALSE)</f>
        <v>Predominantly Rural</v>
      </c>
      <c r="F137" s="224" t="str">
        <f>VLOOKUP($B137,'FRS geographical categories'!$A$2:$C$45,3,FALSE)</f>
        <v>Non-metropolitan</v>
      </c>
      <c r="G137" s="98">
        <v>0</v>
      </c>
    </row>
    <row r="138" spans="1:7" ht="15.5" x14ac:dyDescent="0.35">
      <c r="A138" s="224" t="s">
        <v>7</v>
      </c>
      <c r="B138" s="224" t="s">
        <v>31</v>
      </c>
      <c r="C138" s="224" t="s">
        <v>108</v>
      </c>
      <c r="D138" s="224" t="s">
        <v>257</v>
      </c>
      <c r="E138" s="224" t="str">
        <f>VLOOKUP($B138,'FRS geographical categories'!$A$2:$C$45,2,FALSE)</f>
        <v>Predominantly Rural</v>
      </c>
      <c r="F138" s="224" t="str">
        <f>VLOOKUP($B138,'FRS geographical categories'!$A$2:$C$45,3,FALSE)</f>
        <v>Non-metropolitan</v>
      </c>
      <c r="G138" s="98">
        <v>0</v>
      </c>
    </row>
    <row r="139" spans="1:7" ht="15.5" x14ac:dyDescent="0.35">
      <c r="A139" s="224" t="s">
        <v>7</v>
      </c>
      <c r="B139" s="224" t="s">
        <v>31</v>
      </c>
      <c r="C139" s="224" t="s">
        <v>109</v>
      </c>
      <c r="D139" s="224" t="s">
        <v>257</v>
      </c>
      <c r="E139" s="224" t="str">
        <f>VLOOKUP($B139,'FRS geographical categories'!$A$2:$C$45,2,FALSE)</f>
        <v>Predominantly Rural</v>
      </c>
      <c r="F139" s="224" t="str">
        <f>VLOOKUP($B139,'FRS geographical categories'!$A$2:$C$45,3,FALSE)</f>
        <v>Non-metropolitan</v>
      </c>
      <c r="G139" s="98">
        <v>0</v>
      </c>
    </row>
    <row r="140" spans="1:7" ht="15.5" x14ac:dyDescent="0.35">
      <c r="A140" s="224" t="s">
        <v>7</v>
      </c>
      <c r="B140" s="224" t="s">
        <v>32</v>
      </c>
      <c r="C140" s="224" t="s">
        <v>102</v>
      </c>
      <c r="D140" s="224" t="s">
        <v>257</v>
      </c>
      <c r="E140" s="224" t="str">
        <f>VLOOKUP($B140,'FRS geographical categories'!$A$2:$C$45,2,FALSE)</f>
        <v>Significantly Rural</v>
      </c>
      <c r="F140" s="224" t="str">
        <f>VLOOKUP($B140,'FRS geographical categories'!$A$2:$C$45,3,FALSE)</f>
        <v>Non-metropolitan</v>
      </c>
      <c r="G140" s="98">
        <v>12086</v>
      </c>
    </row>
    <row r="141" spans="1:7" ht="15.5" x14ac:dyDescent="0.35">
      <c r="A141" s="224" t="s">
        <v>7</v>
      </c>
      <c r="B141" s="224" t="s">
        <v>32</v>
      </c>
      <c r="C141" s="224" t="s">
        <v>105</v>
      </c>
      <c r="D141" s="224" t="s">
        <v>257</v>
      </c>
      <c r="E141" s="224" t="str">
        <f>VLOOKUP($B141,'FRS geographical categories'!$A$2:$C$45,2,FALSE)</f>
        <v>Significantly Rural</v>
      </c>
      <c r="F141" s="224" t="str">
        <f>VLOOKUP($B141,'FRS geographical categories'!$A$2:$C$45,3,FALSE)</f>
        <v>Non-metropolitan</v>
      </c>
      <c r="G141" s="98">
        <v>0</v>
      </c>
    </row>
    <row r="142" spans="1:7" ht="15.5" x14ac:dyDescent="0.35">
      <c r="A142" s="224" t="s">
        <v>7</v>
      </c>
      <c r="B142" s="224" t="s">
        <v>32</v>
      </c>
      <c r="C142" s="224" t="s">
        <v>106</v>
      </c>
      <c r="D142" s="224" t="s">
        <v>257</v>
      </c>
      <c r="E142" s="224" t="str">
        <f>VLOOKUP($B142,'FRS geographical categories'!$A$2:$C$45,2,FALSE)</f>
        <v>Significantly Rural</v>
      </c>
      <c r="F142" s="224" t="str">
        <f>VLOOKUP($B142,'FRS geographical categories'!$A$2:$C$45,3,FALSE)</f>
        <v>Non-metropolitan</v>
      </c>
      <c r="G142" s="98">
        <v>23778</v>
      </c>
    </row>
    <row r="143" spans="1:7" ht="15.5" x14ac:dyDescent="0.35">
      <c r="A143" s="224" t="s">
        <v>7</v>
      </c>
      <c r="B143" s="224" t="s">
        <v>32</v>
      </c>
      <c r="C143" s="224" t="s">
        <v>107</v>
      </c>
      <c r="D143" s="224" t="s">
        <v>257</v>
      </c>
      <c r="E143" s="224" t="str">
        <f>VLOOKUP($B143,'FRS geographical categories'!$A$2:$C$45,2,FALSE)</f>
        <v>Significantly Rural</v>
      </c>
      <c r="F143" s="224" t="str">
        <f>VLOOKUP($B143,'FRS geographical categories'!$A$2:$C$45,3,FALSE)</f>
        <v>Non-metropolitan</v>
      </c>
      <c r="G143" s="98">
        <v>0</v>
      </c>
    </row>
    <row r="144" spans="1:7" ht="15.5" x14ac:dyDescent="0.35">
      <c r="A144" s="224" t="s">
        <v>7</v>
      </c>
      <c r="B144" s="224" t="s">
        <v>32</v>
      </c>
      <c r="C144" s="224" t="s">
        <v>108</v>
      </c>
      <c r="D144" s="224" t="s">
        <v>257</v>
      </c>
      <c r="E144" s="224" t="str">
        <f>VLOOKUP($B144,'FRS geographical categories'!$A$2:$C$45,2,FALSE)</f>
        <v>Significantly Rural</v>
      </c>
      <c r="F144" s="224" t="str">
        <f>VLOOKUP($B144,'FRS geographical categories'!$A$2:$C$45,3,FALSE)</f>
        <v>Non-metropolitan</v>
      </c>
      <c r="G144" s="98">
        <v>0</v>
      </c>
    </row>
    <row r="145" spans="1:7" ht="15.5" x14ac:dyDescent="0.35">
      <c r="A145" s="224" t="s">
        <v>7</v>
      </c>
      <c r="B145" s="224" t="s">
        <v>32</v>
      </c>
      <c r="C145" s="224" t="s">
        <v>109</v>
      </c>
      <c r="D145" s="224" t="s">
        <v>257</v>
      </c>
      <c r="E145" s="224" t="str">
        <f>VLOOKUP($B145,'FRS geographical categories'!$A$2:$C$45,2,FALSE)</f>
        <v>Significantly Rural</v>
      </c>
      <c r="F145" s="224" t="str">
        <f>VLOOKUP($B145,'FRS geographical categories'!$A$2:$C$45,3,FALSE)</f>
        <v>Non-metropolitan</v>
      </c>
      <c r="G145" s="98">
        <v>0</v>
      </c>
    </row>
    <row r="146" spans="1:7" ht="15.5" x14ac:dyDescent="0.35">
      <c r="A146" s="224" t="s">
        <v>7</v>
      </c>
      <c r="B146" s="224" t="s">
        <v>33</v>
      </c>
      <c r="C146" s="224" t="s">
        <v>102</v>
      </c>
      <c r="D146" s="224" t="s">
        <v>257</v>
      </c>
      <c r="E146" s="224" t="str">
        <f>VLOOKUP($B146,'FRS geographical categories'!$A$2:$C$45,2,FALSE)</f>
        <v>Predominantly Urban</v>
      </c>
      <c r="F146" s="224" t="str">
        <f>VLOOKUP($B146,'FRS geographical categories'!$A$2:$C$45,3,FALSE)</f>
        <v>Non-metropolitan</v>
      </c>
      <c r="G146" s="98">
        <v>7799</v>
      </c>
    </row>
    <row r="147" spans="1:7" ht="15.5" x14ac:dyDescent="0.35">
      <c r="A147" s="224" t="s">
        <v>7</v>
      </c>
      <c r="B147" s="224" t="s">
        <v>33</v>
      </c>
      <c r="C147" s="224" t="s">
        <v>105</v>
      </c>
      <c r="D147" s="224" t="s">
        <v>257</v>
      </c>
      <c r="E147" s="224" t="str">
        <f>VLOOKUP($B147,'FRS geographical categories'!$A$2:$C$45,2,FALSE)</f>
        <v>Predominantly Urban</v>
      </c>
      <c r="F147" s="224" t="str">
        <f>VLOOKUP($B147,'FRS geographical categories'!$A$2:$C$45,3,FALSE)</f>
        <v>Non-metropolitan</v>
      </c>
      <c r="G147" s="98">
        <v>0</v>
      </c>
    </row>
    <row r="148" spans="1:7" ht="15.5" x14ac:dyDescent="0.35">
      <c r="A148" s="224" t="s">
        <v>7</v>
      </c>
      <c r="B148" s="224" t="s">
        <v>33</v>
      </c>
      <c r="C148" s="224" t="s">
        <v>106</v>
      </c>
      <c r="D148" s="224" t="s">
        <v>257</v>
      </c>
      <c r="E148" s="224" t="str">
        <f>VLOOKUP($B148,'FRS geographical categories'!$A$2:$C$45,2,FALSE)</f>
        <v>Predominantly Urban</v>
      </c>
      <c r="F148" s="224" t="str">
        <f>VLOOKUP($B148,'FRS geographical categories'!$A$2:$C$45,3,FALSE)</f>
        <v>Non-metropolitan</v>
      </c>
      <c r="G148" s="98">
        <v>22703</v>
      </c>
    </row>
    <row r="149" spans="1:7" ht="15.5" x14ac:dyDescent="0.35">
      <c r="A149" s="224" t="s">
        <v>7</v>
      </c>
      <c r="B149" s="224" t="s">
        <v>33</v>
      </c>
      <c r="C149" s="224" t="s">
        <v>107</v>
      </c>
      <c r="D149" s="224" t="s">
        <v>257</v>
      </c>
      <c r="E149" s="224" t="str">
        <f>VLOOKUP($B149,'FRS geographical categories'!$A$2:$C$45,2,FALSE)</f>
        <v>Predominantly Urban</v>
      </c>
      <c r="F149" s="224" t="str">
        <f>VLOOKUP($B149,'FRS geographical categories'!$A$2:$C$45,3,FALSE)</f>
        <v>Non-metropolitan</v>
      </c>
      <c r="G149" s="98">
        <v>0</v>
      </c>
    </row>
    <row r="150" spans="1:7" ht="15.5" x14ac:dyDescent="0.35">
      <c r="A150" s="224" t="s">
        <v>7</v>
      </c>
      <c r="B150" s="224" t="s">
        <v>33</v>
      </c>
      <c r="C150" s="224" t="s">
        <v>108</v>
      </c>
      <c r="D150" s="224" t="s">
        <v>257</v>
      </c>
      <c r="E150" s="224" t="str">
        <f>VLOOKUP($B150,'FRS geographical categories'!$A$2:$C$45,2,FALSE)</f>
        <v>Predominantly Urban</v>
      </c>
      <c r="F150" s="224" t="str">
        <f>VLOOKUP($B150,'FRS geographical categories'!$A$2:$C$45,3,FALSE)</f>
        <v>Non-metropolitan</v>
      </c>
      <c r="G150" s="98">
        <v>0</v>
      </c>
    </row>
    <row r="151" spans="1:7" ht="15.5" x14ac:dyDescent="0.35">
      <c r="A151" s="224" t="s">
        <v>7</v>
      </c>
      <c r="B151" s="224" t="s">
        <v>33</v>
      </c>
      <c r="C151" s="224" t="s">
        <v>109</v>
      </c>
      <c r="D151" s="224" t="s">
        <v>257</v>
      </c>
      <c r="E151" s="224" t="str">
        <f>VLOOKUP($B151,'FRS geographical categories'!$A$2:$C$45,2,FALSE)</f>
        <v>Predominantly Urban</v>
      </c>
      <c r="F151" s="224" t="str">
        <f>VLOOKUP($B151,'FRS geographical categories'!$A$2:$C$45,3,FALSE)</f>
        <v>Non-metropolitan</v>
      </c>
      <c r="G151" s="98">
        <v>0</v>
      </c>
    </row>
    <row r="152" spans="1:7" ht="15.5" x14ac:dyDescent="0.35">
      <c r="A152" s="224" t="s">
        <v>7</v>
      </c>
      <c r="B152" s="224" t="s">
        <v>34</v>
      </c>
      <c r="C152" s="224" t="s">
        <v>102</v>
      </c>
      <c r="D152" s="224" t="s">
        <v>257</v>
      </c>
      <c r="E152" s="224" t="str">
        <f>VLOOKUP($B152,'FRS geographical categories'!$A$2:$C$45,2,FALSE)</f>
        <v>Significantly Rural</v>
      </c>
      <c r="F152" s="224" t="str">
        <f>VLOOKUP($B152,'FRS geographical categories'!$A$2:$C$45,3,FALSE)</f>
        <v>Non-metropolitan</v>
      </c>
      <c r="G152" s="98">
        <v>3308</v>
      </c>
    </row>
    <row r="153" spans="1:7" ht="15.5" x14ac:dyDescent="0.35">
      <c r="A153" s="224" t="s">
        <v>7</v>
      </c>
      <c r="B153" s="224" t="s">
        <v>34</v>
      </c>
      <c r="C153" s="224" t="s">
        <v>105</v>
      </c>
      <c r="D153" s="224" t="s">
        <v>257</v>
      </c>
      <c r="E153" s="224" t="str">
        <f>VLOOKUP($B153,'FRS geographical categories'!$A$2:$C$45,2,FALSE)</f>
        <v>Significantly Rural</v>
      </c>
      <c r="F153" s="224" t="str">
        <f>VLOOKUP($B153,'FRS geographical categories'!$A$2:$C$45,3,FALSE)</f>
        <v>Non-metropolitan</v>
      </c>
      <c r="G153" s="98">
        <v>0</v>
      </c>
    </row>
    <row r="154" spans="1:7" ht="15.5" x14ac:dyDescent="0.35">
      <c r="A154" s="224" t="s">
        <v>7</v>
      </c>
      <c r="B154" s="224" t="s">
        <v>34</v>
      </c>
      <c r="C154" s="224" t="s">
        <v>106</v>
      </c>
      <c r="D154" s="224" t="s">
        <v>257</v>
      </c>
      <c r="E154" s="224" t="str">
        <f>VLOOKUP($B154,'FRS geographical categories'!$A$2:$C$45,2,FALSE)</f>
        <v>Significantly Rural</v>
      </c>
      <c r="F154" s="224" t="str">
        <f>VLOOKUP($B154,'FRS geographical categories'!$A$2:$C$45,3,FALSE)</f>
        <v>Non-metropolitan</v>
      </c>
      <c r="G154" s="98">
        <v>6876</v>
      </c>
    </row>
    <row r="155" spans="1:7" ht="15.5" x14ac:dyDescent="0.35">
      <c r="A155" s="224" t="s">
        <v>7</v>
      </c>
      <c r="B155" s="224" t="s">
        <v>34</v>
      </c>
      <c r="C155" s="224" t="s">
        <v>107</v>
      </c>
      <c r="D155" s="224" t="s">
        <v>257</v>
      </c>
      <c r="E155" s="224" t="str">
        <f>VLOOKUP($B155,'FRS geographical categories'!$A$2:$C$45,2,FALSE)</f>
        <v>Significantly Rural</v>
      </c>
      <c r="F155" s="224" t="str">
        <f>VLOOKUP($B155,'FRS geographical categories'!$A$2:$C$45,3,FALSE)</f>
        <v>Non-metropolitan</v>
      </c>
      <c r="G155" s="98">
        <v>0</v>
      </c>
    </row>
    <row r="156" spans="1:7" ht="15.5" x14ac:dyDescent="0.35">
      <c r="A156" s="224" t="s">
        <v>7</v>
      </c>
      <c r="B156" s="224" t="s">
        <v>34</v>
      </c>
      <c r="C156" s="224" t="s">
        <v>108</v>
      </c>
      <c r="D156" s="224" t="s">
        <v>257</v>
      </c>
      <c r="E156" s="224" t="str">
        <f>VLOOKUP($B156,'FRS geographical categories'!$A$2:$C$45,2,FALSE)</f>
        <v>Significantly Rural</v>
      </c>
      <c r="F156" s="224" t="str">
        <f>VLOOKUP($B156,'FRS geographical categories'!$A$2:$C$45,3,FALSE)</f>
        <v>Non-metropolitan</v>
      </c>
      <c r="G156" s="98">
        <v>0</v>
      </c>
    </row>
    <row r="157" spans="1:7" ht="15.5" x14ac:dyDescent="0.35">
      <c r="A157" s="224" t="s">
        <v>7</v>
      </c>
      <c r="B157" s="224" t="s">
        <v>34</v>
      </c>
      <c r="C157" s="224" t="s">
        <v>109</v>
      </c>
      <c r="D157" s="224" t="s">
        <v>257</v>
      </c>
      <c r="E157" s="224" t="str">
        <f>VLOOKUP($B157,'FRS geographical categories'!$A$2:$C$45,2,FALSE)</f>
        <v>Significantly Rural</v>
      </c>
      <c r="F157" s="224" t="str">
        <f>VLOOKUP($B157,'FRS geographical categories'!$A$2:$C$45,3,FALSE)</f>
        <v>Non-metropolitan</v>
      </c>
      <c r="G157" s="98">
        <v>0</v>
      </c>
    </row>
    <row r="158" spans="1:7" ht="15.5" x14ac:dyDescent="0.35">
      <c r="A158" s="224" t="s">
        <v>7</v>
      </c>
      <c r="B158" s="224" t="s">
        <v>35</v>
      </c>
      <c r="C158" s="224" t="s">
        <v>102</v>
      </c>
      <c r="D158" s="224" t="s">
        <v>257</v>
      </c>
      <c r="E158" s="224" t="str">
        <f>VLOOKUP($B158,'FRS geographical categories'!$A$2:$C$45,2,FALSE)</f>
        <v>Predominantly Rural</v>
      </c>
      <c r="F158" s="224" t="str">
        <f>VLOOKUP($B158,'FRS geographical categories'!$A$2:$C$45,3,FALSE)</f>
        <v>Non-metropolitan</v>
      </c>
      <c r="G158" s="98">
        <v>3222</v>
      </c>
    </row>
    <row r="159" spans="1:7" ht="15.5" x14ac:dyDescent="0.35">
      <c r="A159" s="224" t="s">
        <v>7</v>
      </c>
      <c r="B159" s="224" t="s">
        <v>35</v>
      </c>
      <c r="C159" s="224" t="s">
        <v>105</v>
      </c>
      <c r="D159" s="224" t="s">
        <v>257</v>
      </c>
      <c r="E159" s="224" t="str">
        <f>VLOOKUP($B159,'FRS geographical categories'!$A$2:$C$45,2,FALSE)</f>
        <v>Predominantly Rural</v>
      </c>
      <c r="F159" s="224" t="str">
        <f>VLOOKUP($B159,'FRS geographical categories'!$A$2:$C$45,3,FALSE)</f>
        <v>Non-metropolitan</v>
      </c>
      <c r="G159" s="98">
        <v>0</v>
      </c>
    </row>
    <row r="160" spans="1:7" ht="15.5" x14ac:dyDescent="0.35">
      <c r="A160" s="224" t="s">
        <v>7</v>
      </c>
      <c r="B160" s="224" t="s">
        <v>35</v>
      </c>
      <c r="C160" s="224" t="s">
        <v>106</v>
      </c>
      <c r="D160" s="224" t="s">
        <v>257</v>
      </c>
      <c r="E160" s="224" t="str">
        <f>VLOOKUP($B160,'FRS geographical categories'!$A$2:$C$45,2,FALSE)</f>
        <v>Predominantly Rural</v>
      </c>
      <c r="F160" s="224" t="str">
        <f>VLOOKUP($B160,'FRS geographical categories'!$A$2:$C$45,3,FALSE)</f>
        <v>Non-metropolitan</v>
      </c>
      <c r="G160" s="98">
        <v>7076</v>
      </c>
    </row>
    <row r="161" spans="1:7" ht="15.5" x14ac:dyDescent="0.35">
      <c r="A161" s="224" t="s">
        <v>7</v>
      </c>
      <c r="B161" s="224" t="s">
        <v>35</v>
      </c>
      <c r="C161" s="224" t="s">
        <v>107</v>
      </c>
      <c r="D161" s="224" t="s">
        <v>257</v>
      </c>
      <c r="E161" s="224" t="str">
        <f>VLOOKUP($B161,'FRS geographical categories'!$A$2:$C$45,2,FALSE)</f>
        <v>Predominantly Rural</v>
      </c>
      <c r="F161" s="224" t="str">
        <f>VLOOKUP($B161,'FRS geographical categories'!$A$2:$C$45,3,FALSE)</f>
        <v>Non-metropolitan</v>
      </c>
      <c r="G161" s="98">
        <v>0</v>
      </c>
    </row>
    <row r="162" spans="1:7" ht="15.5" x14ac:dyDescent="0.35">
      <c r="A162" s="224" t="s">
        <v>7</v>
      </c>
      <c r="B162" s="224" t="s">
        <v>35</v>
      </c>
      <c r="C162" s="224" t="s">
        <v>108</v>
      </c>
      <c r="D162" s="224" t="s">
        <v>257</v>
      </c>
      <c r="E162" s="224" t="str">
        <f>VLOOKUP($B162,'FRS geographical categories'!$A$2:$C$45,2,FALSE)</f>
        <v>Predominantly Rural</v>
      </c>
      <c r="F162" s="224" t="str">
        <f>VLOOKUP($B162,'FRS geographical categories'!$A$2:$C$45,3,FALSE)</f>
        <v>Non-metropolitan</v>
      </c>
      <c r="G162" s="98">
        <v>2</v>
      </c>
    </row>
    <row r="163" spans="1:7" ht="15.5" x14ac:dyDescent="0.35">
      <c r="A163" s="224" t="s">
        <v>7</v>
      </c>
      <c r="B163" s="224" t="s">
        <v>35</v>
      </c>
      <c r="C163" s="224" t="s">
        <v>109</v>
      </c>
      <c r="D163" s="224" t="s">
        <v>257</v>
      </c>
      <c r="E163" s="224" t="str">
        <f>VLOOKUP($B163,'FRS geographical categories'!$A$2:$C$45,2,FALSE)</f>
        <v>Predominantly Rural</v>
      </c>
      <c r="F163" s="224" t="str">
        <f>VLOOKUP($B163,'FRS geographical categories'!$A$2:$C$45,3,FALSE)</f>
        <v>Non-metropolitan</v>
      </c>
      <c r="G163" s="98">
        <v>0</v>
      </c>
    </row>
    <row r="164" spans="1:7" ht="15.5" x14ac:dyDescent="0.35">
      <c r="A164" s="224" t="s">
        <v>7</v>
      </c>
      <c r="B164" s="224" t="s">
        <v>36</v>
      </c>
      <c r="C164" s="224" t="s">
        <v>102</v>
      </c>
      <c r="D164" s="224" t="s">
        <v>257</v>
      </c>
      <c r="E164" s="224" t="str">
        <f>VLOOKUP($B164,'FRS geographical categories'!$A$2:$C$45,2,FALSE)</f>
        <v>Predominantly Urban</v>
      </c>
      <c r="F164" s="224" t="str">
        <f>VLOOKUP($B164,'FRS geographical categories'!$A$2:$C$45,3,FALSE)</f>
        <v>Metropolitan</v>
      </c>
      <c r="G164" s="98">
        <v>9217</v>
      </c>
    </row>
    <row r="165" spans="1:7" ht="15.5" x14ac:dyDescent="0.35">
      <c r="A165" s="224" t="s">
        <v>7</v>
      </c>
      <c r="B165" s="224" t="s">
        <v>36</v>
      </c>
      <c r="C165" s="224" t="s">
        <v>105</v>
      </c>
      <c r="D165" s="224" t="s">
        <v>257</v>
      </c>
      <c r="E165" s="224" t="str">
        <f>VLOOKUP($B165,'FRS geographical categories'!$A$2:$C$45,2,FALSE)</f>
        <v>Predominantly Urban</v>
      </c>
      <c r="F165" s="224" t="str">
        <f>VLOOKUP($B165,'FRS geographical categories'!$A$2:$C$45,3,FALSE)</f>
        <v>Metropolitan</v>
      </c>
      <c r="G165" s="98">
        <v>0</v>
      </c>
    </row>
    <row r="166" spans="1:7" ht="15.5" x14ac:dyDescent="0.35">
      <c r="A166" s="224" t="s">
        <v>7</v>
      </c>
      <c r="B166" s="224" t="s">
        <v>36</v>
      </c>
      <c r="C166" s="224" t="s">
        <v>106</v>
      </c>
      <c r="D166" s="224" t="s">
        <v>257</v>
      </c>
      <c r="E166" s="224" t="str">
        <f>VLOOKUP($B166,'FRS geographical categories'!$A$2:$C$45,2,FALSE)</f>
        <v>Predominantly Urban</v>
      </c>
      <c r="F166" s="224" t="str">
        <f>VLOOKUP($B166,'FRS geographical categories'!$A$2:$C$45,3,FALSE)</f>
        <v>Metropolitan</v>
      </c>
      <c r="G166" s="98">
        <v>98648</v>
      </c>
    </row>
    <row r="167" spans="1:7" ht="15.5" x14ac:dyDescent="0.35">
      <c r="A167" s="224" t="s">
        <v>7</v>
      </c>
      <c r="B167" s="224" t="s">
        <v>36</v>
      </c>
      <c r="C167" s="224" t="s">
        <v>107</v>
      </c>
      <c r="D167" s="224" t="s">
        <v>257</v>
      </c>
      <c r="E167" s="224" t="str">
        <f>VLOOKUP($B167,'FRS geographical categories'!$A$2:$C$45,2,FALSE)</f>
        <v>Predominantly Urban</v>
      </c>
      <c r="F167" s="224" t="str">
        <f>VLOOKUP($B167,'FRS geographical categories'!$A$2:$C$45,3,FALSE)</f>
        <v>Metropolitan</v>
      </c>
      <c r="G167" s="98">
        <v>0</v>
      </c>
    </row>
    <row r="168" spans="1:7" ht="15.5" x14ac:dyDescent="0.35">
      <c r="A168" s="224" t="s">
        <v>7</v>
      </c>
      <c r="B168" s="224" t="s">
        <v>36</v>
      </c>
      <c r="C168" s="224" t="s">
        <v>108</v>
      </c>
      <c r="D168" s="224" t="s">
        <v>257</v>
      </c>
      <c r="E168" s="224" t="str">
        <f>VLOOKUP($B168,'FRS geographical categories'!$A$2:$C$45,2,FALSE)</f>
        <v>Predominantly Urban</v>
      </c>
      <c r="F168" s="224" t="str">
        <f>VLOOKUP($B168,'FRS geographical categories'!$A$2:$C$45,3,FALSE)</f>
        <v>Metropolitan</v>
      </c>
      <c r="G168" s="98">
        <v>0</v>
      </c>
    </row>
    <row r="169" spans="1:7" ht="15.5" x14ac:dyDescent="0.35">
      <c r="A169" s="224" t="s">
        <v>7</v>
      </c>
      <c r="B169" s="224" t="s">
        <v>36</v>
      </c>
      <c r="C169" s="224" t="s">
        <v>109</v>
      </c>
      <c r="D169" s="224" t="s">
        <v>257</v>
      </c>
      <c r="E169" s="224" t="str">
        <f>VLOOKUP($B169,'FRS geographical categories'!$A$2:$C$45,2,FALSE)</f>
        <v>Predominantly Urban</v>
      </c>
      <c r="F169" s="224" t="str">
        <f>VLOOKUP($B169,'FRS geographical categories'!$A$2:$C$45,3,FALSE)</f>
        <v>Metropolitan</v>
      </c>
      <c r="G169" s="98">
        <v>0</v>
      </c>
    </row>
    <row r="170" spans="1:7" ht="15.5" x14ac:dyDescent="0.35">
      <c r="A170" s="224" t="s">
        <v>7</v>
      </c>
      <c r="B170" s="224" t="s">
        <v>37</v>
      </c>
      <c r="C170" s="224" t="s">
        <v>102</v>
      </c>
      <c r="D170" s="224" t="s">
        <v>257</v>
      </c>
      <c r="E170" s="224" t="str">
        <f>VLOOKUP($B170,'FRS geographical categories'!$A$2:$C$45,2,FALSE)</f>
        <v>Predominantly Rural</v>
      </c>
      <c r="F170" s="224" t="str">
        <f>VLOOKUP($B170,'FRS geographical categories'!$A$2:$C$45,3,FALSE)</f>
        <v>Non-metropolitan</v>
      </c>
      <c r="G170" s="98">
        <v>322</v>
      </c>
    </row>
    <row r="171" spans="1:7" ht="15.5" x14ac:dyDescent="0.35">
      <c r="A171" s="224" t="s">
        <v>7</v>
      </c>
      <c r="B171" s="224" t="s">
        <v>37</v>
      </c>
      <c r="C171" s="224" t="s">
        <v>105</v>
      </c>
      <c r="D171" s="224" t="s">
        <v>257</v>
      </c>
      <c r="E171" s="224" t="str">
        <f>VLOOKUP($B171,'FRS geographical categories'!$A$2:$C$45,2,FALSE)</f>
        <v>Predominantly Rural</v>
      </c>
      <c r="F171" s="224" t="str">
        <f>VLOOKUP($B171,'FRS geographical categories'!$A$2:$C$45,3,FALSE)</f>
        <v>Non-metropolitan</v>
      </c>
      <c r="G171" s="98">
        <v>0</v>
      </c>
    </row>
    <row r="172" spans="1:7" ht="15.5" x14ac:dyDescent="0.35">
      <c r="A172" s="224" t="s">
        <v>7</v>
      </c>
      <c r="B172" s="224" t="s">
        <v>37</v>
      </c>
      <c r="C172" s="224" t="s">
        <v>106</v>
      </c>
      <c r="D172" s="224" t="s">
        <v>257</v>
      </c>
      <c r="E172" s="224" t="str">
        <f>VLOOKUP($B172,'FRS geographical categories'!$A$2:$C$45,2,FALSE)</f>
        <v>Predominantly Rural</v>
      </c>
      <c r="F172" s="224" t="str">
        <f>VLOOKUP($B172,'FRS geographical categories'!$A$2:$C$45,3,FALSE)</f>
        <v>Non-metropolitan</v>
      </c>
      <c r="G172" s="98">
        <v>6498</v>
      </c>
    </row>
    <row r="173" spans="1:7" ht="15.5" x14ac:dyDescent="0.35">
      <c r="A173" s="224" t="s">
        <v>7</v>
      </c>
      <c r="B173" s="224" t="s">
        <v>37</v>
      </c>
      <c r="C173" s="224" t="s">
        <v>107</v>
      </c>
      <c r="D173" s="224" t="s">
        <v>257</v>
      </c>
      <c r="E173" s="224" t="str">
        <f>VLOOKUP($B173,'FRS geographical categories'!$A$2:$C$45,2,FALSE)</f>
        <v>Predominantly Rural</v>
      </c>
      <c r="F173" s="224" t="str">
        <f>VLOOKUP($B173,'FRS geographical categories'!$A$2:$C$45,3,FALSE)</f>
        <v>Non-metropolitan</v>
      </c>
      <c r="G173" s="98">
        <v>327</v>
      </c>
    </row>
    <row r="174" spans="1:7" ht="15.5" x14ac:dyDescent="0.35">
      <c r="A174" s="224" t="s">
        <v>7</v>
      </c>
      <c r="B174" s="224" t="s">
        <v>37</v>
      </c>
      <c r="C174" s="224" t="s">
        <v>108</v>
      </c>
      <c r="D174" s="224" t="s">
        <v>257</v>
      </c>
      <c r="E174" s="224" t="str">
        <f>VLOOKUP($B174,'FRS geographical categories'!$A$2:$C$45,2,FALSE)</f>
        <v>Predominantly Rural</v>
      </c>
      <c r="F174" s="224" t="str">
        <f>VLOOKUP($B174,'FRS geographical categories'!$A$2:$C$45,3,FALSE)</f>
        <v>Non-metropolitan</v>
      </c>
      <c r="G174" s="98">
        <v>0</v>
      </c>
    </row>
    <row r="175" spans="1:7" ht="15.5" x14ac:dyDescent="0.35">
      <c r="A175" s="224" t="s">
        <v>7</v>
      </c>
      <c r="B175" s="224" t="s">
        <v>37</v>
      </c>
      <c r="C175" s="224" t="s">
        <v>109</v>
      </c>
      <c r="D175" s="224" t="s">
        <v>257</v>
      </c>
      <c r="E175" s="224" t="str">
        <f>VLOOKUP($B175,'FRS geographical categories'!$A$2:$C$45,2,FALSE)</f>
        <v>Predominantly Rural</v>
      </c>
      <c r="F175" s="224" t="str">
        <f>VLOOKUP($B175,'FRS geographical categories'!$A$2:$C$45,3,FALSE)</f>
        <v>Non-metropolitan</v>
      </c>
      <c r="G175" s="98">
        <v>0</v>
      </c>
    </row>
    <row r="176" spans="1:7" ht="15.5" x14ac:dyDescent="0.35">
      <c r="A176" s="224" t="s">
        <v>7</v>
      </c>
      <c r="B176" s="224" t="s">
        <v>38</v>
      </c>
      <c r="C176" s="224" t="s">
        <v>102</v>
      </c>
      <c r="D176" s="224" t="s">
        <v>257</v>
      </c>
      <c r="E176" s="224" t="str">
        <f>VLOOKUP($B176,'FRS geographical categories'!$A$2:$C$45,2,FALSE)</f>
        <v>Predominantly Rural</v>
      </c>
      <c r="F176" s="224" t="str">
        <f>VLOOKUP($B176,'FRS geographical categories'!$A$2:$C$45,3,FALSE)</f>
        <v>Non-metropolitan</v>
      </c>
      <c r="G176" s="98">
        <v>0</v>
      </c>
    </row>
    <row r="177" spans="1:7" ht="15.5" x14ac:dyDescent="0.35">
      <c r="A177" s="224" t="s">
        <v>7</v>
      </c>
      <c r="B177" s="224" t="s">
        <v>38</v>
      </c>
      <c r="C177" s="224" t="s">
        <v>105</v>
      </c>
      <c r="D177" s="224" t="s">
        <v>257</v>
      </c>
      <c r="E177" s="224" t="str">
        <f>VLOOKUP($B177,'FRS geographical categories'!$A$2:$C$45,2,FALSE)</f>
        <v>Predominantly Rural</v>
      </c>
      <c r="F177" s="224" t="str">
        <f>VLOOKUP($B177,'FRS geographical categories'!$A$2:$C$45,3,FALSE)</f>
        <v>Non-metropolitan</v>
      </c>
      <c r="G177" s="98">
        <v>0</v>
      </c>
    </row>
    <row r="178" spans="1:7" ht="15.5" x14ac:dyDescent="0.35">
      <c r="A178" s="224" t="s">
        <v>7</v>
      </c>
      <c r="B178" s="224" t="s">
        <v>38</v>
      </c>
      <c r="C178" s="224" t="s">
        <v>106</v>
      </c>
      <c r="D178" s="224" t="s">
        <v>257</v>
      </c>
      <c r="E178" s="224" t="str">
        <f>VLOOKUP($B178,'FRS geographical categories'!$A$2:$C$45,2,FALSE)</f>
        <v>Predominantly Rural</v>
      </c>
      <c r="F178" s="224" t="str">
        <f>VLOOKUP($B178,'FRS geographical categories'!$A$2:$C$45,3,FALSE)</f>
        <v>Non-metropolitan</v>
      </c>
      <c r="G178" s="98">
        <v>4180</v>
      </c>
    </row>
    <row r="179" spans="1:7" ht="15.5" x14ac:dyDescent="0.35">
      <c r="A179" s="224" t="s">
        <v>7</v>
      </c>
      <c r="B179" s="224" t="s">
        <v>38</v>
      </c>
      <c r="C179" s="224" t="s">
        <v>107</v>
      </c>
      <c r="D179" s="224" t="s">
        <v>257</v>
      </c>
      <c r="E179" s="224" t="str">
        <f>VLOOKUP($B179,'FRS geographical categories'!$A$2:$C$45,2,FALSE)</f>
        <v>Predominantly Rural</v>
      </c>
      <c r="F179" s="224" t="str">
        <f>VLOOKUP($B179,'FRS geographical categories'!$A$2:$C$45,3,FALSE)</f>
        <v>Non-metropolitan</v>
      </c>
      <c r="G179" s="98">
        <v>0</v>
      </c>
    </row>
    <row r="180" spans="1:7" ht="15.5" x14ac:dyDescent="0.35">
      <c r="A180" s="224" t="s">
        <v>7</v>
      </c>
      <c r="B180" s="224" t="s">
        <v>38</v>
      </c>
      <c r="C180" s="224" t="s">
        <v>108</v>
      </c>
      <c r="D180" s="224" t="s">
        <v>257</v>
      </c>
      <c r="E180" s="224" t="str">
        <f>VLOOKUP($B180,'FRS geographical categories'!$A$2:$C$45,2,FALSE)</f>
        <v>Predominantly Rural</v>
      </c>
      <c r="F180" s="224" t="str">
        <f>VLOOKUP($B180,'FRS geographical categories'!$A$2:$C$45,3,FALSE)</f>
        <v>Non-metropolitan</v>
      </c>
      <c r="G180" s="98">
        <v>9</v>
      </c>
    </row>
    <row r="181" spans="1:7" ht="15.5" x14ac:dyDescent="0.35">
      <c r="A181" s="224" t="s">
        <v>7</v>
      </c>
      <c r="B181" s="224" t="s">
        <v>38</v>
      </c>
      <c r="C181" s="224" t="s">
        <v>109</v>
      </c>
      <c r="D181" s="224" t="s">
        <v>257</v>
      </c>
      <c r="E181" s="224" t="str">
        <f>VLOOKUP($B181,'FRS geographical categories'!$A$2:$C$45,2,FALSE)</f>
        <v>Predominantly Rural</v>
      </c>
      <c r="F181" s="224" t="str">
        <f>VLOOKUP($B181,'FRS geographical categories'!$A$2:$C$45,3,FALSE)</f>
        <v>Non-metropolitan</v>
      </c>
      <c r="G181" s="98">
        <v>0</v>
      </c>
    </row>
    <row r="182" spans="1:7" ht="15.5" x14ac:dyDescent="0.35">
      <c r="A182" s="224" t="s">
        <v>7</v>
      </c>
      <c r="B182" s="224" t="s">
        <v>39</v>
      </c>
      <c r="C182" s="224" t="s">
        <v>102</v>
      </c>
      <c r="D182" s="224" t="s">
        <v>257</v>
      </c>
      <c r="E182" s="224" t="str">
        <f>VLOOKUP($B182,'FRS geographical categories'!$A$2:$C$45,2,FALSE)</f>
        <v>Significantly Rural</v>
      </c>
      <c r="F182" s="224" t="str">
        <f>VLOOKUP($B182,'FRS geographical categories'!$A$2:$C$45,3,FALSE)</f>
        <v>Non-metropolitan</v>
      </c>
      <c r="G182" s="98">
        <v>0</v>
      </c>
    </row>
    <row r="183" spans="1:7" ht="15.5" x14ac:dyDescent="0.35">
      <c r="A183" s="224" t="s">
        <v>7</v>
      </c>
      <c r="B183" s="224" t="s">
        <v>39</v>
      </c>
      <c r="C183" s="224" t="s">
        <v>105</v>
      </c>
      <c r="D183" s="224" t="s">
        <v>257</v>
      </c>
      <c r="E183" s="224" t="str">
        <f>VLOOKUP($B183,'FRS geographical categories'!$A$2:$C$45,2,FALSE)</f>
        <v>Significantly Rural</v>
      </c>
      <c r="F183" s="224" t="str">
        <f>VLOOKUP($B183,'FRS geographical categories'!$A$2:$C$45,3,FALSE)</f>
        <v>Non-metropolitan</v>
      </c>
      <c r="G183" s="98">
        <v>0</v>
      </c>
    </row>
    <row r="184" spans="1:7" ht="15.5" x14ac:dyDescent="0.35">
      <c r="A184" s="224" t="s">
        <v>7</v>
      </c>
      <c r="B184" s="224" t="s">
        <v>39</v>
      </c>
      <c r="C184" s="224" t="s">
        <v>106</v>
      </c>
      <c r="D184" s="224" t="s">
        <v>257</v>
      </c>
      <c r="E184" s="224" t="str">
        <f>VLOOKUP($B184,'FRS geographical categories'!$A$2:$C$45,2,FALSE)</f>
        <v>Significantly Rural</v>
      </c>
      <c r="F184" s="224" t="str">
        <f>VLOOKUP($B184,'FRS geographical categories'!$A$2:$C$45,3,FALSE)</f>
        <v>Non-metropolitan</v>
      </c>
      <c r="G184" s="98">
        <v>5040</v>
      </c>
    </row>
    <row r="185" spans="1:7" ht="15.5" x14ac:dyDescent="0.35">
      <c r="A185" s="224" t="s">
        <v>7</v>
      </c>
      <c r="B185" s="224" t="s">
        <v>39</v>
      </c>
      <c r="C185" s="224" t="s">
        <v>107</v>
      </c>
      <c r="D185" s="224" t="s">
        <v>257</v>
      </c>
      <c r="E185" s="224" t="str">
        <f>VLOOKUP($B185,'FRS geographical categories'!$A$2:$C$45,2,FALSE)</f>
        <v>Significantly Rural</v>
      </c>
      <c r="F185" s="224" t="str">
        <f>VLOOKUP($B185,'FRS geographical categories'!$A$2:$C$45,3,FALSE)</f>
        <v>Non-metropolitan</v>
      </c>
      <c r="G185" s="98">
        <v>0</v>
      </c>
    </row>
    <row r="186" spans="1:7" ht="15.5" x14ac:dyDescent="0.35">
      <c r="A186" s="224" t="s">
        <v>7</v>
      </c>
      <c r="B186" s="224" t="s">
        <v>39</v>
      </c>
      <c r="C186" s="224" t="s">
        <v>108</v>
      </c>
      <c r="D186" s="224" t="s">
        <v>257</v>
      </c>
      <c r="E186" s="224" t="str">
        <f>VLOOKUP($B186,'FRS geographical categories'!$A$2:$C$45,2,FALSE)</f>
        <v>Significantly Rural</v>
      </c>
      <c r="F186" s="224" t="str">
        <f>VLOOKUP($B186,'FRS geographical categories'!$A$2:$C$45,3,FALSE)</f>
        <v>Non-metropolitan</v>
      </c>
      <c r="G186" s="98">
        <v>1252</v>
      </c>
    </row>
    <row r="187" spans="1:7" ht="15.5" x14ac:dyDescent="0.35">
      <c r="A187" s="224" t="s">
        <v>7</v>
      </c>
      <c r="B187" s="224" t="s">
        <v>39</v>
      </c>
      <c r="C187" s="224" t="s">
        <v>109</v>
      </c>
      <c r="D187" s="224" t="s">
        <v>257</v>
      </c>
      <c r="E187" s="224" t="str">
        <f>VLOOKUP($B187,'FRS geographical categories'!$A$2:$C$45,2,FALSE)</f>
        <v>Significantly Rural</v>
      </c>
      <c r="F187" s="224" t="str">
        <f>VLOOKUP($B187,'FRS geographical categories'!$A$2:$C$45,3,FALSE)</f>
        <v>Non-metropolitan</v>
      </c>
      <c r="G187" s="98">
        <v>0</v>
      </c>
    </row>
    <row r="188" spans="1:7" ht="15.5" x14ac:dyDescent="0.35">
      <c r="A188" s="224" t="s">
        <v>7</v>
      </c>
      <c r="B188" s="224" t="s">
        <v>40</v>
      </c>
      <c r="C188" s="224" t="s">
        <v>102</v>
      </c>
      <c r="D188" s="224" t="s">
        <v>257</v>
      </c>
      <c r="E188" s="224" t="str">
        <f>VLOOKUP($B188,'FRS geographical categories'!$A$2:$C$45,2,FALSE)</f>
        <v>Predominantly Rural</v>
      </c>
      <c r="F188" s="224" t="str">
        <f>VLOOKUP($B188,'FRS geographical categories'!$A$2:$C$45,3,FALSE)</f>
        <v>Non-metropolitan</v>
      </c>
      <c r="G188" s="98">
        <v>1606</v>
      </c>
    </row>
    <row r="189" spans="1:7" ht="15.5" x14ac:dyDescent="0.35">
      <c r="A189" s="224" t="s">
        <v>7</v>
      </c>
      <c r="B189" s="224" t="s">
        <v>40</v>
      </c>
      <c r="C189" s="224" t="s">
        <v>105</v>
      </c>
      <c r="D189" s="224" t="s">
        <v>257</v>
      </c>
      <c r="E189" s="224" t="str">
        <f>VLOOKUP($B189,'FRS geographical categories'!$A$2:$C$45,2,FALSE)</f>
        <v>Predominantly Rural</v>
      </c>
      <c r="F189" s="224" t="str">
        <f>VLOOKUP($B189,'FRS geographical categories'!$A$2:$C$45,3,FALSE)</f>
        <v>Non-metropolitan</v>
      </c>
      <c r="G189" s="98">
        <v>0</v>
      </c>
    </row>
    <row r="190" spans="1:7" ht="15.5" x14ac:dyDescent="0.35">
      <c r="A190" s="224" t="s">
        <v>7</v>
      </c>
      <c r="B190" s="224" t="s">
        <v>40</v>
      </c>
      <c r="C190" s="224" t="s">
        <v>106</v>
      </c>
      <c r="D190" s="224" t="s">
        <v>257</v>
      </c>
      <c r="E190" s="224" t="str">
        <f>VLOOKUP($B190,'FRS geographical categories'!$A$2:$C$45,2,FALSE)</f>
        <v>Predominantly Rural</v>
      </c>
      <c r="F190" s="224" t="str">
        <f>VLOOKUP($B190,'FRS geographical categories'!$A$2:$C$45,3,FALSE)</f>
        <v>Non-metropolitan</v>
      </c>
      <c r="G190" s="98">
        <v>12148</v>
      </c>
    </row>
    <row r="191" spans="1:7" ht="15.5" x14ac:dyDescent="0.35">
      <c r="A191" s="224" t="s">
        <v>7</v>
      </c>
      <c r="B191" s="224" t="s">
        <v>40</v>
      </c>
      <c r="C191" s="224" t="s">
        <v>107</v>
      </c>
      <c r="D191" s="224" t="s">
        <v>257</v>
      </c>
      <c r="E191" s="224" t="str">
        <f>VLOOKUP($B191,'FRS geographical categories'!$A$2:$C$45,2,FALSE)</f>
        <v>Predominantly Rural</v>
      </c>
      <c r="F191" s="224" t="str">
        <f>VLOOKUP($B191,'FRS geographical categories'!$A$2:$C$45,3,FALSE)</f>
        <v>Non-metropolitan</v>
      </c>
      <c r="G191" s="98">
        <v>2512</v>
      </c>
    </row>
    <row r="192" spans="1:7" ht="15.5" x14ac:dyDescent="0.35">
      <c r="A192" s="224" t="s">
        <v>7</v>
      </c>
      <c r="B192" s="224" t="s">
        <v>40</v>
      </c>
      <c r="C192" s="224" t="s">
        <v>108</v>
      </c>
      <c r="D192" s="224" t="s">
        <v>257</v>
      </c>
      <c r="E192" s="224" t="str">
        <f>VLOOKUP($B192,'FRS geographical categories'!$A$2:$C$45,2,FALSE)</f>
        <v>Predominantly Rural</v>
      </c>
      <c r="F192" s="224" t="str">
        <f>VLOOKUP($B192,'FRS geographical categories'!$A$2:$C$45,3,FALSE)</f>
        <v>Non-metropolitan</v>
      </c>
      <c r="G192" s="98">
        <v>0</v>
      </c>
    </row>
    <row r="193" spans="1:7" ht="15.5" x14ac:dyDescent="0.35">
      <c r="A193" s="224" t="s">
        <v>7</v>
      </c>
      <c r="B193" s="224" t="s">
        <v>40</v>
      </c>
      <c r="C193" s="224" t="s">
        <v>109</v>
      </c>
      <c r="D193" s="224" t="s">
        <v>257</v>
      </c>
      <c r="E193" s="224" t="str">
        <f>VLOOKUP($B193,'FRS geographical categories'!$A$2:$C$45,2,FALSE)</f>
        <v>Predominantly Rural</v>
      </c>
      <c r="F193" s="224" t="str">
        <f>VLOOKUP($B193,'FRS geographical categories'!$A$2:$C$45,3,FALSE)</f>
        <v>Non-metropolitan</v>
      </c>
      <c r="G193" s="98">
        <v>0</v>
      </c>
    </row>
    <row r="194" spans="1:7" ht="15.5" x14ac:dyDescent="0.35">
      <c r="A194" s="224" t="s">
        <v>7</v>
      </c>
      <c r="B194" s="224" t="s">
        <v>41</v>
      </c>
      <c r="C194" s="224" t="s">
        <v>102</v>
      </c>
      <c r="D194" s="224" t="s">
        <v>257</v>
      </c>
      <c r="E194" s="224" t="str">
        <f>VLOOKUP($B194,'FRS geographical categories'!$A$2:$C$45,2,FALSE)</f>
        <v>Predominantly Urban</v>
      </c>
      <c r="F194" s="224" t="str">
        <f>VLOOKUP($B194,'FRS geographical categories'!$A$2:$C$45,3,FALSE)</f>
        <v>Non-metropolitan</v>
      </c>
      <c r="G194" s="98">
        <v>0</v>
      </c>
    </row>
    <row r="195" spans="1:7" ht="15.5" x14ac:dyDescent="0.35">
      <c r="A195" s="224" t="s">
        <v>7</v>
      </c>
      <c r="B195" s="224" t="s">
        <v>41</v>
      </c>
      <c r="C195" s="224" t="s">
        <v>105</v>
      </c>
      <c r="D195" s="224" t="s">
        <v>257</v>
      </c>
      <c r="E195" s="224" t="str">
        <f>VLOOKUP($B195,'FRS geographical categories'!$A$2:$C$45,2,FALSE)</f>
        <v>Predominantly Urban</v>
      </c>
      <c r="F195" s="224" t="str">
        <f>VLOOKUP($B195,'FRS geographical categories'!$A$2:$C$45,3,FALSE)</f>
        <v>Non-metropolitan</v>
      </c>
      <c r="G195" s="98">
        <v>0</v>
      </c>
    </row>
    <row r="196" spans="1:7" ht="15.5" x14ac:dyDescent="0.35">
      <c r="A196" s="224" t="s">
        <v>7</v>
      </c>
      <c r="B196" s="224" t="s">
        <v>41</v>
      </c>
      <c r="C196" s="224" t="s">
        <v>106</v>
      </c>
      <c r="D196" s="224" t="s">
        <v>257</v>
      </c>
      <c r="E196" s="224" t="str">
        <f>VLOOKUP($B196,'FRS geographical categories'!$A$2:$C$45,2,FALSE)</f>
        <v>Predominantly Urban</v>
      </c>
      <c r="F196" s="224" t="str">
        <f>VLOOKUP($B196,'FRS geographical categories'!$A$2:$C$45,3,FALSE)</f>
        <v>Non-metropolitan</v>
      </c>
      <c r="G196" s="98">
        <v>9323</v>
      </c>
    </row>
    <row r="197" spans="1:7" ht="15.5" x14ac:dyDescent="0.35">
      <c r="A197" s="224" t="s">
        <v>7</v>
      </c>
      <c r="B197" s="224" t="s">
        <v>41</v>
      </c>
      <c r="C197" s="224" t="s">
        <v>107</v>
      </c>
      <c r="D197" s="224" t="s">
        <v>257</v>
      </c>
      <c r="E197" s="224" t="str">
        <f>VLOOKUP($B197,'FRS geographical categories'!$A$2:$C$45,2,FALSE)</f>
        <v>Predominantly Urban</v>
      </c>
      <c r="F197" s="224" t="str">
        <f>VLOOKUP($B197,'FRS geographical categories'!$A$2:$C$45,3,FALSE)</f>
        <v>Non-metropolitan</v>
      </c>
      <c r="G197" s="98">
        <v>0</v>
      </c>
    </row>
    <row r="198" spans="1:7" ht="15.5" x14ac:dyDescent="0.35">
      <c r="A198" s="224" t="s">
        <v>7</v>
      </c>
      <c r="B198" s="224" t="s">
        <v>41</v>
      </c>
      <c r="C198" s="224" t="s">
        <v>108</v>
      </c>
      <c r="D198" s="224" t="s">
        <v>257</v>
      </c>
      <c r="E198" s="224" t="str">
        <f>VLOOKUP($B198,'FRS geographical categories'!$A$2:$C$45,2,FALSE)</f>
        <v>Predominantly Urban</v>
      </c>
      <c r="F198" s="224" t="str">
        <f>VLOOKUP($B198,'FRS geographical categories'!$A$2:$C$45,3,FALSE)</f>
        <v>Non-metropolitan</v>
      </c>
      <c r="G198" s="98">
        <v>770</v>
      </c>
    </row>
    <row r="199" spans="1:7" ht="15.5" x14ac:dyDescent="0.35">
      <c r="A199" s="224" t="s">
        <v>7</v>
      </c>
      <c r="B199" s="224" t="s">
        <v>41</v>
      </c>
      <c r="C199" s="224" t="s">
        <v>109</v>
      </c>
      <c r="D199" s="224" t="s">
        <v>257</v>
      </c>
      <c r="E199" s="224" t="str">
        <f>VLOOKUP($B199,'FRS geographical categories'!$A$2:$C$45,2,FALSE)</f>
        <v>Predominantly Urban</v>
      </c>
      <c r="F199" s="224" t="str">
        <f>VLOOKUP($B199,'FRS geographical categories'!$A$2:$C$45,3,FALSE)</f>
        <v>Non-metropolitan</v>
      </c>
      <c r="G199" s="98">
        <v>531</v>
      </c>
    </row>
    <row r="200" spans="1:7" ht="15.5" x14ac:dyDescent="0.35">
      <c r="A200" s="224" t="s">
        <v>7</v>
      </c>
      <c r="B200" s="224" t="s">
        <v>42</v>
      </c>
      <c r="C200" s="224" t="s">
        <v>102</v>
      </c>
      <c r="D200" s="224" t="s">
        <v>257</v>
      </c>
      <c r="E200" s="224" t="str">
        <f>VLOOKUP($B200,'FRS geographical categories'!$A$2:$C$45,2,FALSE)</f>
        <v>Predominantly Rural</v>
      </c>
      <c r="F200" s="224" t="str">
        <f>VLOOKUP($B200,'FRS geographical categories'!$A$2:$C$45,3,FALSE)</f>
        <v>Non-metropolitan</v>
      </c>
      <c r="G200" s="98">
        <v>0</v>
      </c>
    </row>
    <row r="201" spans="1:7" ht="15.5" x14ac:dyDescent="0.35">
      <c r="A201" s="224" t="s">
        <v>7</v>
      </c>
      <c r="B201" s="224" t="s">
        <v>42</v>
      </c>
      <c r="C201" s="224" t="s">
        <v>105</v>
      </c>
      <c r="D201" s="224" t="s">
        <v>257</v>
      </c>
      <c r="E201" s="224" t="str">
        <f>VLOOKUP($B201,'FRS geographical categories'!$A$2:$C$45,2,FALSE)</f>
        <v>Predominantly Rural</v>
      </c>
      <c r="F201" s="224" t="str">
        <f>VLOOKUP($B201,'FRS geographical categories'!$A$2:$C$45,3,FALSE)</f>
        <v>Non-metropolitan</v>
      </c>
      <c r="G201" s="98">
        <v>0</v>
      </c>
    </row>
    <row r="202" spans="1:7" ht="15.5" x14ac:dyDescent="0.35">
      <c r="A202" s="224" t="s">
        <v>7</v>
      </c>
      <c r="B202" s="224" t="s">
        <v>42</v>
      </c>
      <c r="C202" s="224" t="s">
        <v>106</v>
      </c>
      <c r="D202" s="224" t="s">
        <v>257</v>
      </c>
      <c r="E202" s="224" t="str">
        <f>VLOOKUP($B202,'FRS geographical categories'!$A$2:$C$45,2,FALSE)</f>
        <v>Predominantly Rural</v>
      </c>
      <c r="F202" s="224" t="str">
        <f>VLOOKUP($B202,'FRS geographical categories'!$A$2:$C$45,3,FALSE)</f>
        <v>Non-metropolitan</v>
      </c>
      <c r="G202" s="98">
        <v>8648</v>
      </c>
    </row>
    <row r="203" spans="1:7" ht="15.5" x14ac:dyDescent="0.35">
      <c r="A203" s="224" t="s">
        <v>7</v>
      </c>
      <c r="B203" s="224" t="s">
        <v>42</v>
      </c>
      <c r="C203" s="224" t="s">
        <v>107</v>
      </c>
      <c r="D203" s="224" t="s">
        <v>257</v>
      </c>
      <c r="E203" s="224" t="str">
        <f>VLOOKUP($B203,'FRS geographical categories'!$A$2:$C$45,2,FALSE)</f>
        <v>Predominantly Rural</v>
      </c>
      <c r="F203" s="224" t="str">
        <f>VLOOKUP($B203,'FRS geographical categories'!$A$2:$C$45,3,FALSE)</f>
        <v>Non-metropolitan</v>
      </c>
      <c r="G203" s="98">
        <v>0</v>
      </c>
    </row>
    <row r="204" spans="1:7" ht="15.5" x14ac:dyDescent="0.35">
      <c r="A204" s="224" t="s">
        <v>7</v>
      </c>
      <c r="B204" s="224" t="s">
        <v>42</v>
      </c>
      <c r="C204" s="224" t="s">
        <v>108</v>
      </c>
      <c r="D204" s="224" t="s">
        <v>257</v>
      </c>
      <c r="E204" s="224" t="str">
        <f>VLOOKUP($B204,'FRS geographical categories'!$A$2:$C$45,2,FALSE)</f>
        <v>Predominantly Rural</v>
      </c>
      <c r="F204" s="224" t="str">
        <f>VLOOKUP($B204,'FRS geographical categories'!$A$2:$C$45,3,FALSE)</f>
        <v>Non-metropolitan</v>
      </c>
      <c r="G204" s="98">
        <v>936</v>
      </c>
    </row>
    <row r="205" spans="1:7" ht="15.5" x14ac:dyDescent="0.35">
      <c r="A205" s="224" t="s">
        <v>7</v>
      </c>
      <c r="B205" s="224" t="s">
        <v>42</v>
      </c>
      <c r="C205" s="224" t="s">
        <v>109</v>
      </c>
      <c r="D205" s="224" t="s">
        <v>257</v>
      </c>
      <c r="E205" s="224" t="str">
        <f>VLOOKUP($B205,'FRS geographical categories'!$A$2:$C$45,2,FALSE)</f>
        <v>Predominantly Rural</v>
      </c>
      <c r="F205" s="224" t="str">
        <f>VLOOKUP($B205,'FRS geographical categories'!$A$2:$C$45,3,FALSE)</f>
        <v>Non-metropolitan</v>
      </c>
      <c r="G205" s="98">
        <v>0</v>
      </c>
    </row>
    <row r="206" spans="1:7" ht="15.5" x14ac:dyDescent="0.35">
      <c r="A206" s="224" t="s">
        <v>7</v>
      </c>
      <c r="B206" s="224" t="s">
        <v>43</v>
      </c>
      <c r="C206" s="224" t="s">
        <v>102</v>
      </c>
      <c r="D206" s="224" t="s">
        <v>257</v>
      </c>
      <c r="E206" s="224" t="str">
        <f>VLOOKUP($B206,'FRS geographical categories'!$A$2:$C$45,2,FALSE)</f>
        <v>Predominantly Rural</v>
      </c>
      <c r="F206" s="224" t="str">
        <f>VLOOKUP($B206,'FRS geographical categories'!$A$2:$C$45,3,FALSE)</f>
        <v>Non-metropolitan</v>
      </c>
      <c r="G206" s="98">
        <v>0</v>
      </c>
    </row>
    <row r="207" spans="1:7" ht="15.5" x14ac:dyDescent="0.35">
      <c r="A207" s="224" t="s">
        <v>7</v>
      </c>
      <c r="B207" s="224" t="s">
        <v>43</v>
      </c>
      <c r="C207" s="224" t="s">
        <v>105</v>
      </c>
      <c r="D207" s="224" t="s">
        <v>257</v>
      </c>
      <c r="E207" s="224" t="str">
        <f>VLOOKUP($B207,'FRS geographical categories'!$A$2:$C$45,2,FALSE)</f>
        <v>Predominantly Rural</v>
      </c>
      <c r="F207" s="224" t="str">
        <f>VLOOKUP($B207,'FRS geographical categories'!$A$2:$C$45,3,FALSE)</f>
        <v>Non-metropolitan</v>
      </c>
      <c r="G207" s="98">
        <v>0</v>
      </c>
    </row>
    <row r="208" spans="1:7" ht="15.5" x14ac:dyDescent="0.35">
      <c r="A208" s="224" t="s">
        <v>7</v>
      </c>
      <c r="B208" s="224" t="s">
        <v>43</v>
      </c>
      <c r="C208" s="224" t="s">
        <v>106</v>
      </c>
      <c r="D208" s="224" t="s">
        <v>257</v>
      </c>
      <c r="E208" s="224" t="str">
        <f>VLOOKUP($B208,'FRS geographical categories'!$A$2:$C$45,2,FALSE)</f>
        <v>Predominantly Rural</v>
      </c>
      <c r="F208" s="224" t="str">
        <f>VLOOKUP($B208,'FRS geographical categories'!$A$2:$C$45,3,FALSE)</f>
        <v>Non-metropolitan</v>
      </c>
      <c r="G208" s="98">
        <v>3724</v>
      </c>
    </row>
    <row r="209" spans="1:7" ht="15.5" x14ac:dyDescent="0.35">
      <c r="A209" s="224" t="s">
        <v>7</v>
      </c>
      <c r="B209" s="224" t="s">
        <v>43</v>
      </c>
      <c r="C209" s="224" t="s">
        <v>107</v>
      </c>
      <c r="D209" s="224" t="s">
        <v>257</v>
      </c>
      <c r="E209" s="224" t="str">
        <f>VLOOKUP($B209,'FRS geographical categories'!$A$2:$C$45,2,FALSE)</f>
        <v>Predominantly Rural</v>
      </c>
      <c r="F209" s="224" t="str">
        <f>VLOOKUP($B209,'FRS geographical categories'!$A$2:$C$45,3,FALSE)</f>
        <v>Non-metropolitan</v>
      </c>
      <c r="G209" s="98">
        <v>0</v>
      </c>
    </row>
    <row r="210" spans="1:7" ht="15.5" x14ac:dyDescent="0.35">
      <c r="A210" s="224" t="s">
        <v>7</v>
      </c>
      <c r="B210" s="224" t="s">
        <v>43</v>
      </c>
      <c r="C210" s="224" t="s">
        <v>108</v>
      </c>
      <c r="D210" s="224" t="s">
        <v>257</v>
      </c>
      <c r="E210" s="224" t="str">
        <f>VLOOKUP($B210,'FRS geographical categories'!$A$2:$C$45,2,FALSE)</f>
        <v>Predominantly Rural</v>
      </c>
      <c r="F210" s="224" t="str">
        <f>VLOOKUP($B210,'FRS geographical categories'!$A$2:$C$45,3,FALSE)</f>
        <v>Non-metropolitan</v>
      </c>
      <c r="G210" s="98">
        <v>620</v>
      </c>
    </row>
    <row r="211" spans="1:7" ht="15.5" x14ac:dyDescent="0.35">
      <c r="A211" s="224" t="s">
        <v>7</v>
      </c>
      <c r="B211" s="224" t="s">
        <v>43</v>
      </c>
      <c r="C211" s="224" t="s">
        <v>109</v>
      </c>
      <c r="D211" s="224" t="s">
        <v>257</v>
      </c>
      <c r="E211" s="224" t="str">
        <f>VLOOKUP($B211,'FRS geographical categories'!$A$2:$C$45,2,FALSE)</f>
        <v>Predominantly Rural</v>
      </c>
      <c r="F211" s="224" t="str">
        <f>VLOOKUP($B211,'FRS geographical categories'!$A$2:$C$45,3,FALSE)</f>
        <v>Non-metropolitan</v>
      </c>
      <c r="G211" s="98">
        <v>1655</v>
      </c>
    </row>
    <row r="212" spans="1:7" ht="15.5" x14ac:dyDescent="0.35">
      <c r="A212" s="224" t="s">
        <v>7</v>
      </c>
      <c r="B212" s="224" t="s">
        <v>44</v>
      </c>
      <c r="C212" s="224" t="s">
        <v>102</v>
      </c>
      <c r="D212" s="224" t="s">
        <v>257</v>
      </c>
      <c r="E212" s="224" t="str">
        <f>VLOOKUP($B212,'FRS geographical categories'!$A$2:$C$45,2,FALSE)</f>
        <v>Predominantly Urban</v>
      </c>
      <c r="F212" s="224" t="str">
        <f>VLOOKUP($B212,'FRS geographical categories'!$A$2:$C$45,3,FALSE)</f>
        <v>Metropolitan</v>
      </c>
      <c r="G212" s="98">
        <v>3108</v>
      </c>
    </row>
    <row r="213" spans="1:7" ht="15.5" x14ac:dyDescent="0.35">
      <c r="A213" s="224" t="s">
        <v>7</v>
      </c>
      <c r="B213" s="224" t="s">
        <v>44</v>
      </c>
      <c r="C213" s="224" t="s">
        <v>105</v>
      </c>
      <c r="D213" s="224" t="s">
        <v>257</v>
      </c>
      <c r="E213" s="224" t="str">
        <f>VLOOKUP($B213,'FRS geographical categories'!$A$2:$C$45,2,FALSE)</f>
        <v>Predominantly Urban</v>
      </c>
      <c r="F213" s="224" t="str">
        <f>VLOOKUP($B213,'FRS geographical categories'!$A$2:$C$45,3,FALSE)</f>
        <v>Metropolitan</v>
      </c>
      <c r="G213" s="98">
        <v>0</v>
      </c>
    </row>
    <row r="214" spans="1:7" ht="15.5" x14ac:dyDescent="0.35">
      <c r="A214" s="224" t="s">
        <v>7</v>
      </c>
      <c r="B214" s="224" t="s">
        <v>44</v>
      </c>
      <c r="C214" s="224" t="s">
        <v>106</v>
      </c>
      <c r="D214" s="224" t="s">
        <v>257</v>
      </c>
      <c r="E214" s="224" t="str">
        <f>VLOOKUP($B214,'FRS geographical categories'!$A$2:$C$45,2,FALSE)</f>
        <v>Predominantly Urban</v>
      </c>
      <c r="F214" s="224" t="str">
        <f>VLOOKUP($B214,'FRS geographical categories'!$A$2:$C$45,3,FALSE)</f>
        <v>Metropolitan</v>
      </c>
      <c r="G214" s="98">
        <v>23606</v>
      </c>
    </row>
    <row r="215" spans="1:7" ht="15.5" x14ac:dyDescent="0.35">
      <c r="A215" s="224" t="s">
        <v>7</v>
      </c>
      <c r="B215" s="224" t="s">
        <v>44</v>
      </c>
      <c r="C215" s="224" t="s">
        <v>107</v>
      </c>
      <c r="D215" s="224" t="s">
        <v>257</v>
      </c>
      <c r="E215" s="224" t="str">
        <f>VLOOKUP($B215,'FRS geographical categories'!$A$2:$C$45,2,FALSE)</f>
        <v>Predominantly Urban</v>
      </c>
      <c r="F215" s="224" t="str">
        <f>VLOOKUP($B215,'FRS geographical categories'!$A$2:$C$45,3,FALSE)</f>
        <v>Metropolitan</v>
      </c>
      <c r="G215" s="98">
        <v>20</v>
      </c>
    </row>
    <row r="216" spans="1:7" ht="15.5" x14ac:dyDescent="0.35">
      <c r="A216" s="224" t="s">
        <v>7</v>
      </c>
      <c r="B216" s="224" t="s">
        <v>44</v>
      </c>
      <c r="C216" s="224" t="s">
        <v>108</v>
      </c>
      <c r="D216" s="224" t="s">
        <v>257</v>
      </c>
      <c r="E216" s="224" t="str">
        <f>VLOOKUP($B216,'FRS geographical categories'!$A$2:$C$45,2,FALSE)</f>
        <v>Predominantly Urban</v>
      </c>
      <c r="F216" s="224" t="str">
        <f>VLOOKUP($B216,'FRS geographical categories'!$A$2:$C$45,3,FALSE)</f>
        <v>Metropolitan</v>
      </c>
      <c r="G216" s="98">
        <v>0</v>
      </c>
    </row>
    <row r="217" spans="1:7" ht="15.5" x14ac:dyDescent="0.35">
      <c r="A217" s="224" t="s">
        <v>7</v>
      </c>
      <c r="B217" s="224" t="s">
        <v>44</v>
      </c>
      <c r="C217" s="224" t="s">
        <v>109</v>
      </c>
      <c r="D217" s="224" t="s">
        <v>257</v>
      </c>
      <c r="E217" s="224" t="str">
        <f>VLOOKUP($B217,'FRS geographical categories'!$A$2:$C$45,2,FALSE)</f>
        <v>Predominantly Urban</v>
      </c>
      <c r="F217" s="224" t="str">
        <f>VLOOKUP($B217,'FRS geographical categories'!$A$2:$C$45,3,FALSE)</f>
        <v>Metropolitan</v>
      </c>
      <c r="G217" s="98">
        <v>0</v>
      </c>
    </row>
    <row r="218" spans="1:7" ht="15.5" x14ac:dyDescent="0.35">
      <c r="A218" s="224" t="s">
        <v>7</v>
      </c>
      <c r="B218" s="224" t="s">
        <v>45</v>
      </c>
      <c r="C218" s="224" t="s">
        <v>102</v>
      </c>
      <c r="D218" s="224" t="s">
        <v>257</v>
      </c>
      <c r="E218" s="224" t="str">
        <f>VLOOKUP($B218,'FRS geographical categories'!$A$2:$C$45,2,FALSE)</f>
        <v>Significantly Rural</v>
      </c>
      <c r="F218" s="224" t="str">
        <f>VLOOKUP($B218,'FRS geographical categories'!$A$2:$C$45,3,FALSE)</f>
        <v>Non-metropolitan</v>
      </c>
      <c r="G218" s="98">
        <v>0</v>
      </c>
    </row>
    <row r="219" spans="1:7" ht="15.5" x14ac:dyDescent="0.35">
      <c r="A219" s="224" t="s">
        <v>7</v>
      </c>
      <c r="B219" s="224" t="s">
        <v>45</v>
      </c>
      <c r="C219" s="224" t="s">
        <v>105</v>
      </c>
      <c r="D219" s="224" t="s">
        <v>257</v>
      </c>
      <c r="E219" s="224" t="str">
        <f>VLOOKUP($B219,'FRS geographical categories'!$A$2:$C$45,2,FALSE)</f>
        <v>Significantly Rural</v>
      </c>
      <c r="F219" s="224" t="str">
        <f>VLOOKUP($B219,'FRS geographical categories'!$A$2:$C$45,3,FALSE)</f>
        <v>Non-metropolitan</v>
      </c>
      <c r="G219" s="98">
        <v>0</v>
      </c>
    </row>
    <row r="220" spans="1:7" ht="15.5" x14ac:dyDescent="0.35">
      <c r="A220" s="224" t="s">
        <v>7</v>
      </c>
      <c r="B220" s="224" t="s">
        <v>45</v>
      </c>
      <c r="C220" s="224" t="s">
        <v>106</v>
      </c>
      <c r="D220" s="224" t="s">
        <v>257</v>
      </c>
      <c r="E220" s="224" t="str">
        <f>VLOOKUP($B220,'FRS geographical categories'!$A$2:$C$45,2,FALSE)</f>
        <v>Significantly Rural</v>
      </c>
      <c r="F220" s="224" t="str">
        <f>VLOOKUP($B220,'FRS geographical categories'!$A$2:$C$45,3,FALSE)</f>
        <v>Non-metropolitan</v>
      </c>
      <c r="G220" s="98">
        <v>0</v>
      </c>
    </row>
    <row r="221" spans="1:7" ht="15.5" x14ac:dyDescent="0.35">
      <c r="A221" s="224" t="s">
        <v>7</v>
      </c>
      <c r="B221" s="224" t="s">
        <v>45</v>
      </c>
      <c r="C221" s="224" t="s">
        <v>107</v>
      </c>
      <c r="D221" s="224" t="s">
        <v>257</v>
      </c>
      <c r="E221" s="224" t="str">
        <f>VLOOKUP($B221,'FRS geographical categories'!$A$2:$C$45,2,FALSE)</f>
        <v>Significantly Rural</v>
      </c>
      <c r="F221" s="224" t="str">
        <f>VLOOKUP($B221,'FRS geographical categories'!$A$2:$C$45,3,FALSE)</f>
        <v>Non-metropolitan</v>
      </c>
      <c r="G221" s="98">
        <v>0</v>
      </c>
    </row>
    <row r="222" spans="1:7" ht="15.5" x14ac:dyDescent="0.35">
      <c r="A222" s="224" t="s">
        <v>7</v>
      </c>
      <c r="B222" s="224" t="s">
        <v>45</v>
      </c>
      <c r="C222" s="224" t="s">
        <v>108</v>
      </c>
      <c r="D222" s="224" t="s">
        <v>257</v>
      </c>
      <c r="E222" s="224" t="str">
        <f>VLOOKUP($B222,'FRS geographical categories'!$A$2:$C$45,2,FALSE)</f>
        <v>Significantly Rural</v>
      </c>
      <c r="F222" s="224" t="str">
        <f>VLOOKUP($B222,'FRS geographical categories'!$A$2:$C$45,3,FALSE)</f>
        <v>Non-metropolitan</v>
      </c>
      <c r="G222" s="98">
        <v>0</v>
      </c>
    </row>
    <row r="223" spans="1:7" ht="15.5" x14ac:dyDescent="0.35">
      <c r="A223" s="224" t="s">
        <v>7</v>
      </c>
      <c r="B223" s="224" t="s">
        <v>45</v>
      </c>
      <c r="C223" s="224" t="s">
        <v>109</v>
      </c>
      <c r="D223" s="224" t="s">
        <v>257</v>
      </c>
      <c r="E223" s="224" t="str">
        <f>VLOOKUP($B223,'FRS geographical categories'!$A$2:$C$45,2,FALSE)</f>
        <v>Significantly Rural</v>
      </c>
      <c r="F223" s="224" t="str">
        <f>VLOOKUP($B223,'FRS geographical categories'!$A$2:$C$45,3,FALSE)</f>
        <v>Non-metropolitan</v>
      </c>
      <c r="G223" s="98">
        <v>0</v>
      </c>
    </row>
    <row r="224" spans="1:7" ht="15.5" x14ac:dyDescent="0.35">
      <c r="A224" s="224" t="s">
        <v>7</v>
      </c>
      <c r="B224" s="224" t="s">
        <v>46</v>
      </c>
      <c r="C224" s="224" t="s">
        <v>102</v>
      </c>
      <c r="D224" s="224" t="s">
        <v>257</v>
      </c>
      <c r="E224" s="224" t="str">
        <f>VLOOKUP($B224,'FRS geographical categories'!$A$2:$C$45,2,FALSE)</f>
        <v>Predominantly Rural</v>
      </c>
      <c r="F224" s="224" t="str">
        <f>VLOOKUP($B224,'FRS geographical categories'!$A$2:$C$45,3,FALSE)</f>
        <v>Non-metropolitan</v>
      </c>
      <c r="G224" s="98">
        <v>0</v>
      </c>
    </row>
    <row r="225" spans="1:7" ht="15.5" x14ac:dyDescent="0.35">
      <c r="A225" s="224" t="s">
        <v>7</v>
      </c>
      <c r="B225" s="224" t="s">
        <v>46</v>
      </c>
      <c r="C225" s="224" t="s">
        <v>105</v>
      </c>
      <c r="D225" s="224" t="s">
        <v>257</v>
      </c>
      <c r="E225" s="224" t="str">
        <f>VLOOKUP($B225,'FRS geographical categories'!$A$2:$C$45,2,FALSE)</f>
        <v>Predominantly Rural</v>
      </c>
      <c r="F225" s="224" t="str">
        <f>VLOOKUP($B225,'FRS geographical categories'!$A$2:$C$45,3,FALSE)</f>
        <v>Non-metropolitan</v>
      </c>
      <c r="G225" s="98">
        <v>0</v>
      </c>
    </row>
    <row r="226" spans="1:7" ht="15.5" x14ac:dyDescent="0.35">
      <c r="A226" s="224" t="s">
        <v>7</v>
      </c>
      <c r="B226" s="224" t="s">
        <v>46</v>
      </c>
      <c r="C226" s="224" t="s">
        <v>106</v>
      </c>
      <c r="D226" s="224" t="s">
        <v>257</v>
      </c>
      <c r="E226" s="224" t="str">
        <f>VLOOKUP($B226,'FRS geographical categories'!$A$2:$C$45,2,FALSE)</f>
        <v>Predominantly Rural</v>
      </c>
      <c r="F226" s="224" t="str">
        <f>VLOOKUP($B226,'FRS geographical categories'!$A$2:$C$45,3,FALSE)</f>
        <v>Non-metropolitan</v>
      </c>
      <c r="G226" s="98">
        <v>2316</v>
      </c>
    </row>
    <row r="227" spans="1:7" ht="15.5" x14ac:dyDescent="0.35">
      <c r="A227" s="224" t="s">
        <v>7</v>
      </c>
      <c r="B227" s="224" t="s">
        <v>46</v>
      </c>
      <c r="C227" s="224" t="s">
        <v>107</v>
      </c>
      <c r="D227" s="224" t="s">
        <v>257</v>
      </c>
      <c r="E227" s="224" t="str">
        <f>VLOOKUP($B227,'FRS geographical categories'!$A$2:$C$45,2,FALSE)</f>
        <v>Predominantly Rural</v>
      </c>
      <c r="F227" s="224" t="str">
        <f>VLOOKUP($B227,'FRS geographical categories'!$A$2:$C$45,3,FALSE)</f>
        <v>Non-metropolitan</v>
      </c>
      <c r="G227" s="98">
        <v>20</v>
      </c>
    </row>
    <row r="228" spans="1:7" ht="15.5" x14ac:dyDescent="0.35">
      <c r="A228" s="224" t="s">
        <v>7</v>
      </c>
      <c r="B228" s="224" t="s">
        <v>46</v>
      </c>
      <c r="C228" s="224" t="s">
        <v>108</v>
      </c>
      <c r="D228" s="224" t="s">
        <v>257</v>
      </c>
      <c r="E228" s="224" t="str">
        <f>VLOOKUP($B228,'FRS geographical categories'!$A$2:$C$45,2,FALSE)</f>
        <v>Predominantly Rural</v>
      </c>
      <c r="F228" s="224" t="str">
        <f>VLOOKUP($B228,'FRS geographical categories'!$A$2:$C$45,3,FALSE)</f>
        <v>Non-metropolitan</v>
      </c>
      <c r="G228" s="98">
        <v>1030</v>
      </c>
    </row>
    <row r="229" spans="1:7" ht="15.5" x14ac:dyDescent="0.35">
      <c r="A229" s="224" t="s">
        <v>7</v>
      </c>
      <c r="B229" s="224" t="s">
        <v>46</v>
      </c>
      <c r="C229" s="224" t="s">
        <v>109</v>
      </c>
      <c r="D229" s="224" t="s">
        <v>257</v>
      </c>
      <c r="E229" s="224" t="str">
        <f>VLOOKUP($B229,'FRS geographical categories'!$A$2:$C$45,2,FALSE)</f>
        <v>Predominantly Rural</v>
      </c>
      <c r="F229" s="224" t="str">
        <f>VLOOKUP($B229,'FRS geographical categories'!$A$2:$C$45,3,FALSE)</f>
        <v>Non-metropolitan</v>
      </c>
      <c r="G229" s="98">
        <v>78</v>
      </c>
    </row>
    <row r="230" spans="1:7" ht="15.5" x14ac:dyDescent="0.35">
      <c r="A230" s="224" t="s">
        <v>7</v>
      </c>
      <c r="B230" s="224" t="s">
        <v>47</v>
      </c>
      <c r="C230" s="224" t="s">
        <v>102</v>
      </c>
      <c r="D230" s="224" t="s">
        <v>257</v>
      </c>
      <c r="E230" s="224" t="str">
        <f>VLOOKUP($B230,'FRS geographical categories'!$A$2:$C$45,2,FALSE)</f>
        <v>Predominantly Urban</v>
      </c>
      <c r="F230" s="224" t="str">
        <f>VLOOKUP($B230,'FRS geographical categories'!$A$2:$C$45,3,FALSE)</f>
        <v>Non-metropolitan</v>
      </c>
      <c r="G230" s="98">
        <v>0</v>
      </c>
    </row>
    <row r="231" spans="1:7" ht="15.5" x14ac:dyDescent="0.35">
      <c r="A231" s="224" t="s">
        <v>7</v>
      </c>
      <c r="B231" s="224" t="s">
        <v>47</v>
      </c>
      <c r="C231" s="224" t="s">
        <v>105</v>
      </c>
      <c r="D231" s="224" t="s">
        <v>257</v>
      </c>
      <c r="E231" s="224" t="str">
        <f>VLOOKUP($B231,'FRS geographical categories'!$A$2:$C$45,2,FALSE)</f>
        <v>Predominantly Urban</v>
      </c>
      <c r="F231" s="224" t="str">
        <f>VLOOKUP($B231,'FRS geographical categories'!$A$2:$C$45,3,FALSE)</f>
        <v>Non-metropolitan</v>
      </c>
      <c r="G231" s="98">
        <v>0</v>
      </c>
    </row>
    <row r="232" spans="1:7" ht="15.5" x14ac:dyDescent="0.35">
      <c r="A232" s="224" t="s">
        <v>7</v>
      </c>
      <c r="B232" s="224" t="s">
        <v>47</v>
      </c>
      <c r="C232" s="224" t="s">
        <v>106</v>
      </c>
      <c r="D232" s="224" t="s">
        <v>257</v>
      </c>
      <c r="E232" s="224" t="str">
        <f>VLOOKUP($B232,'FRS geographical categories'!$A$2:$C$45,2,FALSE)</f>
        <v>Predominantly Urban</v>
      </c>
      <c r="F232" s="224" t="str">
        <f>VLOOKUP($B232,'FRS geographical categories'!$A$2:$C$45,3,FALSE)</f>
        <v>Non-metropolitan</v>
      </c>
      <c r="G232" s="98">
        <v>7493</v>
      </c>
    </row>
    <row r="233" spans="1:7" ht="15.5" x14ac:dyDescent="0.35">
      <c r="A233" s="224" t="s">
        <v>7</v>
      </c>
      <c r="B233" s="224" t="s">
        <v>47</v>
      </c>
      <c r="C233" s="224" t="s">
        <v>107</v>
      </c>
      <c r="D233" s="224" t="s">
        <v>257</v>
      </c>
      <c r="E233" s="224" t="str">
        <f>VLOOKUP($B233,'FRS geographical categories'!$A$2:$C$45,2,FALSE)</f>
        <v>Predominantly Urban</v>
      </c>
      <c r="F233" s="224" t="str">
        <f>VLOOKUP($B233,'FRS geographical categories'!$A$2:$C$45,3,FALSE)</f>
        <v>Non-metropolitan</v>
      </c>
      <c r="G233" s="98">
        <v>777</v>
      </c>
    </row>
    <row r="234" spans="1:7" ht="15.5" x14ac:dyDescent="0.35">
      <c r="A234" s="224" t="s">
        <v>7</v>
      </c>
      <c r="B234" s="224" t="s">
        <v>47</v>
      </c>
      <c r="C234" s="224" t="s">
        <v>108</v>
      </c>
      <c r="D234" s="224" t="s">
        <v>257</v>
      </c>
      <c r="E234" s="224" t="str">
        <f>VLOOKUP($B234,'FRS geographical categories'!$A$2:$C$45,2,FALSE)</f>
        <v>Predominantly Urban</v>
      </c>
      <c r="F234" s="224" t="str">
        <f>VLOOKUP($B234,'FRS geographical categories'!$A$2:$C$45,3,FALSE)</f>
        <v>Non-metropolitan</v>
      </c>
      <c r="G234" s="98">
        <v>565</v>
      </c>
    </row>
    <row r="235" spans="1:7" ht="15.5" x14ac:dyDescent="0.35">
      <c r="A235" s="224" t="s">
        <v>7</v>
      </c>
      <c r="B235" s="224" t="s">
        <v>47</v>
      </c>
      <c r="C235" s="224" t="s">
        <v>109</v>
      </c>
      <c r="D235" s="224" t="s">
        <v>257</v>
      </c>
      <c r="E235" s="224" t="str">
        <f>VLOOKUP($B235,'FRS geographical categories'!$A$2:$C$45,2,FALSE)</f>
        <v>Predominantly Urban</v>
      </c>
      <c r="F235" s="224" t="str">
        <f>VLOOKUP($B235,'FRS geographical categories'!$A$2:$C$45,3,FALSE)</f>
        <v>Non-metropolitan</v>
      </c>
      <c r="G235" s="98">
        <v>0</v>
      </c>
    </row>
    <row r="236" spans="1:7" ht="15.5" x14ac:dyDescent="0.35">
      <c r="A236" s="224" t="s">
        <v>7</v>
      </c>
      <c r="B236" s="224" t="s">
        <v>48</v>
      </c>
      <c r="C236" s="224" t="s">
        <v>102</v>
      </c>
      <c r="D236" s="224" t="s">
        <v>257</v>
      </c>
      <c r="E236" s="224" t="str">
        <f>VLOOKUP($B236,'FRS geographical categories'!$A$2:$C$45,2,FALSE)</f>
        <v>Predominantly Urban</v>
      </c>
      <c r="F236" s="224" t="str">
        <f>VLOOKUP($B236,'FRS geographical categories'!$A$2:$C$45,3,FALSE)</f>
        <v>Metropolitan</v>
      </c>
      <c r="G236" s="98">
        <v>0</v>
      </c>
    </row>
    <row r="237" spans="1:7" ht="15.5" x14ac:dyDescent="0.35">
      <c r="A237" s="224" t="s">
        <v>7</v>
      </c>
      <c r="B237" s="224" t="s">
        <v>48</v>
      </c>
      <c r="C237" s="224" t="s">
        <v>105</v>
      </c>
      <c r="D237" s="224" t="s">
        <v>257</v>
      </c>
      <c r="E237" s="224" t="str">
        <f>VLOOKUP($B237,'FRS geographical categories'!$A$2:$C$45,2,FALSE)</f>
        <v>Predominantly Urban</v>
      </c>
      <c r="F237" s="224" t="str">
        <f>VLOOKUP($B237,'FRS geographical categories'!$A$2:$C$45,3,FALSE)</f>
        <v>Metropolitan</v>
      </c>
      <c r="G237" s="98">
        <v>3617</v>
      </c>
    </row>
    <row r="238" spans="1:7" ht="15.5" x14ac:dyDescent="0.35">
      <c r="A238" s="224" t="s">
        <v>7</v>
      </c>
      <c r="B238" s="224" t="s">
        <v>48</v>
      </c>
      <c r="C238" s="224" t="s">
        <v>106</v>
      </c>
      <c r="D238" s="224" t="s">
        <v>257</v>
      </c>
      <c r="E238" s="224" t="str">
        <f>VLOOKUP($B238,'FRS geographical categories'!$A$2:$C$45,2,FALSE)</f>
        <v>Predominantly Urban</v>
      </c>
      <c r="F238" s="224" t="str">
        <f>VLOOKUP($B238,'FRS geographical categories'!$A$2:$C$45,3,FALSE)</f>
        <v>Metropolitan</v>
      </c>
      <c r="G238" s="98">
        <v>26466</v>
      </c>
    </row>
    <row r="239" spans="1:7" ht="15.5" x14ac:dyDescent="0.35">
      <c r="A239" s="224" t="s">
        <v>7</v>
      </c>
      <c r="B239" s="224" t="s">
        <v>48</v>
      </c>
      <c r="C239" s="224" t="s">
        <v>107</v>
      </c>
      <c r="D239" s="224" t="s">
        <v>257</v>
      </c>
      <c r="E239" s="224" t="str">
        <f>VLOOKUP($B239,'FRS geographical categories'!$A$2:$C$45,2,FALSE)</f>
        <v>Predominantly Urban</v>
      </c>
      <c r="F239" s="224" t="str">
        <f>VLOOKUP($B239,'FRS geographical categories'!$A$2:$C$45,3,FALSE)</f>
        <v>Metropolitan</v>
      </c>
      <c r="G239" s="98">
        <v>0</v>
      </c>
    </row>
    <row r="240" spans="1:7" ht="15.5" x14ac:dyDescent="0.35">
      <c r="A240" s="224" t="s">
        <v>7</v>
      </c>
      <c r="B240" s="224" t="s">
        <v>48</v>
      </c>
      <c r="C240" s="224" t="s">
        <v>108</v>
      </c>
      <c r="D240" s="224" t="s">
        <v>257</v>
      </c>
      <c r="E240" s="224" t="str">
        <f>VLOOKUP($B240,'FRS geographical categories'!$A$2:$C$45,2,FALSE)</f>
        <v>Predominantly Urban</v>
      </c>
      <c r="F240" s="224" t="str">
        <f>VLOOKUP($B240,'FRS geographical categories'!$A$2:$C$45,3,FALSE)</f>
        <v>Metropolitan</v>
      </c>
      <c r="G240" s="98">
        <v>17107.5</v>
      </c>
    </row>
    <row r="241" spans="1:7" ht="15.5" x14ac:dyDescent="0.35">
      <c r="A241" s="224" t="s">
        <v>7</v>
      </c>
      <c r="B241" s="224" t="s">
        <v>48</v>
      </c>
      <c r="C241" s="224" t="s">
        <v>109</v>
      </c>
      <c r="D241" s="224" t="s">
        <v>257</v>
      </c>
      <c r="E241" s="224" t="str">
        <f>VLOOKUP($B241,'FRS geographical categories'!$A$2:$C$45,2,FALSE)</f>
        <v>Predominantly Urban</v>
      </c>
      <c r="F241" s="224" t="str">
        <f>VLOOKUP($B241,'FRS geographical categories'!$A$2:$C$45,3,FALSE)</f>
        <v>Metropolitan</v>
      </c>
      <c r="G241" s="98">
        <v>0</v>
      </c>
    </row>
    <row r="242" spans="1:7" ht="15.5" x14ac:dyDescent="0.35">
      <c r="A242" s="224" t="s">
        <v>7</v>
      </c>
      <c r="B242" s="224" t="s">
        <v>49</v>
      </c>
      <c r="C242" s="224" t="s">
        <v>102</v>
      </c>
      <c r="D242" s="224" t="s">
        <v>257</v>
      </c>
      <c r="E242" s="224" t="str">
        <f>VLOOKUP($B242,'FRS geographical categories'!$A$2:$C$45,2,FALSE)</f>
        <v>Significantly Rural</v>
      </c>
      <c r="F242" s="224" t="str">
        <f>VLOOKUP($B242,'FRS geographical categories'!$A$2:$C$45,3,FALSE)</f>
        <v>Non-metropolitan</v>
      </c>
      <c r="G242" s="98">
        <v>0</v>
      </c>
    </row>
    <row r="243" spans="1:7" ht="15.5" x14ac:dyDescent="0.35">
      <c r="A243" s="224" t="s">
        <v>7</v>
      </c>
      <c r="B243" s="224" t="s">
        <v>49</v>
      </c>
      <c r="C243" s="224" t="s">
        <v>105</v>
      </c>
      <c r="D243" s="224" t="s">
        <v>257</v>
      </c>
      <c r="E243" s="224" t="str">
        <f>VLOOKUP($B243,'FRS geographical categories'!$A$2:$C$45,2,FALSE)</f>
        <v>Significantly Rural</v>
      </c>
      <c r="F243" s="224" t="str">
        <f>VLOOKUP($B243,'FRS geographical categories'!$A$2:$C$45,3,FALSE)</f>
        <v>Non-metropolitan</v>
      </c>
      <c r="G243" s="98">
        <v>0</v>
      </c>
    </row>
    <row r="244" spans="1:7" ht="15.5" x14ac:dyDescent="0.35">
      <c r="A244" s="224" t="s">
        <v>7</v>
      </c>
      <c r="B244" s="224" t="s">
        <v>49</v>
      </c>
      <c r="C244" s="224" t="s">
        <v>106</v>
      </c>
      <c r="D244" s="224" t="s">
        <v>257</v>
      </c>
      <c r="E244" s="224" t="str">
        <f>VLOOKUP($B244,'FRS geographical categories'!$A$2:$C$45,2,FALSE)</f>
        <v>Significantly Rural</v>
      </c>
      <c r="F244" s="224" t="str">
        <f>VLOOKUP($B244,'FRS geographical categories'!$A$2:$C$45,3,FALSE)</f>
        <v>Non-metropolitan</v>
      </c>
      <c r="G244" s="98">
        <v>11222</v>
      </c>
    </row>
    <row r="245" spans="1:7" ht="15.5" x14ac:dyDescent="0.35">
      <c r="A245" s="224" t="s">
        <v>7</v>
      </c>
      <c r="B245" s="224" t="s">
        <v>49</v>
      </c>
      <c r="C245" s="224" t="s">
        <v>107</v>
      </c>
      <c r="D245" s="224" t="s">
        <v>257</v>
      </c>
      <c r="E245" s="224" t="str">
        <f>VLOOKUP($B245,'FRS geographical categories'!$A$2:$C$45,2,FALSE)</f>
        <v>Significantly Rural</v>
      </c>
      <c r="F245" s="224" t="str">
        <f>VLOOKUP($B245,'FRS geographical categories'!$A$2:$C$45,3,FALSE)</f>
        <v>Non-metropolitan</v>
      </c>
      <c r="G245" s="98">
        <v>0</v>
      </c>
    </row>
    <row r="246" spans="1:7" ht="15.5" x14ac:dyDescent="0.35">
      <c r="A246" s="224" t="s">
        <v>7</v>
      </c>
      <c r="B246" s="224" t="s">
        <v>49</v>
      </c>
      <c r="C246" s="224" t="s">
        <v>108</v>
      </c>
      <c r="D246" s="224" t="s">
        <v>257</v>
      </c>
      <c r="E246" s="224" t="str">
        <f>VLOOKUP($B246,'FRS geographical categories'!$A$2:$C$45,2,FALSE)</f>
        <v>Significantly Rural</v>
      </c>
      <c r="F246" s="224" t="str">
        <f>VLOOKUP($B246,'FRS geographical categories'!$A$2:$C$45,3,FALSE)</f>
        <v>Non-metropolitan</v>
      </c>
      <c r="G246" s="98">
        <v>644</v>
      </c>
    </row>
    <row r="247" spans="1:7" ht="15.5" x14ac:dyDescent="0.35">
      <c r="A247" s="224" t="s">
        <v>7</v>
      </c>
      <c r="B247" s="224" t="s">
        <v>49</v>
      </c>
      <c r="C247" s="224" t="s">
        <v>109</v>
      </c>
      <c r="D247" s="224" t="s">
        <v>257</v>
      </c>
      <c r="E247" s="224" t="str">
        <f>VLOOKUP($B247,'FRS geographical categories'!$A$2:$C$45,2,FALSE)</f>
        <v>Significantly Rural</v>
      </c>
      <c r="F247" s="224" t="str">
        <f>VLOOKUP($B247,'FRS geographical categories'!$A$2:$C$45,3,FALSE)</f>
        <v>Non-metropolitan</v>
      </c>
      <c r="G247" s="98">
        <v>0</v>
      </c>
    </row>
    <row r="248" spans="1:7" ht="15.5" x14ac:dyDescent="0.35">
      <c r="A248" s="224" t="s">
        <v>7</v>
      </c>
      <c r="B248" s="224" t="s">
        <v>50</v>
      </c>
      <c r="C248" s="224" t="s">
        <v>102</v>
      </c>
      <c r="D248" s="224" t="s">
        <v>257</v>
      </c>
      <c r="E248" s="224" t="str">
        <f>VLOOKUP($B248,'FRS geographical categories'!$A$2:$C$45,2,FALSE)</f>
        <v>Predominantly Urban</v>
      </c>
      <c r="F248" s="224" t="str">
        <f>VLOOKUP($B248,'FRS geographical categories'!$A$2:$C$45,3,FALSE)</f>
        <v>Metropolitan</v>
      </c>
      <c r="G248" s="98">
        <v>0</v>
      </c>
    </row>
    <row r="249" spans="1:7" ht="15.5" x14ac:dyDescent="0.35">
      <c r="A249" s="224" t="s">
        <v>7</v>
      </c>
      <c r="B249" s="224" t="s">
        <v>50</v>
      </c>
      <c r="C249" s="224" t="s">
        <v>105</v>
      </c>
      <c r="D249" s="224" t="s">
        <v>257</v>
      </c>
      <c r="E249" s="224" t="str">
        <f>VLOOKUP($B249,'FRS geographical categories'!$A$2:$C$45,2,FALSE)</f>
        <v>Predominantly Urban</v>
      </c>
      <c r="F249" s="224" t="str">
        <f>VLOOKUP($B249,'FRS geographical categories'!$A$2:$C$45,3,FALSE)</f>
        <v>Metropolitan</v>
      </c>
      <c r="G249" s="98">
        <v>0</v>
      </c>
    </row>
    <row r="250" spans="1:7" ht="15.5" x14ac:dyDescent="0.35">
      <c r="A250" s="224" t="s">
        <v>7</v>
      </c>
      <c r="B250" s="224" t="s">
        <v>50</v>
      </c>
      <c r="C250" s="224" t="s">
        <v>106</v>
      </c>
      <c r="D250" s="224" t="s">
        <v>257</v>
      </c>
      <c r="E250" s="224" t="str">
        <f>VLOOKUP($B250,'FRS geographical categories'!$A$2:$C$45,2,FALSE)</f>
        <v>Predominantly Urban</v>
      </c>
      <c r="F250" s="224" t="str">
        <f>VLOOKUP($B250,'FRS geographical categories'!$A$2:$C$45,3,FALSE)</f>
        <v>Metropolitan</v>
      </c>
      <c r="G250" s="98">
        <v>162148</v>
      </c>
    </row>
    <row r="251" spans="1:7" ht="15.5" x14ac:dyDescent="0.35">
      <c r="A251" s="224" t="s">
        <v>7</v>
      </c>
      <c r="B251" s="224" t="s">
        <v>50</v>
      </c>
      <c r="C251" s="224" t="s">
        <v>107</v>
      </c>
      <c r="D251" s="224" t="s">
        <v>257</v>
      </c>
      <c r="E251" s="224" t="str">
        <f>VLOOKUP($B251,'FRS geographical categories'!$A$2:$C$45,2,FALSE)</f>
        <v>Predominantly Urban</v>
      </c>
      <c r="F251" s="224" t="str">
        <f>VLOOKUP($B251,'FRS geographical categories'!$A$2:$C$45,3,FALSE)</f>
        <v>Metropolitan</v>
      </c>
      <c r="G251" s="98">
        <v>0</v>
      </c>
    </row>
    <row r="252" spans="1:7" ht="15.5" x14ac:dyDescent="0.35">
      <c r="A252" s="224" t="s">
        <v>7</v>
      </c>
      <c r="B252" s="224" t="s">
        <v>50</v>
      </c>
      <c r="C252" s="224" t="s">
        <v>108</v>
      </c>
      <c r="D252" s="224" t="s">
        <v>257</v>
      </c>
      <c r="E252" s="224" t="str">
        <f>VLOOKUP($B252,'FRS geographical categories'!$A$2:$C$45,2,FALSE)</f>
        <v>Predominantly Urban</v>
      </c>
      <c r="F252" s="224" t="str">
        <f>VLOOKUP($B252,'FRS geographical categories'!$A$2:$C$45,3,FALSE)</f>
        <v>Metropolitan</v>
      </c>
      <c r="G252" s="98">
        <v>0</v>
      </c>
    </row>
    <row r="253" spans="1:7" ht="15.5" x14ac:dyDescent="0.35">
      <c r="A253" s="224" t="s">
        <v>7</v>
      </c>
      <c r="B253" s="224" t="s">
        <v>50</v>
      </c>
      <c r="C253" s="224" t="s">
        <v>109</v>
      </c>
      <c r="D253" s="224" t="s">
        <v>257</v>
      </c>
      <c r="E253" s="224" t="str">
        <f>VLOOKUP($B253,'FRS geographical categories'!$A$2:$C$45,2,FALSE)</f>
        <v>Predominantly Urban</v>
      </c>
      <c r="F253" s="224" t="str">
        <f>VLOOKUP($B253,'FRS geographical categories'!$A$2:$C$45,3,FALSE)</f>
        <v>Metropolitan</v>
      </c>
      <c r="G253" s="98">
        <v>0</v>
      </c>
    </row>
    <row r="254" spans="1:7" ht="15.5" x14ac:dyDescent="0.35">
      <c r="A254" s="224" t="s">
        <v>7</v>
      </c>
      <c r="B254" s="224" t="s">
        <v>51</v>
      </c>
      <c r="C254" s="224" t="s">
        <v>102</v>
      </c>
      <c r="D254" s="224" t="s">
        <v>257</v>
      </c>
      <c r="E254" s="224" t="str">
        <f>VLOOKUP($B254,'FRS geographical categories'!$A$2:$C$45,2,FALSE)</f>
        <v>Significantly Rural</v>
      </c>
      <c r="F254" s="224" t="str">
        <f>VLOOKUP($B254,'FRS geographical categories'!$A$2:$C$45,3,FALSE)</f>
        <v>Non-metropolitan</v>
      </c>
      <c r="G254" s="98">
        <v>0</v>
      </c>
    </row>
    <row r="255" spans="1:7" ht="15.5" x14ac:dyDescent="0.35">
      <c r="A255" s="224" t="s">
        <v>7</v>
      </c>
      <c r="B255" s="224" t="s">
        <v>51</v>
      </c>
      <c r="C255" s="224" t="s">
        <v>105</v>
      </c>
      <c r="D255" s="224" t="s">
        <v>257</v>
      </c>
      <c r="E255" s="224" t="str">
        <f>VLOOKUP($B255,'FRS geographical categories'!$A$2:$C$45,2,FALSE)</f>
        <v>Significantly Rural</v>
      </c>
      <c r="F255" s="224" t="str">
        <f>VLOOKUP($B255,'FRS geographical categories'!$A$2:$C$45,3,FALSE)</f>
        <v>Non-metropolitan</v>
      </c>
      <c r="G255" s="98">
        <v>0</v>
      </c>
    </row>
    <row r="256" spans="1:7" ht="15.5" x14ac:dyDescent="0.35">
      <c r="A256" s="224" t="s">
        <v>7</v>
      </c>
      <c r="B256" s="224" t="s">
        <v>51</v>
      </c>
      <c r="C256" s="224" t="s">
        <v>106</v>
      </c>
      <c r="D256" s="224" t="s">
        <v>257</v>
      </c>
      <c r="E256" s="224" t="str">
        <f>VLOOKUP($B256,'FRS geographical categories'!$A$2:$C$45,2,FALSE)</f>
        <v>Significantly Rural</v>
      </c>
      <c r="F256" s="224" t="str">
        <f>VLOOKUP($B256,'FRS geographical categories'!$A$2:$C$45,3,FALSE)</f>
        <v>Non-metropolitan</v>
      </c>
      <c r="G256" s="98">
        <v>698</v>
      </c>
    </row>
    <row r="257" spans="1:7" ht="15.5" x14ac:dyDescent="0.35">
      <c r="A257" s="224" t="s">
        <v>7</v>
      </c>
      <c r="B257" s="224" t="s">
        <v>51</v>
      </c>
      <c r="C257" s="224" t="s">
        <v>107</v>
      </c>
      <c r="D257" s="224" t="s">
        <v>257</v>
      </c>
      <c r="E257" s="224" t="str">
        <f>VLOOKUP($B257,'FRS geographical categories'!$A$2:$C$45,2,FALSE)</f>
        <v>Significantly Rural</v>
      </c>
      <c r="F257" s="224" t="str">
        <f>VLOOKUP($B257,'FRS geographical categories'!$A$2:$C$45,3,FALSE)</f>
        <v>Non-metropolitan</v>
      </c>
      <c r="G257" s="98">
        <v>0</v>
      </c>
    </row>
    <row r="258" spans="1:7" ht="15.5" x14ac:dyDescent="0.35">
      <c r="A258" s="224" t="s">
        <v>7</v>
      </c>
      <c r="B258" s="224" t="s">
        <v>51</v>
      </c>
      <c r="C258" s="224" t="s">
        <v>108</v>
      </c>
      <c r="D258" s="224" t="s">
        <v>257</v>
      </c>
      <c r="E258" s="224" t="str">
        <f>VLOOKUP($B258,'FRS geographical categories'!$A$2:$C$45,2,FALSE)</f>
        <v>Significantly Rural</v>
      </c>
      <c r="F258" s="224" t="str">
        <f>VLOOKUP($B258,'FRS geographical categories'!$A$2:$C$45,3,FALSE)</f>
        <v>Non-metropolitan</v>
      </c>
      <c r="G258" s="98">
        <v>4959</v>
      </c>
    </row>
    <row r="259" spans="1:7" ht="15.5" x14ac:dyDescent="0.35">
      <c r="A259" s="224" t="s">
        <v>7</v>
      </c>
      <c r="B259" s="224" t="s">
        <v>51</v>
      </c>
      <c r="C259" s="224" t="s">
        <v>109</v>
      </c>
      <c r="D259" s="224" t="s">
        <v>257</v>
      </c>
      <c r="E259" s="224" t="str">
        <f>VLOOKUP($B259,'FRS geographical categories'!$A$2:$C$45,2,FALSE)</f>
        <v>Significantly Rural</v>
      </c>
      <c r="F259" s="224" t="str">
        <f>VLOOKUP($B259,'FRS geographical categories'!$A$2:$C$45,3,FALSE)</f>
        <v>Non-metropolitan</v>
      </c>
      <c r="G259" s="98">
        <v>0</v>
      </c>
    </row>
    <row r="260" spans="1:7" ht="15.5" x14ac:dyDescent="0.35">
      <c r="A260" s="224" t="s">
        <v>7</v>
      </c>
      <c r="B260" s="224" t="s">
        <v>52</v>
      </c>
      <c r="C260" s="224" t="s">
        <v>102</v>
      </c>
      <c r="D260" s="224" t="s">
        <v>257</v>
      </c>
      <c r="E260" s="224" t="str">
        <f>VLOOKUP($B260,'FRS geographical categories'!$A$2:$C$45,2,FALSE)</f>
        <v>Predominantly Urban</v>
      </c>
      <c r="F260" s="224" t="str">
        <f>VLOOKUP($B260,'FRS geographical categories'!$A$2:$C$45,3,FALSE)</f>
        <v>Metropolitan</v>
      </c>
      <c r="G260" s="98">
        <v>0</v>
      </c>
    </row>
    <row r="261" spans="1:7" ht="15.5" x14ac:dyDescent="0.35">
      <c r="A261" s="224" t="s">
        <v>7</v>
      </c>
      <c r="B261" s="224" t="s">
        <v>52</v>
      </c>
      <c r="C261" s="224" t="s">
        <v>105</v>
      </c>
      <c r="D261" s="224" t="s">
        <v>257</v>
      </c>
      <c r="E261" s="224" t="str">
        <f>VLOOKUP($B261,'FRS geographical categories'!$A$2:$C$45,2,FALSE)</f>
        <v>Predominantly Urban</v>
      </c>
      <c r="F261" s="224" t="str">
        <f>VLOOKUP($B261,'FRS geographical categories'!$A$2:$C$45,3,FALSE)</f>
        <v>Metropolitan</v>
      </c>
      <c r="G261" s="98">
        <v>0</v>
      </c>
    </row>
    <row r="262" spans="1:7" ht="15.5" x14ac:dyDescent="0.35">
      <c r="A262" s="224" t="s">
        <v>7</v>
      </c>
      <c r="B262" s="224" t="s">
        <v>52</v>
      </c>
      <c r="C262" s="224" t="s">
        <v>106</v>
      </c>
      <c r="D262" s="224" t="s">
        <v>257</v>
      </c>
      <c r="E262" s="224" t="str">
        <f>VLOOKUP($B262,'FRS geographical categories'!$A$2:$C$45,2,FALSE)</f>
        <v>Predominantly Urban</v>
      </c>
      <c r="F262" s="224" t="str">
        <f>VLOOKUP($B262,'FRS geographical categories'!$A$2:$C$45,3,FALSE)</f>
        <v>Metropolitan</v>
      </c>
      <c r="G262" s="98">
        <v>47816</v>
      </c>
    </row>
    <row r="263" spans="1:7" ht="15.5" x14ac:dyDescent="0.35">
      <c r="A263" s="224" t="s">
        <v>7</v>
      </c>
      <c r="B263" s="224" t="s">
        <v>52</v>
      </c>
      <c r="C263" s="224" t="s">
        <v>107</v>
      </c>
      <c r="D263" s="224" t="s">
        <v>257</v>
      </c>
      <c r="E263" s="224" t="str">
        <f>VLOOKUP($B263,'FRS geographical categories'!$A$2:$C$45,2,FALSE)</f>
        <v>Predominantly Urban</v>
      </c>
      <c r="F263" s="224" t="str">
        <f>VLOOKUP($B263,'FRS geographical categories'!$A$2:$C$45,3,FALSE)</f>
        <v>Metropolitan</v>
      </c>
      <c r="G263" s="98">
        <v>0</v>
      </c>
    </row>
    <row r="264" spans="1:7" ht="15.5" x14ac:dyDescent="0.35">
      <c r="A264" s="224" t="s">
        <v>7</v>
      </c>
      <c r="B264" s="224" t="s">
        <v>52</v>
      </c>
      <c r="C264" s="224" t="s">
        <v>108</v>
      </c>
      <c r="D264" s="224" t="s">
        <v>257</v>
      </c>
      <c r="E264" s="224" t="str">
        <f>VLOOKUP($B264,'FRS geographical categories'!$A$2:$C$45,2,FALSE)</f>
        <v>Predominantly Urban</v>
      </c>
      <c r="F264" s="224" t="str">
        <f>VLOOKUP($B264,'FRS geographical categories'!$A$2:$C$45,3,FALSE)</f>
        <v>Metropolitan</v>
      </c>
      <c r="G264" s="98">
        <v>4396</v>
      </c>
    </row>
    <row r="265" spans="1:7" ht="15.5" x14ac:dyDescent="0.35">
      <c r="A265" s="224" t="s">
        <v>7</v>
      </c>
      <c r="B265" s="224" t="s">
        <v>52</v>
      </c>
      <c r="C265" s="224" t="s">
        <v>109</v>
      </c>
      <c r="D265" s="224" t="s">
        <v>257</v>
      </c>
      <c r="E265" s="224" t="str">
        <f>VLOOKUP($B265,'FRS geographical categories'!$A$2:$C$45,2,FALSE)</f>
        <v>Predominantly Urban</v>
      </c>
      <c r="F265" s="224" t="str">
        <f>VLOOKUP($B265,'FRS geographical categories'!$A$2:$C$45,3,FALSE)</f>
        <v>Metropolitan</v>
      </c>
      <c r="G265" s="98">
        <v>0</v>
      </c>
    </row>
    <row r="266" spans="1:7" ht="15.5" x14ac:dyDescent="0.35">
      <c r="A266" s="224" t="s">
        <v>53</v>
      </c>
      <c r="B266" s="224" t="s">
        <v>8</v>
      </c>
      <c r="C266" s="224" t="s">
        <v>102</v>
      </c>
      <c r="D266" s="224" t="s">
        <v>257</v>
      </c>
      <c r="E266" s="224" t="str">
        <f>VLOOKUP($B266,'FRS geographical categories'!$A$2:$C$45,2,FALSE)</f>
        <v>Predominantly Urban</v>
      </c>
      <c r="F266" s="224" t="str">
        <f>VLOOKUP($B266,'FRS geographical categories'!$A$2:$C$45,3,FALSE)</f>
        <v>Non-metropolitan</v>
      </c>
      <c r="G266" s="98">
        <v>0</v>
      </c>
    </row>
    <row r="267" spans="1:7" ht="15.5" x14ac:dyDescent="0.35">
      <c r="A267" s="224" t="s">
        <v>53</v>
      </c>
      <c r="B267" s="224" t="s">
        <v>8</v>
      </c>
      <c r="C267" s="224" t="s">
        <v>105</v>
      </c>
      <c r="D267" s="224" t="s">
        <v>257</v>
      </c>
      <c r="E267" s="224" t="str">
        <f>VLOOKUP($B267,'FRS geographical categories'!$A$2:$C$45,2,FALSE)</f>
        <v>Predominantly Urban</v>
      </c>
      <c r="F267" s="224" t="str">
        <f>VLOOKUP($B267,'FRS geographical categories'!$A$2:$C$45,3,FALSE)</f>
        <v>Non-metropolitan</v>
      </c>
      <c r="G267" s="98">
        <v>0</v>
      </c>
    </row>
    <row r="268" spans="1:7" ht="15.5" x14ac:dyDescent="0.35">
      <c r="A268" s="224" t="s">
        <v>53</v>
      </c>
      <c r="B268" s="224" t="s">
        <v>8</v>
      </c>
      <c r="C268" s="224" t="s">
        <v>106</v>
      </c>
      <c r="D268" s="224" t="s">
        <v>257</v>
      </c>
      <c r="E268" s="224" t="str">
        <f>VLOOKUP($B268,'FRS geographical categories'!$A$2:$C$45,2,FALSE)</f>
        <v>Predominantly Urban</v>
      </c>
      <c r="F268" s="224" t="str">
        <f>VLOOKUP($B268,'FRS geographical categories'!$A$2:$C$45,3,FALSE)</f>
        <v>Non-metropolitan</v>
      </c>
      <c r="G268" s="98">
        <v>2522</v>
      </c>
    </row>
    <row r="269" spans="1:7" ht="15.5" x14ac:dyDescent="0.35">
      <c r="A269" s="224" t="s">
        <v>53</v>
      </c>
      <c r="B269" s="224" t="s">
        <v>8</v>
      </c>
      <c r="C269" s="224" t="s">
        <v>107</v>
      </c>
      <c r="D269" s="224" t="s">
        <v>257</v>
      </c>
      <c r="E269" s="224" t="str">
        <f>VLOOKUP($B269,'FRS geographical categories'!$A$2:$C$45,2,FALSE)</f>
        <v>Predominantly Urban</v>
      </c>
      <c r="F269" s="224" t="str">
        <f>VLOOKUP($B269,'FRS geographical categories'!$A$2:$C$45,3,FALSE)</f>
        <v>Non-metropolitan</v>
      </c>
      <c r="G269" s="98">
        <v>0</v>
      </c>
    </row>
    <row r="270" spans="1:7" ht="15.5" x14ac:dyDescent="0.35">
      <c r="A270" s="224" t="s">
        <v>53</v>
      </c>
      <c r="B270" s="224" t="s">
        <v>8</v>
      </c>
      <c r="C270" s="224" t="s">
        <v>108</v>
      </c>
      <c r="D270" s="224" t="s">
        <v>257</v>
      </c>
      <c r="E270" s="224" t="str">
        <f>VLOOKUP($B270,'FRS geographical categories'!$A$2:$C$45,2,FALSE)</f>
        <v>Predominantly Urban</v>
      </c>
      <c r="F270" s="224" t="str">
        <f>VLOOKUP($B270,'FRS geographical categories'!$A$2:$C$45,3,FALSE)</f>
        <v>Non-metropolitan</v>
      </c>
      <c r="G270" s="98">
        <v>726</v>
      </c>
    </row>
    <row r="271" spans="1:7" ht="15.5" x14ac:dyDescent="0.35">
      <c r="A271" s="224" t="s">
        <v>53</v>
      </c>
      <c r="B271" s="224" t="s">
        <v>8</v>
      </c>
      <c r="C271" s="224" t="s">
        <v>109</v>
      </c>
      <c r="D271" s="224" t="s">
        <v>257</v>
      </c>
      <c r="E271" s="224" t="str">
        <f>VLOOKUP($B271,'FRS geographical categories'!$A$2:$C$45,2,FALSE)</f>
        <v>Predominantly Urban</v>
      </c>
      <c r="F271" s="224" t="str">
        <f>VLOOKUP($B271,'FRS geographical categories'!$A$2:$C$45,3,FALSE)</f>
        <v>Non-metropolitan</v>
      </c>
      <c r="G271" s="98">
        <v>0</v>
      </c>
    </row>
    <row r="272" spans="1:7" ht="15.5" x14ac:dyDescent="0.35">
      <c r="A272" s="224" t="s">
        <v>53</v>
      </c>
      <c r="B272" s="224" t="s">
        <v>11</v>
      </c>
      <c r="C272" s="224" t="s">
        <v>102</v>
      </c>
      <c r="D272" s="224" t="s">
        <v>257</v>
      </c>
      <c r="E272" s="224" t="str">
        <f>VLOOKUP($B272,'FRS geographical categories'!$A$2:$C$45,2,FALSE)</f>
        <v>Significantly Rural</v>
      </c>
      <c r="F272" s="224" t="str">
        <f>VLOOKUP($B272,'FRS geographical categories'!$A$2:$C$45,3,FALSE)</f>
        <v>Non-metropolitan</v>
      </c>
      <c r="G272" s="98">
        <v>0</v>
      </c>
    </row>
    <row r="273" spans="1:7" ht="15.5" x14ac:dyDescent="0.35">
      <c r="A273" s="224" t="s">
        <v>53</v>
      </c>
      <c r="B273" s="224" t="s">
        <v>11</v>
      </c>
      <c r="C273" s="224" t="s">
        <v>105</v>
      </c>
      <c r="D273" s="224" t="s">
        <v>257</v>
      </c>
      <c r="E273" s="224" t="str">
        <f>VLOOKUP($B273,'FRS geographical categories'!$A$2:$C$45,2,FALSE)</f>
        <v>Significantly Rural</v>
      </c>
      <c r="F273" s="224" t="str">
        <f>VLOOKUP($B273,'FRS geographical categories'!$A$2:$C$45,3,FALSE)</f>
        <v>Non-metropolitan</v>
      </c>
      <c r="G273" s="98">
        <v>0</v>
      </c>
    </row>
    <row r="274" spans="1:7" ht="15.5" x14ac:dyDescent="0.35">
      <c r="A274" s="224" t="s">
        <v>53</v>
      </c>
      <c r="B274" s="224" t="s">
        <v>11</v>
      </c>
      <c r="C274" s="224" t="s">
        <v>106</v>
      </c>
      <c r="D274" s="224" t="s">
        <v>257</v>
      </c>
      <c r="E274" s="224" t="str">
        <f>VLOOKUP($B274,'FRS geographical categories'!$A$2:$C$45,2,FALSE)</f>
        <v>Significantly Rural</v>
      </c>
      <c r="F274" s="224" t="str">
        <f>VLOOKUP($B274,'FRS geographical categories'!$A$2:$C$45,3,FALSE)</f>
        <v>Non-metropolitan</v>
      </c>
      <c r="G274" s="98">
        <v>10723</v>
      </c>
    </row>
    <row r="275" spans="1:7" ht="15.5" x14ac:dyDescent="0.35">
      <c r="A275" s="224" t="s">
        <v>53</v>
      </c>
      <c r="B275" s="224" t="s">
        <v>11</v>
      </c>
      <c r="C275" s="224" t="s">
        <v>107</v>
      </c>
      <c r="D275" s="224" t="s">
        <v>257</v>
      </c>
      <c r="E275" s="224" t="str">
        <f>VLOOKUP($B275,'FRS geographical categories'!$A$2:$C$45,2,FALSE)</f>
        <v>Significantly Rural</v>
      </c>
      <c r="F275" s="224" t="str">
        <f>VLOOKUP($B275,'FRS geographical categories'!$A$2:$C$45,3,FALSE)</f>
        <v>Non-metropolitan</v>
      </c>
      <c r="G275" s="98">
        <v>0</v>
      </c>
    </row>
    <row r="276" spans="1:7" ht="15.5" x14ac:dyDescent="0.35">
      <c r="A276" s="224" t="s">
        <v>53</v>
      </c>
      <c r="B276" s="224" t="s">
        <v>11</v>
      </c>
      <c r="C276" s="224" t="s">
        <v>108</v>
      </c>
      <c r="D276" s="224" t="s">
        <v>257</v>
      </c>
      <c r="E276" s="224" t="str">
        <f>VLOOKUP($B276,'FRS geographical categories'!$A$2:$C$45,2,FALSE)</f>
        <v>Significantly Rural</v>
      </c>
      <c r="F276" s="224" t="str">
        <f>VLOOKUP($B276,'FRS geographical categories'!$A$2:$C$45,3,FALSE)</f>
        <v>Non-metropolitan</v>
      </c>
      <c r="G276" s="98">
        <v>1526</v>
      </c>
    </row>
    <row r="277" spans="1:7" ht="15.5" x14ac:dyDescent="0.35">
      <c r="A277" s="224" t="s">
        <v>53</v>
      </c>
      <c r="B277" s="224" t="s">
        <v>11</v>
      </c>
      <c r="C277" s="224" t="s">
        <v>109</v>
      </c>
      <c r="D277" s="224" t="s">
        <v>257</v>
      </c>
      <c r="E277" s="224" t="str">
        <f>VLOOKUP($B277,'FRS geographical categories'!$A$2:$C$45,2,FALSE)</f>
        <v>Significantly Rural</v>
      </c>
      <c r="F277" s="224" t="str">
        <f>VLOOKUP($B277,'FRS geographical categories'!$A$2:$C$45,3,FALSE)</f>
        <v>Non-metropolitan</v>
      </c>
      <c r="G277" s="98">
        <v>105</v>
      </c>
    </row>
    <row r="278" spans="1:7" ht="15.5" x14ac:dyDescent="0.35">
      <c r="A278" s="224" t="s">
        <v>53</v>
      </c>
      <c r="B278" s="224" t="s">
        <v>12</v>
      </c>
      <c r="C278" s="224" t="s">
        <v>102</v>
      </c>
      <c r="D278" s="224" t="s">
        <v>257</v>
      </c>
      <c r="E278" s="224" t="str">
        <f>VLOOKUP($B278,'FRS geographical categories'!$A$2:$C$45,2,FALSE)</f>
        <v>Predominantly Urban</v>
      </c>
      <c r="F278" s="224" t="str">
        <f>VLOOKUP($B278,'FRS geographical categories'!$A$2:$C$45,3,FALSE)</f>
        <v>Non-metropolitan</v>
      </c>
      <c r="G278" s="98">
        <v>0</v>
      </c>
    </row>
    <row r="279" spans="1:7" ht="15.5" x14ac:dyDescent="0.35">
      <c r="A279" s="224" t="s">
        <v>53</v>
      </c>
      <c r="B279" s="224" t="s">
        <v>12</v>
      </c>
      <c r="C279" s="224" t="s">
        <v>105</v>
      </c>
      <c r="D279" s="224" t="s">
        <v>257</v>
      </c>
      <c r="E279" s="224" t="str">
        <f>VLOOKUP($B279,'FRS geographical categories'!$A$2:$C$45,2,FALSE)</f>
        <v>Predominantly Urban</v>
      </c>
      <c r="F279" s="224" t="str">
        <f>VLOOKUP($B279,'FRS geographical categories'!$A$2:$C$45,3,FALSE)</f>
        <v>Non-metropolitan</v>
      </c>
      <c r="G279" s="98">
        <v>0</v>
      </c>
    </row>
    <row r="280" spans="1:7" ht="15.5" x14ac:dyDescent="0.35">
      <c r="A280" s="224" t="s">
        <v>53</v>
      </c>
      <c r="B280" s="224" t="s">
        <v>12</v>
      </c>
      <c r="C280" s="224" t="s">
        <v>106</v>
      </c>
      <c r="D280" s="224" t="s">
        <v>257</v>
      </c>
      <c r="E280" s="224" t="str">
        <f>VLOOKUP($B280,'FRS geographical categories'!$A$2:$C$45,2,FALSE)</f>
        <v>Predominantly Urban</v>
      </c>
      <c r="F280" s="224" t="str">
        <f>VLOOKUP($B280,'FRS geographical categories'!$A$2:$C$45,3,FALSE)</f>
        <v>Non-metropolitan</v>
      </c>
      <c r="G280" s="98">
        <v>18399</v>
      </c>
    </row>
    <row r="281" spans="1:7" ht="15.5" x14ac:dyDescent="0.35">
      <c r="A281" s="224" t="s">
        <v>53</v>
      </c>
      <c r="B281" s="224" t="s">
        <v>12</v>
      </c>
      <c r="C281" s="224" t="s">
        <v>107</v>
      </c>
      <c r="D281" s="224" t="s">
        <v>257</v>
      </c>
      <c r="E281" s="224" t="str">
        <f>VLOOKUP($B281,'FRS geographical categories'!$A$2:$C$45,2,FALSE)</f>
        <v>Predominantly Urban</v>
      </c>
      <c r="F281" s="224" t="str">
        <f>VLOOKUP($B281,'FRS geographical categories'!$A$2:$C$45,3,FALSE)</f>
        <v>Non-metropolitan</v>
      </c>
      <c r="G281" s="98">
        <v>135</v>
      </c>
    </row>
    <row r="282" spans="1:7" ht="15.5" x14ac:dyDescent="0.35">
      <c r="A282" s="224" t="s">
        <v>53</v>
      </c>
      <c r="B282" s="224" t="s">
        <v>12</v>
      </c>
      <c r="C282" s="224" t="s">
        <v>108</v>
      </c>
      <c r="D282" s="224" t="s">
        <v>257</v>
      </c>
      <c r="E282" s="224" t="str">
        <f>VLOOKUP($B282,'FRS geographical categories'!$A$2:$C$45,2,FALSE)</f>
        <v>Predominantly Urban</v>
      </c>
      <c r="F282" s="224" t="str">
        <f>VLOOKUP($B282,'FRS geographical categories'!$A$2:$C$45,3,FALSE)</f>
        <v>Non-metropolitan</v>
      </c>
      <c r="G282" s="98">
        <v>1553</v>
      </c>
    </row>
    <row r="283" spans="1:7" ht="15.5" x14ac:dyDescent="0.35">
      <c r="A283" s="224" t="s">
        <v>53</v>
      </c>
      <c r="B283" s="224" t="s">
        <v>12</v>
      </c>
      <c r="C283" s="224" t="s">
        <v>109</v>
      </c>
      <c r="D283" s="224" t="s">
        <v>257</v>
      </c>
      <c r="E283" s="224" t="str">
        <f>VLOOKUP($B283,'FRS geographical categories'!$A$2:$C$45,2,FALSE)</f>
        <v>Predominantly Urban</v>
      </c>
      <c r="F283" s="224" t="str">
        <f>VLOOKUP($B283,'FRS geographical categories'!$A$2:$C$45,3,FALSE)</f>
        <v>Non-metropolitan</v>
      </c>
      <c r="G283" s="98">
        <v>0</v>
      </c>
    </row>
    <row r="284" spans="1:7" ht="15.5" x14ac:dyDescent="0.35">
      <c r="A284" s="224" t="s">
        <v>53</v>
      </c>
      <c r="B284" s="224" t="s">
        <v>13</v>
      </c>
      <c r="C284" s="224" t="s">
        <v>102</v>
      </c>
      <c r="D284" s="224" t="s">
        <v>257</v>
      </c>
      <c r="E284" s="224" t="str">
        <f>VLOOKUP($B284,'FRS geographical categories'!$A$2:$C$45,2,FALSE)</f>
        <v>Significantly Rural</v>
      </c>
      <c r="F284" s="224" t="str">
        <f>VLOOKUP($B284,'FRS geographical categories'!$A$2:$C$45,3,FALSE)</f>
        <v>Non-metropolitan</v>
      </c>
      <c r="G284" s="98">
        <v>336</v>
      </c>
    </row>
    <row r="285" spans="1:7" ht="15.5" x14ac:dyDescent="0.35">
      <c r="A285" s="224" t="s">
        <v>53</v>
      </c>
      <c r="B285" s="224" t="s">
        <v>13</v>
      </c>
      <c r="C285" s="224" t="s">
        <v>105</v>
      </c>
      <c r="D285" s="224" t="s">
        <v>257</v>
      </c>
      <c r="E285" s="224" t="str">
        <f>VLOOKUP($B285,'FRS geographical categories'!$A$2:$C$45,2,FALSE)</f>
        <v>Significantly Rural</v>
      </c>
      <c r="F285" s="224" t="str">
        <f>VLOOKUP($B285,'FRS geographical categories'!$A$2:$C$45,3,FALSE)</f>
        <v>Non-metropolitan</v>
      </c>
      <c r="G285" s="98">
        <v>0</v>
      </c>
    </row>
    <row r="286" spans="1:7" ht="15.5" x14ac:dyDescent="0.35">
      <c r="A286" s="224" t="s">
        <v>53</v>
      </c>
      <c r="B286" s="224" t="s">
        <v>13</v>
      </c>
      <c r="C286" s="224" t="s">
        <v>106</v>
      </c>
      <c r="D286" s="224" t="s">
        <v>257</v>
      </c>
      <c r="E286" s="224" t="str">
        <f>VLOOKUP($B286,'FRS geographical categories'!$A$2:$C$45,2,FALSE)</f>
        <v>Significantly Rural</v>
      </c>
      <c r="F286" s="224" t="str">
        <f>VLOOKUP($B286,'FRS geographical categories'!$A$2:$C$45,3,FALSE)</f>
        <v>Non-metropolitan</v>
      </c>
      <c r="G286" s="98">
        <v>3287</v>
      </c>
    </row>
    <row r="287" spans="1:7" ht="15.5" x14ac:dyDescent="0.35">
      <c r="A287" s="224" t="s">
        <v>53</v>
      </c>
      <c r="B287" s="224" t="s">
        <v>13</v>
      </c>
      <c r="C287" s="224" t="s">
        <v>107</v>
      </c>
      <c r="D287" s="224" t="s">
        <v>257</v>
      </c>
      <c r="E287" s="224" t="str">
        <f>VLOOKUP($B287,'FRS geographical categories'!$A$2:$C$45,2,FALSE)</f>
        <v>Significantly Rural</v>
      </c>
      <c r="F287" s="224" t="str">
        <f>VLOOKUP($B287,'FRS geographical categories'!$A$2:$C$45,3,FALSE)</f>
        <v>Non-metropolitan</v>
      </c>
      <c r="G287" s="98">
        <v>0</v>
      </c>
    </row>
    <row r="288" spans="1:7" ht="15.5" x14ac:dyDescent="0.35">
      <c r="A288" s="224" t="s">
        <v>53</v>
      </c>
      <c r="B288" s="224" t="s">
        <v>13</v>
      </c>
      <c r="C288" s="224" t="s">
        <v>108</v>
      </c>
      <c r="D288" s="224" t="s">
        <v>257</v>
      </c>
      <c r="E288" s="224" t="str">
        <f>VLOOKUP($B288,'FRS geographical categories'!$A$2:$C$45,2,FALSE)</f>
        <v>Significantly Rural</v>
      </c>
      <c r="F288" s="224" t="str">
        <f>VLOOKUP($B288,'FRS geographical categories'!$A$2:$C$45,3,FALSE)</f>
        <v>Non-metropolitan</v>
      </c>
      <c r="G288" s="98">
        <v>0</v>
      </c>
    </row>
    <row r="289" spans="1:7" ht="15.5" x14ac:dyDescent="0.35">
      <c r="A289" s="224" t="s">
        <v>53</v>
      </c>
      <c r="B289" s="224" t="s">
        <v>13</v>
      </c>
      <c r="C289" s="224" t="s">
        <v>109</v>
      </c>
      <c r="D289" s="224" t="s">
        <v>257</v>
      </c>
      <c r="E289" s="224" t="str">
        <f>VLOOKUP($B289,'FRS geographical categories'!$A$2:$C$45,2,FALSE)</f>
        <v>Significantly Rural</v>
      </c>
      <c r="F289" s="224" t="str">
        <f>VLOOKUP($B289,'FRS geographical categories'!$A$2:$C$45,3,FALSE)</f>
        <v>Non-metropolitan</v>
      </c>
      <c r="G289" s="98">
        <v>2</v>
      </c>
    </row>
    <row r="290" spans="1:7" ht="15.5" x14ac:dyDescent="0.35">
      <c r="A290" s="224" t="s">
        <v>53</v>
      </c>
      <c r="B290" s="224" t="s">
        <v>14</v>
      </c>
      <c r="C290" s="224" t="s">
        <v>102</v>
      </c>
      <c r="D290" s="224" t="s">
        <v>257</v>
      </c>
      <c r="E290" s="224" t="str">
        <f>VLOOKUP($B290,'FRS geographical categories'!$A$2:$C$45,2,FALSE)</f>
        <v>Predominantly Rural</v>
      </c>
      <c r="F290" s="224" t="str">
        <f>VLOOKUP($B290,'FRS geographical categories'!$A$2:$C$45,3,FALSE)</f>
        <v>Non-metropolitan</v>
      </c>
      <c r="G290" s="98">
        <v>0</v>
      </c>
    </row>
    <row r="291" spans="1:7" ht="15.5" x14ac:dyDescent="0.35">
      <c r="A291" s="224" t="s">
        <v>53</v>
      </c>
      <c r="B291" s="224" t="s">
        <v>14</v>
      </c>
      <c r="C291" s="224" t="s">
        <v>105</v>
      </c>
      <c r="D291" s="224" t="s">
        <v>257</v>
      </c>
      <c r="E291" s="224" t="str">
        <f>VLOOKUP($B291,'FRS geographical categories'!$A$2:$C$45,2,FALSE)</f>
        <v>Predominantly Rural</v>
      </c>
      <c r="F291" s="224" t="str">
        <f>VLOOKUP($B291,'FRS geographical categories'!$A$2:$C$45,3,FALSE)</f>
        <v>Non-metropolitan</v>
      </c>
      <c r="G291" s="98">
        <v>0</v>
      </c>
    </row>
    <row r="292" spans="1:7" ht="15.5" x14ac:dyDescent="0.35">
      <c r="A292" s="224" t="s">
        <v>53</v>
      </c>
      <c r="B292" s="224" t="s">
        <v>14</v>
      </c>
      <c r="C292" s="224" t="s">
        <v>106</v>
      </c>
      <c r="D292" s="224" t="s">
        <v>257</v>
      </c>
      <c r="E292" s="224" t="str">
        <f>VLOOKUP($B292,'FRS geographical categories'!$A$2:$C$45,2,FALSE)</f>
        <v>Predominantly Rural</v>
      </c>
      <c r="F292" s="224" t="str">
        <f>VLOOKUP($B292,'FRS geographical categories'!$A$2:$C$45,3,FALSE)</f>
        <v>Non-metropolitan</v>
      </c>
      <c r="G292" s="98">
        <v>3165</v>
      </c>
    </row>
    <row r="293" spans="1:7" ht="15.5" x14ac:dyDescent="0.35">
      <c r="A293" s="224" t="s">
        <v>53</v>
      </c>
      <c r="B293" s="224" t="s">
        <v>14</v>
      </c>
      <c r="C293" s="224" t="s">
        <v>107</v>
      </c>
      <c r="D293" s="224" t="s">
        <v>257</v>
      </c>
      <c r="E293" s="224" t="str">
        <f>VLOOKUP($B293,'FRS geographical categories'!$A$2:$C$45,2,FALSE)</f>
        <v>Predominantly Rural</v>
      </c>
      <c r="F293" s="224" t="str">
        <f>VLOOKUP($B293,'FRS geographical categories'!$A$2:$C$45,3,FALSE)</f>
        <v>Non-metropolitan</v>
      </c>
      <c r="G293" s="98">
        <v>0</v>
      </c>
    </row>
    <row r="294" spans="1:7" ht="15.5" x14ac:dyDescent="0.35">
      <c r="A294" s="224" t="s">
        <v>53</v>
      </c>
      <c r="B294" s="224" t="s">
        <v>14</v>
      </c>
      <c r="C294" s="224" t="s">
        <v>108</v>
      </c>
      <c r="D294" s="224" t="s">
        <v>257</v>
      </c>
      <c r="E294" s="224" t="str">
        <f>VLOOKUP($B294,'FRS geographical categories'!$A$2:$C$45,2,FALSE)</f>
        <v>Predominantly Rural</v>
      </c>
      <c r="F294" s="224" t="str">
        <f>VLOOKUP($B294,'FRS geographical categories'!$A$2:$C$45,3,FALSE)</f>
        <v>Non-metropolitan</v>
      </c>
      <c r="G294" s="98">
        <v>2379</v>
      </c>
    </row>
    <row r="295" spans="1:7" ht="15.5" x14ac:dyDescent="0.35">
      <c r="A295" s="224" t="s">
        <v>53</v>
      </c>
      <c r="B295" s="224" t="s">
        <v>14</v>
      </c>
      <c r="C295" s="224" t="s">
        <v>109</v>
      </c>
      <c r="D295" s="224" t="s">
        <v>257</v>
      </c>
      <c r="E295" s="224" t="str">
        <f>VLOOKUP($B295,'FRS geographical categories'!$A$2:$C$45,2,FALSE)</f>
        <v>Predominantly Rural</v>
      </c>
      <c r="F295" s="224" t="str">
        <f>VLOOKUP($B295,'FRS geographical categories'!$A$2:$C$45,3,FALSE)</f>
        <v>Non-metropolitan</v>
      </c>
      <c r="G295" s="98">
        <v>840</v>
      </c>
    </row>
    <row r="296" spans="1:7" ht="15.5" x14ac:dyDescent="0.35">
      <c r="A296" s="224" t="s">
        <v>53</v>
      </c>
      <c r="B296" s="224" t="s">
        <v>15</v>
      </c>
      <c r="C296" s="224" t="s">
        <v>102</v>
      </c>
      <c r="D296" s="224" t="s">
        <v>257</v>
      </c>
      <c r="E296" s="224" t="str">
        <f>VLOOKUP($B296,'FRS geographical categories'!$A$2:$C$45,2,FALSE)</f>
        <v>Significantly Rural</v>
      </c>
      <c r="F296" s="224" t="str">
        <f>VLOOKUP($B296,'FRS geographical categories'!$A$2:$C$45,3,FALSE)</f>
        <v>Non-metropolitan</v>
      </c>
      <c r="G296" s="98">
        <v>16774</v>
      </c>
    </row>
    <row r="297" spans="1:7" ht="15.5" x14ac:dyDescent="0.35">
      <c r="A297" s="224" t="s">
        <v>53</v>
      </c>
      <c r="B297" s="224" t="s">
        <v>15</v>
      </c>
      <c r="C297" s="224" t="s">
        <v>105</v>
      </c>
      <c r="D297" s="224" t="s">
        <v>257</v>
      </c>
      <c r="E297" s="224" t="str">
        <f>VLOOKUP($B297,'FRS geographical categories'!$A$2:$C$45,2,FALSE)</f>
        <v>Significantly Rural</v>
      </c>
      <c r="F297" s="224" t="str">
        <f>VLOOKUP($B297,'FRS geographical categories'!$A$2:$C$45,3,FALSE)</f>
        <v>Non-metropolitan</v>
      </c>
      <c r="G297" s="98">
        <v>0</v>
      </c>
    </row>
    <row r="298" spans="1:7" ht="15.5" x14ac:dyDescent="0.35">
      <c r="A298" s="224" t="s">
        <v>53</v>
      </c>
      <c r="B298" s="224" t="s">
        <v>15</v>
      </c>
      <c r="C298" s="224" t="s">
        <v>106</v>
      </c>
      <c r="D298" s="224" t="s">
        <v>257</v>
      </c>
      <c r="E298" s="224" t="str">
        <f>VLOOKUP($B298,'FRS geographical categories'!$A$2:$C$45,2,FALSE)</f>
        <v>Significantly Rural</v>
      </c>
      <c r="F298" s="224" t="str">
        <f>VLOOKUP($B298,'FRS geographical categories'!$A$2:$C$45,3,FALSE)</f>
        <v>Non-metropolitan</v>
      </c>
      <c r="G298" s="98">
        <v>19904</v>
      </c>
    </row>
    <row r="299" spans="1:7" ht="15.5" x14ac:dyDescent="0.35">
      <c r="A299" s="224" t="s">
        <v>53</v>
      </c>
      <c r="B299" s="224" t="s">
        <v>15</v>
      </c>
      <c r="C299" s="224" t="s">
        <v>107</v>
      </c>
      <c r="D299" s="224" t="s">
        <v>257</v>
      </c>
      <c r="E299" s="224" t="str">
        <f>VLOOKUP($B299,'FRS geographical categories'!$A$2:$C$45,2,FALSE)</f>
        <v>Significantly Rural</v>
      </c>
      <c r="F299" s="224" t="str">
        <f>VLOOKUP($B299,'FRS geographical categories'!$A$2:$C$45,3,FALSE)</f>
        <v>Non-metropolitan</v>
      </c>
      <c r="G299" s="98">
        <v>0</v>
      </c>
    </row>
    <row r="300" spans="1:7" ht="15.5" x14ac:dyDescent="0.35">
      <c r="A300" s="224" t="s">
        <v>53</v>
      </c>
      <c r="B300" s="224" t="s">
        <v>15</v>
      </c>
      <c r="C300" s="224" t="s">
        <v>108</v>
      </c>
      <c r="D300" s="224" t="s">
        <v>257</v>
      </c>
      <c r="E300" s="224" t="str">
        <f>VLOOKUP($B300,'FRS geographical categories'!$A$2:$C$45,2,FALSE)</f>
        <v>Significantly Rural</v>
      </c>
      <c r="F300" s="224" t="str">
        <f>VLOOKUP($B300,'FRS geographical categories'!$A$2:$C$45,3,FALSE)</f>
        <v>Non-metropolitan</v>
      </c>
      <c r="G300" s="98">
        <v>0</v>
      </c>
    </row>
    <row r="301" spans="1:7" ht="15.5" x14ac:dyDescent="0.35">
      <c r="A301" s="224" t="s">
        <v>53</v>
      </c>
      <c r="B301" s="224" t="s">
        <v>15</v>
      </c>
      <c r="C301" s="224" t="s">
        <v>109</v>
      </c>
      <c r="D301" s="224" t="s">
        <v>257</v>
      </c>
      <c r="E301" s="224" t="str">
        <f>VLOOKUP($B301,'FRS geographical categories'!$A$2:$C$45,2,FALSE)</f>
        <v>Significantly Rural</v>
      </c>
      <c r="F301" s="224" t="str">
        <f>VLOOKUP($B301,'FRS geographical categories'!$A$2:$C$45,3,FALSE)</f>
        <v>Non-metropolitan</v>
      </c>
      <c r="G301" s="98">
        <v>0</v>
      </c>
    </row>
    <row r="302" spans="1:7" ht="15.5" x14ac:dyDescent="0.35">
      <c r="A302" s="224" t="s">
        <v>53</v>
      </c>
      <c r="B302" s="224" t="s">
        <v>16</v>
      </c>
      <c r="C302" s="224" t="s">
        <v>102</v>
      </c>
      <c r="D302" s="224" t="s">
        <v>257</v>
      </c>
      <c r="E302" s="224" t="str">
        <f>VLOOKUP($B302,'FRS geographical categories'!$A$2:$C$45,2,FALSE)</f>
        <v>Predominantly Urban</v>
      </c>
      <c r="F302" s="224" t="str">
        <f>VLOOKUP($B302,'FRS geographical categories'!$A$2:$C$45,3,FALSE)</f>
        <v>Non-metropolitan</v>
      </c>
      <c r="G302" s="98">
        <v>2266</v>
      </c>
    </row>
    <row r="303" spans="1:7" ht="15.5" x14ac:dyDescent="0.35">
      <c r="A303" s="224" t="s">
        <v>53</v>
      </c>
      <c r="B303" s="224" t="s">
        <v>16</v>
      </c>
      <c r="C303" s="224" t="s">
        <v>105</v>
      </c>
      <c r="D303" s="224" t="s">
        <v>257</v>
      </c>
      <c r="E303" s="224" t="str">
        <f>VLOOKUP($B303,'FRS geographical categories'!$A$2:$C$45,2,FALSE)</f>
        <v>Predominantly Urban</v>
      </c>
      <c r="F303" s="224" t="str">
        <f>VLOOKUP($B303,'FRS geographical categories'!$A$2:$C$45,3,FALSE)</f>
        <v>Non-metropolitan</v>
      </c>
      <c r="G303" s="98">
        <v>0</v>
      </c>
    </row>
    <row r="304" spans="1:7" ht="15.5" x14ac:dyDescent="0.35">
      <c r="A304" s="224" t="s">
        <v>53</v>
      </c>
      <c r="B304" s="224" t="s">
        <v>16</v>
      </c>
      <c r="C304" s="224" t="s">
        <v>106</v>
      </c>
      <c r="D304" s="224" t="s">
        <v>257</v>
      </c>
      <c r="E304" s="224" t="str">
        <f>VLOOKUP($B304,'FRS geographical categories'!$A$2:$C$45,2,FALSE)</f>
        <v>Predominantly Urban</v>
      </c>
      <c r="F304" s="224" t="str">
        <f>VLOOKUP($B304,'FRS geographical categories'!$A$2:$C$45,3,FALSE)</f>
        <v>Non-metropolitan</v>
      </c>
      <c r="G304" s="98">
        <v>52592</v>
      </c>
    </row>
    <row r="305" spans="1:7" ht="15.5" x14ac:dyDescent="0.35">
      <c r="A305" s="224" t="s">
        <v>53</v>
      </c>
      <c r="B305" s="224" t="s">
        <v>16</v>
      </c>
      <c r="C305" s="224" t="s">
        <v>107</v>
      </c>
      <c r="D305" s="224" t="s">
        <v>257</v>
      </c>
      <c r="E305" s="224" t="str">
        <f>VLOOKUP($B305,'FRS geographical categories'!$A$2:$C$45,2,FALSE)</f>
        <v>Predominantly Urban</v>
      </c>
      <c r="F305" s="224" t="str">
        <f>VLOOKUP($B305,'FRS geographical categories'!$A$2:$C$45,3,FALSE)</f>
        <v>Non-metropolitan</v>
      </c>
      <c r="G305" s="98">
        <v>2170</v>
      </c>
    </row>
    <row r="306" spans="1:7" ht="15.5" x14ac:dyDescent="0.35">
      <c r="A306" s="224" t="s">
        <v>53</v>
      </c>
      <c r="B306" s="224" t="s">
        <v>16</v>
      </c>
      <c r="C306" s="224" t="s">
        <v>108</v>
      </c>
      <c r="D306" s="224" t="s">
        <v>257</v>
      </c>
      <c r="E306" s="224" t="str">
        <f>VLOOKUP($B306,'FRS geographical categories'!$A$2:$C$45,2,FALSE)</f>
        <v>Predominantly Urban</v>
      </c>
      <c r="F306" s="224" t="str">
        <f>VLOOKUP($B306,'FRS geographical categories'!$A$2:$C$45,3,FALSE)</f>
        <v>Non-metropolitan</v>
      </c>
      <c r="G306" s="98">
        <v>3354</v>
      </c>
    </row>
    <row r="307" spans="1:7" ht="15.5" x14ac:dyDescent="0.35">
      <c r="A307" s="224" t="s">
        <v>53</v>
      </c>
      <c r="B307" s="224" t="s">
        <v>16</v>
      </c>
      <c r="C307" s="224" t="s">
        <v>109</v>
      </c>
      <c r="D307" s="224" t="s">
        <v>257</v>
      </c>
      <c r="E307" s="224" t="str">
        <f>VLOOKUP($B307,'FRS geographical categories'!$A$2:$C$45,2,FALSE)</f>
        <v>Predominantly Urban</v>
      </c>
      <c r="F307" s="224" t="str">
        <f>VLOOKUP($B307,'FRS geographical categories'!$A$2:$C$45,3,FALSE)</f>
        <v>Non-metropolitan</v>
      </c>
      <c r="G307" s="98">
        <v>0</v>
      </c>
    </row>
    <row r="308" spans="1:7" ht="15.5" x14ac:dyDescent="0.35">
      <c r="A308" s="224" t="s">
        <v>53</v>
      </c>
      <c r="B308" s="224" t="s">
        <v>17</v>
      </c>
      <c r="C308" s="224" t="s">
        <v>102</v>
      </c>
      <c r="D308" s="224" t="s">
        <v>257</v>
      </c>
      <c r="E308" s="224" t="str">
        <f>VLOOKUP($B308,'FRS geographical categories'!$A$2:$C$45,2,FALSE)</f>
        <v>Predominantly Rural</v>
      </c>
      <c r="F308" s="224" t="str">
        <f>VLOOKUP($B308,'FRS geographical categories'!$A$2:$C$45,3,FALSE)</f>
        <v>Non-metropolitan</v>
      </c>
      <c r="G308" s="98">
        <v>0</v>
      </c>
    </row>
    <row r="309" spans="1:7" ht="15.5" x14ac:dyDescent="0.35">
      <c r="A309" s="224" t="s">
        <v>53</v>
      </c>
      <c r="B309" s="224" t="s">
        <v>17</v>
      </c>
      <c r="C309" s="224" t="s">
        <v>105</v>
      </c>
      <c r="D309" s="224" t="s">
        <v>257</v>
      </c>
      <c r="E309" s="224" t="str">
        <f>VLOOKUP($B309,'FRS geographical categories'!$A$2:$C$45,2,FALSE)</f>
        <v>Predominantly Rural</v>
      </c>
      <c r="F309" s="224" t="str">
        <f>VLOOKUP($B309,'FRS geographical categories'!$A$2:$C$45,3,FALSE)</f>
        <v>Non-metropolitan</v>
      </c>
      <c r="G309" s="98">
        <v>0</v>
      </c>
    </row>
    <row r="310" spans="1:7" ht="15.5" x14ac:dyDescent="0.35">
      <c r="A310" s="224" t="s">
        <v>53</v>
      </c>
      <c r="B310" s="224" t="s">
        <v>17</v>
      </c>
      <c r="C310" s="224" t="s">
        <v>106</v>
      </c>
      <c r="D310" s="224" t="s">
        <v>257</v>
      </c>
      <c r="E310" s="224" t="str">
        <f>VLOOKUP($B310,'FRS geographical categories'!$A$2:$C$45,2,FALSE)</f>
        <v>Predominantly Rural</v>
      </c>
      <c r="F310" s="224" t="str">
        <f>VLOOKUP($B310,'FRS geographical categories'!$A$2:$C$45,3,FALSE)</f>
        <v>Non-metropolitan</v>
      </c>
      <c r="G310" s="98">
        <v>8642</v>
      </c>
    </row>
    <row r="311" spans="1:7" ht="15.5" x14ac:dyDescent="0.35">
      <c r="A311" s="224" t="s">
        <v>53</v>
      </c>
      <c r="B311" s="224" t="s">
        <v>17</v>
      </c>
      <c r="C311" s="224" t="s">
        <v>107</v>
      </c>
      <c r="D311" s="224" t="s">
        <v>257</v>
      </c>
      <c r="E311" s="224" t="str">
        <f>VLOOKUP($B311,'FRS geographical categories'!$A$2:$C$45,2,FALSE)</f>
        <v>Predominantly Rural</v>
      </c>
      <c r="F311" s="224" t="str">
        <f>VLOOKUP($B311,'FRS geographical categories'!$A$2:$C$45,3,FALSE)</f>
        <v>Non-metropolitan</v>
      </c>
      <c r="G311" s="98">
        <v>7</v>
      </c>
    </row>
    <row r="312" spans="1:7" ht="15.5" x14ac:dyDescent="0.35">
      <c r="A312" s="224" t="s">
        <v>53</v>
      </c>
      <c r="B312" s="224" t="s">
        <v>17</v>
      </c>
      <c r="C312" s="224" t="s">
        <v>108</v>
      </c>
      <c r="D312" s="224" t="s">
        <v>257</v>
      </c>
      <c r="E312" s="224" t="str">
        <f>VLOOKUP($B312,'FRS geographical categories'!$A$2:$C$45,2,FALSE)</f>
        <v>Predominantly Rural</v>
      </c>
      <c r="F312" s="224" t="str">
        <f>VLOOKUP($B312,'FRS geographical categories'!$A$2:$C$45,3,FALSE)</f>
        <v>Non-metropolitan</v>
      </c>
      <c r="G312" s="98">
        <v>292</v>
      </c>
    </row>
    <row r="313" spans="1:7" ht="15.5" x14ac:dyDescent="0.35">
      <c r="A313" s="224" t="s">
        <v>53</v>
      </c>
      <c r="B313" s="224" t="s">
        <v>17</v>
      </c>
      <c r="C313" s="224" t="s">
        <v>109</v>
      </c>
      <c r="D313" s="224" t="s">
        <v>257</v>
      </c>
      <c r="E313" s="224" t="str">
        <f>VLOOKUP($B313,'FRS geographical categories'!$A$2:$C$45,2,FALSE)</f>
        <v>Predominantly Rural</v>
      </c>
      <c r="F313" s="224" t="str">
        <f>VLOOKUP($B313,'FRS geographical categories'!$A$2:$C$45,3,FALSE)</f>
        <v>Non-metropolitan</v>
      </c>
      <c r="G313" s="98">
        <v>144</v>
      </c>
    </row>
    <row r="314" spans="1:7" ht="15.5" x14ac:dyDescent="0.35">
      <c r="A314" s="224" t="s">
        <v>53</v>
      </c>
      <c r="B314" s="224" t="s">
        <v>18</v>
      </c>
      <c r="C314" s="224" t="s">
        <v>102</v>
      </c>
      <c r="D314" s="224" t="s">
        <v>257</v>
      </c>
      <c r="E314" s="224" t="str">
        <f>VLOOKUP($B314,'FRS geographical categories'!$A$2:$C$45,2,FALSE)</f>
        <v>Predominantly Rural</v>
      </c>
      <c r="F314" s="224" t="str">
        <f>VLOOKUP($B314,'FRS geographical categories'!$A$2:$C$45,3,FALSE)</f>
        <v>Non-metropolitan</v>
      </c>
      <c r="G314" s="98">
        <v>1556</v>
      </c>
    </row>
    <row r="315" spans="1:7" ht="15.5" x14ac:dyDescent="0.35">
      <c r="A315" s="224" t="s">
        <v>53</v>
      </c>
      <c r="B315" s="224" t="s">
        <v>18</v>
      </c>
      <c r="C315" s="224" t="s">
        <v>105</v>
      </c>
      <c r="D315" s="224" t="s">
        <v>257</v>
      </c>
      <c r="E315" s="224" t="str">
        <f>VLOOKUP($B315,'FRS geographical categories'!$A$2:$C$45,2,FALSE)</f>
        <v>Predominantly Rural</v>
      </c>
      <c r="F315" s="224" t="str">
        <f>VLOOKUP($B315,'FRS geographical categories'!$A$2:$C$45,3,FALSE)</f>
        <v>Non-metropolitan</v>
      </c>
      <c r="G315" s="98">
        <v>21</v>
      </c>
    </row>
    <row r="316" spans="1:7" ht="15.5" x14ac:dyDescent="0.35">
      <c r="A316" s="224" t="s">
        <v>53</v>
      </c>
      <c r="B316" s="224" t="s">
        <v>18</v>
      </c>
      <c r="C316" s="224" t="s">
        <v>106</v>
      </c>
      <c r="D316" s="224" t="s">
        <v>257</v>
      </c>
      <c r="E316" s="224" t="str">
        <f>VLOOKUP($B316,'FRS geographical categories'!$A$2:$C$45,2,FALSE)</f>
        <v>Predominantly Rural</v>
      </c>
      <c r="F316" s="224" t="str">
        <f>VLOOKUP($B316,'FRS geographical categories'!$A$2:$C$45,3,FALSE)</f>
        <v>Non-metropolitan</v>
      </c>
      <c r="G316" s="98">
        <v>14597</v>
      </c>
    </row>
    <row r="317" spans="1:7" ht="15.5" x14ac:dyDescent="0.35">
      <c r="A317" s="224" t="s">
        <v>53</v>
      </c>
      <c r="B317" s="224" t="s">
        <v>18</v>
      </c>
      <c r="C317" s="224" t="s">
        <v>107</v>
      </c>
      <c r="D317" s="224" t="s">
        <v>257</v>
      </c>
      <c r="E317" s="224" t="str">
        <f>VLOOKUP($B317,'FRS geographical categories'!$A$2:$C$45,2,FALSE)</f>
        <v>Predominantly Rural</v>
      </c>
      <c r="F317" s="224" t="str">
        <f>VLOOKUP($B317,'FRS geographical categories'!$A$2:$C$45,3,FALSE)</f>
        <v>Non-metropolitan</v>
      </c>
      <c r="G317" s="98">
        <v>0</v>
      </c>
    </row>
    <row r="318" spans="1:7" ht="15.5" x14ac:dyDescent="0.35">
      <c r="A318" s="224" t="s">
        <v>53</v>
      </c>
      <c r="B318" s="224" t="s">
        <v>18</v>
      </c>
      <c r="C318" s="224" t="s">
        <v>108</v>
      </c>
      <c r="D318" s="224" t="s">
        <v>257</v>
      </c>
      <c r="E318" s="224" t="str">
        <f>VLOOKUP($B318,'FRS geographical categories'!$A$2:$C$45,2,FALSE)</f>
        <v>Predominantly Rural</v>
      </c>
      <c r="F318" s="224" t="str">
        <f>VLOOKUP($B318,'FRS geographical categories'!$A$2:$C$45,3,FALSE)</f>
        <v>Non-metropolitan</v>
      </c>
      <c r="G318" s="98">
        <v>932</v>
      </c>
    </row>
    <row r="319" spans="1:7" ht="15.5" x14ac:dyDescent="0.35">
      <c r="A319" s="224" t="s">
        <v>53</v>
      </c>
      <c r="B319" s="224" t="s">
        <v>18</v>
      </c>
      <c r="C319" s="224" t="s">
        <v>109</v>
      </c>
      <c r="D319" s="224" t="s">
        <v>257</v>
      </c>
      <c r="E319" s="224" t="str">
        <f>VLOOKUP($B319,'FRS geographical categories'!$A$2:$C$45,2,FALSE)</f>
        <v>Predominantly Rural</v>
      </c>
      <c r="F319" s="224" t="str">
        <f>VLOOKUP($B319,'FRS geographical categories'!$A$2:$C$45,3,FALSE)</f>
        <v>Non-metropolitan</v>
      </c>
      <c r="G319" s="98">
        <v>0</v>
      </c>
    </row>
    <row r="320" spans="1:7" ht="15.5" x14ac:dyDescent="0.35">
      <c r="A320" s="224" t="s">
        <v>53</v>
      </c>
      <c r="B320" s="224" t="s">
        <v>19</v>
      </c>
      <c r="C320" s="224" t="s">
        <v>102</v>
      </c>
      <c r="D320" s="224" t="s">
        <v>257</v>
      </c>
      <c r="E320" s="224" t="str">
        <f>VLOOKUP($B320,'FRS geographical categories'!$A$2:$C$45,2,FALSE)</f>
        <v>Significantly Rural</v>
      </c>
      <c r="F320" s="224" t="str">
        <f>VLOOKUP($B320,'FRS geographical categories'!$A$2:$C$45,3,FALSE)</f>
        <v>Non-metropolitan</v>
      </c>
      <c r="G320" s="98">
        <v>3089</v>
      </c>
    </row>
    <row r="321" spans="1:7" ht="15.5" x14ac:dyDescent="0.35">
      <c r="A321" s="224" t="s">
        <v>53</v>
      </c>
      <c r="B321" s="224" t="s">
        <v>19</v>
      </c>
      <c r="C321" s="224" t="s">
        <v>105</v>
      </c>
      <c r="D321" s="224" t="s">
        <v>257</v>
      </c>
      <c r="E321" s="224" t="str">
        <f>VLOOKUP($B321,'FRS geographical categories'!$A$2:$C$45,2,FALSE)</f>
        <v>Significantly Rural</v>
      </c>
      <c r="F321" s="224" t="str">
        <f>VLOOKUP($B321,'FRS geographical categories'!$A$2:$C$45,3,FALSE)</f>
        <v>Non-metropolitan</v>
      </c>
      <c r="G321" s="98">
        <v>3457</v>
      </c>
    </row>
    <row r="322" spans="1:7" ht="15.5" x14ac:dyDescent="0.35">
      <c r="A322" s="224" t="s">
        <v>53</v>
      </c>
      <c r="B322" s="224" t="s">
        <v>19</v>
      </c>
      <c r="C322" s="224" t="s">
        <v>106</v>
      </c>
      <c r="D322" s="224" t="s">
        <v>257</v>
      </c>
      <c r="E322" s="224" t="str">
        <f>VLOOKUP($B322,'FRS geographical categories'!$A$2:$C$45,2,FALSE)</f>
        <v>Significantly Rural</v>
      </c>
      <c r="F322" s="224" t="str">
        <f>VLOOKUP($B322,'FRS geographical categories'!$A$2:$C$45,3,FALSE)</f>
        <v>Non-metropolitan</v>
      </c>
      <c r="G322" s="98">
        <v>12243</v>
      </c>
    </row>
    <row r="323" spans="1:7" ht="15.5" x14ac:dyDescent="0.35">
      <c r="A323" s="224" t="s">
        <v>53</v>
      </c>
      <c r="B323" s="224" t="s">
        <v>19</v>
      </c>
      <c r="C323" s="224" t="s">
        <v>107</v>
      </c>
      <c r="D323" s="224" t="s">
        <v>257</v>
      </c>
      <c r="E323" s="224" t="str">
        <f>VLOOKUP($B323,'FRS geographical categories'!$A$2:$C$45,2,FALSE)</f>
        <v>Significantly Rural</v>
      </c>
      <c r="F323" s="224" t="str">
        <f>VLOOKUP($B323,'FRS geographical categories'!$A$2:$C$45,3,FALSE)</f>
        <v>Non-metropolitan</v>
      </c>
      <c r="G323" s="98">
        <v>0</v>
      </c>
    </row>
    <row r="324" spans="1:7" ht="15.5" x14ac:dyDescent="0.35">
      <c r="A324" s="224" t="s">
        <v>53</v>
      </c>
      <c r="B324" s="224" t="s">
        <v>19</v>
      </c>
      <c r="C324" s="224" t="s">
        <v>108</v>
      </c>
      <c r="D324" s="224" t="s">
        <v>257</v>
      </c>
      <c r="E324" s="224" t="str">
        <f>VLOOKUP($B324,'FRS geographical categories'!$A$2:$C$45,2,FALSE)</f>
        <v>Significantly Rural</v>
      </c>
      <c r="F324" s="224" t="str">
        <f>VLOOKUP($B324,'FRS geographical categories'!$A$2:$C$45,3,FALSE)</f>
        <v>Non-metropolitan</v>
      </c>
      <c r="G324" s="98">
        <v>35</v>
      </c>
    </row>
    <row r="325" spans="1:7" ht="15.5" x14ac:dyDescent="0.35">
      <c r="A325" s="224" t="s">
        <v>53</v>
      </c>
      <c r="B325" s="224" t="s">
        <v>19</v>
      </c>
      <c r="C325" s="224" t="s">
        <v>109</v>
      </c>
      <c r="D325" s="224" t="s">
        <v>257</v>
      </c>
      <c r="E325" s="224" t="str">
        <f>VLOOKUP($B325,'FRS geographical categories'!$A$2:$C$45,2,FALSE)</f>
        <v>Significantly Rural</v>
      </c>
      <c r="F325" s="224" t="str">
        <f>VLOOKUP($B325,'FRS geographical categories'!$A$2:$C$45,3,FALSE)</f>
        <v>Non-metropolitan</v>
      </c>
      <c r="G325" s="98">
        <v>0</v>
      </c>
    </row>
    <row r="326" spans="1:7" ht="15.5" x14ac:dyDescent="0.35">
      <c r="A326" s="224" t="s">
        <v>53</v>
      </c>
      <c r="B326" s="224" t="s">
        <v>20</v>
      </c>
      <c r="C326" s="224" t="s">
        <v>102</v>
      </c>
      <c r="D326" s="224" t="s">
        <v>257</v>
      </c>
      <c r="E326" s="224" t="str">
        <f>VLOOKUP($B326,'FRS geographical categories'!$A$2:$C$45,2,FALSE)</f>
        <v>Predominantly Rural</v>
      </c>
      <c r="F326" s="224" t="str">
        <f>VLOOKUP($B326,'FRS geographical categories'!$A$2:$C$45,3,FALSE)</f>
        <v>Non-metropolitan</v>
      </c>
      <c r="G326" s="98">
        <v>0</v>
      </c>
    </row>
    <row r="327" spans="1:7" ht="15.5" x14ac:dyDescent="0.35">
      <c r="A327" s="224" t="s">
        <v>53</v>
      </c>
      <c r="B327" s="224" t="s">
        <v>20</v>
      </c>
      <c r="C327" s="224" t="s">
        <v>105</v>
      </c>
      <c r="D327" s="224" t="s">
        <v>257</v>
      </c>
      <c r="E327" s="224" t="str">
        <f>VLOOKUP($B327,'FRS geographical categories'!$A$2:$C$45,2,FALSE)</f>
        <v>Predominantly Rural</v>
      </c>
      <c r="F327" s="224" t="str">
        <f>VLOOKUP($B327,'FRS geographical categories'!$A$2:$C$45,3,FALSE)</f>
        <v>Non-metropolitan</v>
      </c>
      <c r="G327" s="98">
        <v>0</v>
      </c>
    </row>
    <row r="328" spans="1:7" ht="15.5" x14ac:dyDescent="0.35">
      <c r="A328" s="224" t="s">
        <v>53</v>
      </c>
      <c r="B328" s="224" t="s">
        <v>20</v>
      </c>
      <c r="C328" s="224" t="s">
        <v>106</v>
      </c>
      <c r="D328" s="224" t="s">
        <v>257</v>
      </c>
      <c r="E328" s="224" t="str">
        <f>VLOOKUP($B328,'FRS geographical categories'!$A$2:$C$45,2,FALSE)</f>
        <v>Predominantly Rural</v>
      </c>
      <c r="F328" s="224" t="str">
        <f>VLOOKUP($B328,'FRS geographical categories'!$A$2:$C$45,3,FALSE)</f>
        <v>Non-metropolitan</v>
      </c>
      <c r="G328" s="98">
        <v>0</v>
      </c>
    </row>
    <row r="329" spans="1:7" ht="15.5" x14ac:dyDescent="0.35">
      <c r="A329" s="224" t="s">
        <v>53</v>
      </c>
      <c r="B329" s="224" t="s">
        <v>20</v>
      </c>
      <c r="C329" s="224" t="s">
        <v>107</v>
      </c>
      <c r="D329" s="224" t="s">
        <v>257</v>
      </c>
      <c r="E329" s="224" t="str">
        <f>VLOOKUP($B329,'FRS geographical categories'!$A$2:$C$45,2,FALSE)</f>
        <v>Predominantly Rural</v>
      </c>
      <c r="F329" s="224" t="str">
        <f>VLOOKUP($B329,'FRS geographical categories'!$A$2:$C$45,3,FALSE)</f>
        <v>Non-metropolitan</v>
      </c>
      <c r="G329" s="98">
        <v>0</v>
      </c>
    </row>
    <row r="330" spans="1:7" ht="15.5" x14ac:dyDescent="0.35">
      <c r="A330" s="224" t="s">
        <v>53</v>
      </c>
      <c r="B330" s="224" t="s">
        <v>20</v>
      </c>
      <c r="C330" s="224" t="s">
        <v>108</v>
      </c>
      <c r="D330" s="224" t="s">
        <v>257</v>
      </c>
      <c r="E330" s="224" t="str">
        <f>VLOOKUP($B330,'FRS geographical categories'!$A$2:$C$45,2,FALSE)</f>
        <v>Predominantly Rural</v>
      </c>
      <c r="F330" s="224" t="str">
        <f>VLOOKUP($B330,'FRS geographical categories'!$A$2:$C$45,3,FALSE)</f>
        <v>Non-metropolitan</v>
      </c>
      <c r="G330" s="98">
        <v>17100</v>
      </c>
    </row>
    <row r="331" spans="1:7" ht="15.5" x14ac:dyDescent="0.35">
      <c r="A331" s="224" t="s">
        <v>53</v>
      </c>
      <c r="B331" s="224" t="s">
        <v>20</v>
      </c>
      <c r="C331" s="224" t="s">
        <v>109</v>
      </c>
      <c r="D331" s="224" t="s">
        <v>257</v>
      </c>
      <c r="E331" s="224" t="str">
        <f>VLOOKUP($B331,'FRS geographical categories'!$A$2:$C$45,2,FALSE)</f>
        <v>Predominantly Rural</v>
      </c>
      <c r="F331" s="224" t="str">
        <f>VLOOKUP($B331,'FRS geographical categories'!$A$2:$C$45,3,FALSE)</f>
        <v>Non-metropolitan</v>
      </c>
      <c r="G331" s="98">
        <v>0</v>
      </c>
    </row>
    <row r="332" spans="1:7" ht="15.5" x14ac:dyDescent="0.35">
      <c r="A332" s="224" t="s">
        <v>53</v>
      </c>
      <c r="B332" s="224" t="s">
        <v>21</v>
      </c>
      <c r="C332" s="224" t="s">
        <v>102</v>
      </c>
      <c r="D332" s="224" t="s">
        <v>257</v>
      </c>
      <c r="E332" s="224" t="str">
        <f>VLOOKUP($B332,'FRS geographical categories'!$A$2:$C$45,2,FALSE)</f>
        <v>Significantly Rural</v>
      </c>
      <c r="F332" s="224" t="str">
        <f>VLOOKUP($B332,'FRS geographical categories'!$A$2:$C$45,3,FALSE)</f>
        <v>Non-metropolitan</v>
      </c>
      <c r="G332" s="98">
        <v>0</v>
      </c>
    </row>
    <row r="333" spans="1:7" ht="15.5" x14ac:dyDescent="0.35">
      <c r="A333" s="224" t="s">
        <v>53</v>
      </c>
      <c r="B333" s="224" t="s">
        <v>21</v>
      </c>
      <c r="C333" s="224" t="s">
        <v>105</v>
      </c>
      <c r="D333" s="224" t="s">
        <v>257</v>
      </c>
      <c r="E333" s="224" t="str">
        <f>VLOOKUP($B333,'FRS geographical categories'!$A$2:$C$45,2,FALSE)</f>
        <v>Significantly Rural</v>
      </c>
      <c r="F333" s="224" t="str">
        <f>VLOOKUP($B333,'FRS geographical categories'!$A$2:$C$45,3,FALSE)</f>
        <v>Non-metropolitan</v>
      </c>
      <c r="G333" s="98">
        <v>0</v>
      </c>
    </row>
    <row r="334" spans="1:7" ht="15.5" x14ac:dyDescent="0.35">
      <c r="A334" s="224" t="s">
        <v>53</v>
      </c>
      <c r="B334" s="224" t="s">
        <v>21</v>
      </c>
      <c r="C334" s="224" t="s">
        <v>106</v>
      </c>
      <c r="D334" s="224" t="s">
        <v>257</v>
      </c>
      <c r="E334" s="224" t="str">
        <f>VLOOKUP($B334,'FRS geographical categories'!$A$2:$C$45,2,FALSE)</f>
        <v>Significantly Rural</v>
      </c>
      <c r="F334" s="224" t="str">
        <f>VLOOKUP($B334,'FRS geographical categories'!$A$2:$C$45,3,FALSE)</f>
        <v>Non-metropolitan</v>
      </c>
      <c r="G334" s="98">
        <v>14286</v>
      </c>
    </row>
    <row r="335" spans="1:7" ht="15.5" x14ac:dyDescent="0.35">
      <c r="A335" s="224" t="s">
        <v>53</v>
      </c>
      <c r="B335" s="224" t="s">
        <v>21</v>
      </c>
      <c r="C335" s="224" t="s">
        <v>107</v>
      </c>
      <c r="D335" s="224" t="s">
        <v>257</v>
      </c>
      <c r="E335" s="224" t="str">
        <f>VLOOKUP($B335,'FRS geographical categories'!$A$2:$C$45,2,FALSE)</f>
        <v>Significantly Rural</v>
      </c>
      <c r="F335" s="224" t="str">
        <f>VLOOKUP($B335,'FRS geographical categories'!$A$2:$C$45,3,FALSE)</f>
        <v>Non-metropolitan</v>
      </c>
      <c r="G335" s="98">
        <v>3</v>
      </c>
    </row>
    <row r="336" spans="1:7" ht="15.5" x14ac:dyDescent="0.35">
      <c r="A336" s="224" t="s">
        <v>53</v>
      </c>
      <c r="B336" s="224" t="s">
        <v>21</v>
      </c>
      <c r="C336" s="224" t="s">
        <v>108</v>
      </c>
      <c r="D336" s="224" t="s">
        <v>257</v>
      </c>
      <c r="E336" s="224" t="str">
        <f>VLOOKUP($B336,'FRS geographical categories'!$A$2:$C$45,2,FALSE)</f>
        <v>Significantly Rural</v>
      </c>
      <c r="F336" s="224" t="str">
        <f>VLOOKUP($B336,'FRS geographical categories'!$A$2:$C$45,3,FALSE)</f>
        <v>Non-metropolitan</v>
      </c>
      <c r="G336" s="98">
        <v>5330</v>
      </c>
    </row>
    <row r="337" spans="1:7" ht="15.5" x14ac:dyDescent="0.35">
      <c r="A337" s="224" t="s">
        <v>53</v>
      </c>
      <c r="B337" s="224" t="s">
        <v>21</v>
      </c>
      <c r="C337" s="224" t="s">
        <v>109</v>
      </c>
      <c r="D337" s="224" t="s">
        <v>257</v>
      </c>
      <c r="E337" s="224" t="str">
        <f>VLOOKUP($B337,'FRS geographical categories'!$A$2:$C$45,2,FALSE)</f>
        <v>Significantly Rural</v>
      </c>
      <c r="F337" s="224" t="str">
        <f>VLOOKUP($B337,'FRS geographical categories'!$A$2:$C$45,3,FALSE)</f>
        <v>Non-metropolitan</v>
      </c>
      <c r="G337" s="98">
        <v>458</v>
      </c>
    </row>
    <row r="338" spans="1:7" ht="15.5" x14ac:dyDescent="0.35">
      <c r="A338" s="224" t="s">
        <v>53</v>
      </c>
      <c r="B338" s="224" t="s">
        <v>22</v>
      </c>
      <c r="C338" s="224" t="s">
        <v>102</v>
      </c>
      <c r="D338" s="224" t="s">
        <v>257</v>
      </c>
      <c r="E338" s="224" t="str">
        <f>VLOOKUP($B338,'FRS geographical categories'!$A$2:$C$45,2,FALSE)</f>
        <v>Predominantly Rural</v>
      </c>
      <c r="F338" s="224" t="str">
        <f>VLOOKUP($B338,'FRS geographical categories'!$A$2:$C$45,3,FALSE)</f>
        <v>Non-metropolitan</v>
      </c>
      <c r="G338" s="98">
        <v>837</v>
      </c>
    </row>
    <row r="339" spans="1:7" ht="15.5" x14ac:dyDescent="0.35">
      <c r="A339" s="224" t="s">
        <v>53</v>
      </c>
      <c r="B339" s="224" t="s">
        <v>22</v>
      </c>
      <c r="C339" s="224" t="s">
        <v>105</v>
      </c>
      <c r="D339" s="224" t="s">
        <v>257</v>
      </c>
      <c r="E339" s="224" t="str">
        <f>VLOOKUP($B339,'FRS geographical categories'!$A$2:$C$45,2,FALSE)</f>
        <v>Predominantly Rural</v>
      </c>
      <c r="F339" s="224" t="str">
        <f>VLOOKUP($B339,'FRS geographical categories'!$A$2:$C$45,3,FALSE)</f>
        <v>Non-metropolitan</v>
      </c>
      <c r="G339" s="98">
        <v>0</v>
      </c>
    </row>
    <row r="340" spans="1:7" ht="15.5" x14ac:dyDescent="0.35">
      <c r="A340" s="224" t="s">
        <v>53</v>
      </c>
      <c r="B340" s="224" t="s">
        <v>22</v>
      </c>
      <c r="C340" s="224" t="s">
        <v>106</v>
      </c>
      <c r="D340" s="224" t="s">
        <v>257</v>
      </c>
      <c r="E340" s="224" t="str">
        <f>VLOOKUP($B340,'FRS geographical categories'!$A$2:$C$45,2,FALSE)</f>
        <v>Predominantly Rural</v>
      </c>
      <c r="F340" s="224" t="str">
        <f>VLOOKUP($B340,'FRS geographical categories'!$A$2:$C$45,3,FALSE)</f>
        <v>Non-metropolitan</v>
      </c>
      <c r="G340" s="98">
        <v>37188</v>
      </c>
    </row>
    <row r="341" spans="1:7" ht="15.5" x14ac:dyDescent="0.35">
      <c r="A341" s="224" t="s">
        <v>53</v>
      </c>
      <c r="B341" s="224" t="s">
        <v>22</v>
      </c>
      <c r="C341" s="224" t="s">
        <v>107</v>
      </c>
      <c r="D341" s="224" t="s">
        <v>257</v>
      </c>
      <c r="E341" s="224" t="str">
        <f>VLOOKUP($B341,'FRS geographical categories'!$A$2:$C$45,2,FALSE)</f>
        <v>Predominantly Rural</v>
      </c>
      <c r="F341" s="224" t="str">
        <f>VLOOKUP($B341,'FRS geographical categories'!$A$2:$C$45,3,FALSE)</f>
        <v>Non-metropolitan</v>
      </c>
      <c r="G341" s="98">
        <v>0</v>
      </c>
    </row>
    <row r="342" spans="1:7" ht="15.5" x14ac:dyDescent="0.35">
      <c r="A342" s="224" t="s">
        <v>53</v>
      </c>
      <c r="B342" s="224" t="s">
        <v>22</v>
      </c>
      <c r="C342" s="224" t="s">
        <v>108</v>
      </c>
      <c r="D342" s="224" t="s">
        <v>257</v>
      </c>
      <c r="E342" s="224" t="str">
        <f>VLOOKUP($B342,'FRS geographical categories'!$A$2:$C$45,2,FALSE)</f>
        <v>Predominantly Rural</v>
      </c>
      <c r="F342" s="224" t="str">
        <f>VLOOKUP($B342,'FRS geographical categories'!$A$2:$C$45,3,FALSE)</f>
        <v>Non-metropolitan</v>
      </c>
      <c r="G342" s="98">
        <v>0</v>
      </c>
    </row>
    <row r="343" spans="1:7" ht="15.5" x14ac:dyDescent="0.35">
      <c r="A343" s="224" t="s">
        <v>53</v>
      </c>
      <c r="B343" s="224" t="s">
        <v>22</v>
      </c>
      <c r="C343" s="224" t="s">
        <v>109</v>
      </c>
      <c r="D343" s="224" t="s">
        <v>257</v>
      </c>
      <c r="E343" s="224" t="str">
        <f>VLOOKUP($B343,'FRS geographical categories'!$A$2:$C$45,2,FALSE)</f>
        <v>Predominantly Rural</v>
      </c>
      <c r="F343" s="224" t="str">
        <f>VLOOKUP($B343,'FRS geographical categories'!$A$2:$C$45,3,FALSE)</f>
        <v>Non-metropolitan</v>
      </c>
      <c r="G343" s="98">
        <v>0</v>
      </c>
    </row>
    <row r="344" spans="1:7" ht="15.5" x14ac:dyDescent="0.35">
      <c r="A344" s="224" t="s">
        <v>53</v>
      </c>
      <c r="B344" s="224" t="s">
        <v>23</v>
      </c>
      <c r="C344" s="224" t="s">
        <v>102</v>
      </c>
      <c r="D344" s="224" t="s">
        <v>257</v>
      </c>
      <c r="E344" s="224" t="str">
        <f>VLOOKUP($B344,'FRS geographical categories'!$A$2:$C$45,2,FALSE)</f>
        <v>Significantly Rural</v>
      </c>
      <c r="F344" s="224" t="str">
        <f>VLOOKUP($B344,'FRS geographical categories'!$A$2:$C$45,3,FALSE)</f>
        <v>Non-metropolitan</v>
      </c>
      <c r="G344" s="98">
        <v>6882</v>
      </c>
    </row>
    <row r="345" spans="1:7" ht="15.5" x14ac:dyDescent="0.35">
      <c r="A345" s="224" t="s">
        <v>53</v>
      </c>
      <c r="B345" s="224" t="s">
        <v>23</v>
      </c>
      <c r="C345" s="224" t="s">
        <v>105</v>
      </c>
      <c r="D345" s="224" t="s">
        <v>257</v>
      </c>
      <c r="E345" s="224" t="str">
        <f>VLOOKUP($B345,'FRS geographical categories'!$A$2:$C$45,2,FALSE)</f>
        <v>Significantly Rural</v>
      </c>
      <c r="F345" s="224" t="str">
        <f>VLOOKUP($B345,'FRS geographical categories'!$A$2:$C$45,3,FALSE)</f>
        <v>Non-metropolitan</v>
      </c>
      <c r="G345" s="98">
        <v>0</v>
      </c>
    </row>
    <row r="346" spans="1:7" ht="15.5" x14ac:dyDescent="0.35">
      <c r="A346" s="224" t="s">
        <v>53</v>
      </c>
      <c r="B346" s="224" t="s">
        <v>23</v>
      </c>
      <c r="C346" s="224" t="s">
        <v>106</v>
      </c>
      <c r="D346" s="224" t="s">
        <v>257</v>
      </c>
      <c r="E346" s="224" t="str">
        <f>VLOOKUP($B346,'FRS geographical categories'!$A$2:$C$45,2,FALSE)</f>
        <v>Significantly Rural</v>
      </c>
      <c r="F346" s="224" t="str">
        <f>VLOOKUP($B346,'FRS geographical categories'!$A$2:$C$45,3,FALSE)</f>
        <v>Non-metropolitan</v>
      </c>
      <c r="G346" s="98">
        <v>13550</v>
      </c>
    </row>
    <row r="347" spans="1:7" ht="15.5" x14ac:dyDescent="0.35">
      <c r="A347" s="224" t="s">
        <v>53</v>
      </c>
      <c r="B347" s="224" t="s">
        <v>23</v>
      </c>
      <c r="C347" s="224" t="s">
        <v>107</v>
      </c>
      <c r="D347" s="224" t="s">
        <v>257</v>
      </c>
      <c r="E347" s="224" t="str">
        <f>VLOOKUP($B347,'FRS geographical categories'!$A$2:$C$45,2,FALSE)</f>
        <v>Significantly Rural</v>
      </c>
      <c r="F347" s="224" t="str">
        <f>VLOOKUP($B347,'FRS geographical categories'!$A$2:$C$45,3,FALSE)</f>
        <v>Non-metropolitan</v>
      </c>
      <c r="G347" s="98">
        <v>0</v>
      </c>
    </row>
    <row r="348" spans="1:7" ht="15.5" x14ac:dyDescent="0.35">
      <c r="A348" s="224" t="s">
        <v>53</v>
      </c>
      <c r="B348" s="224" t="s">
        <v>23</v>
      </c>
      <c r="C348" s="224" t="s">
        <v>108</v>
      </c>
      <c r="D348" s="224" t="s">
        <v>257</v>
      </c>
      <c r="E348" s="224" t="str">
        <f>VLOOKUP($B348,'FRS geographical categories'!$A$2:$C$45,2,FALSE)</f>
        <v>Significantly Rural</v>
      </c>
      <c r="F348" s="224" t="str">
        <f>VLOOKUP($B348,'FRS geographical categories'!$A$2:$C$45,3,FALSE)</f>
        <v>Non-metropolitan</v>
      </c>
      <c r="G348" s="98">
        <v>0</v>
      </c>
    </row>
    <row r="349" spans="1:7" ht="15.5" x14ac:dyDescent="0.35">
      <c r="A349" s="224" t="s">
        <v>53</v>
      </c>
      <c r="B349" s="224" t="s">
        <v>23</v>
      </c>
      <c r="C349" s="224" t="s">
        <v>109</v>
      </c>
      <c r="D349" s="224" t="s">
        <v>257</v>
      </c>
      <c r="E349" s="224" t="str">
        <f>VLOOKUP($B349,'FRS geographical categories'!$A$2:$C$45,2,FALSE)</f>
        <v>Significantly Rural</v>
      </c>
      <c r="F349" s="224" t="str">
        <f>VLOOKUP($B349,'FRS geographical categories'!$A$2:$C$45,3,FALSE)</f>
        <v>Non-metropolitan</v>
      </c>
      <c r="G349" s="98">
        <v>0</v>
      </c>
    </row>
    <row r="350" spans="1:7" ht="15.5" x14ac:dyDescent="0.35">
      <c r="A350" s="224" t="s">
        <v>53</v>
      </c>
      <c r="B350" s="224" t="s">
        <v>24</v>
      </c>
      <c r="C350" s="224" t="s">
        <v>102</v>
      </c>
      <c r="D350" s="224" t="s">
        <v>257</v>
      </c>
      <c r="E350" s="224" t="str">
        <f>VLOOKUP($B350,'FRS geographical categories'!$A$2:$C$45,2,FALSE)</f>
        <v>Significantly Rural</v>
      </c>
      <c r="F350" s="224" t="str">
        <f>VLOOKUP($B350,'FRS geographical categories'!$A$2:$C$45,3,FALSE)</f>
        <v>Non-metropolitan</v>
      </c>
      <c r="G350" s="98">
        <v>0</v>
      </c>
    </row>
    <row r="351" spans="1:7" ht="15.5" x14ac:dyDescent="0.35">
      <c r="A351" s="224" t="s">
        <v>53</v>
      </c>
      <c r="B351" s="224" t="s">
        <v>24</v>
      </c>
      <c r="C351" s="224" t="s">
        <v>105</v>
      </c>
      <c r="D351" s="224" t="s">
        <v>257</v>
      </c>
      <c r="E351" s="224" t="str">
        <f>VLOOKUP($B351,'FRS geographical categories'!$A$2:$C$45,2,FALSE)</f>
        <v>Significantly Rural</v>
      </c>
      <c r="F351" s="224" t="str">
        <f>VLOOKUP($B351,'FRS geographical categories'!$A$2:$C$45,3,FALSE)</f>
        <v>Non-metropolitan</v>
      </c>
      <c r="G351" s="98">
        <v>0</v>
      </c>
    </row>
    <row r="352" spans="1:7" ht="15.5" x14ac:dyDescent="0.35">
      <c r="A352" s="224" t="s">
        <v>53</v>
      </c>
      <c r="B352" s="224" t="s">
        <v>24</v>
      </c>
      <c r="C352" s="224" t="s">
        <v>106</v>
      </c>
      <c r="D352" s="224" t="s">
        <v>257</v>
      </c>
      <c r="E352" s="224" t="str">
        <f>VLOOKUP($B352,'FRS geographical categories'!$A$2:$C$45,2,FALSE)</f>
        <v>Significantly Rural</v>
      </c>
      <c r="F352" s="224" t="str">
        <f>VLOOKUP($B352,'FRS geographical categories'!$A$2:$C$45,3,FALSE)</f>
        <v>Non-metropolitan</v>
      </c>
      <c r="G352" s="98">
        <v>590</v>
      </c>
    </row>
    <row r="353" spans="1:7" ht="15.5" x14ac:dyDescent="0.35">
      <c r="A353" s="224" t="s">
        <v>53</v>
      </c>
      <c r="B353" s="224" t="s">
        <v>24</v>
      </c>
      <c r="C353" s="224" t="s">
        <v>107</v>
      </c>
      <c r="D353" s="224" t="s">
        <v>257</v>
      </c>
      <c r="E353" s="224" t="str">
        <f>VLOOKUP($B353,'FRS geographical categories'!$A$2:$C$45,2,FALSE)</f>
        <v>Significantly Rural</v>
      </c>
      <c r="F353" s="224" t="str">
        <f>VLOOKUP($B353,'FRS geographical categories'!$A$2:$C$45,3,FALSE)</f>
        <v>Non-metropolitan</v>
      </c>
      <c r="G353" s="98">
        <v>1480</v>
      </c>
    </row>
    <row r="354" spans="1:7" ht="15.5" x14ac:dyDescent="0.35">
      <c r="A354" s="224" t="s">
        <v>53</v>
      </c>
      <c r="B354" s="224" t="s">
        <v>24</v>
      </c>
      <c r="C354" s="224" t="s">
        <v>108</v>
      </c>
      <c r="D354" s="224" t="s">
        <v>257</v>
      </c>
      <c r="E354" s="224" t="str">
        <f>VLOOKUP($B354,'FRS geographical categories'!$A$2:$C$45,2,FALSE)</f>
        <v>Significantly Rural</v>
      </c>
      <c r="F354" s="224" t="str">
        <f>VLOOKUP($B354,'FRS geographical categories'!$A$2:$C$45,3,FALSE)</f>
        <v>Non-metropolitan</v>
      </c>
      <c r="G354" s="98">
        <v>5919</v>
      </c>
    </row>
    <row r="355" spans="1:7" ht="15.5" x14ac:dyDescent="0.35">
      <c r="A355" s="224" t="s">
        <v>53</v>
      </c>
      <c r="B355" s="224" t="s">
        <v>24</v>
      </c>
      <c r="C355" s="224" t="s">
        <v>109</v>
      </c>
      <c r="D355" s="224" t="s">
        <v>257</v>
      </c>
      <c r="E355" s="224" t="str">
        <f>VLOOKUP($B355,'FRS geographical categories'!$A$2:$C$45,2,FALSE)</f>
        <v>Significantly Rural</v>
      </c>
      <c r="F355" s="224" t="str">
        <f>VLOOKUP($B355,'FRS geographical categories'!$A$2:$C$45,3,FALSE)</f>
        <v>Non-metropolitan</v>
      </c>
      <c r="G355" s="98">
        <v>24</v>
      </c>
    </row>
    <row r="356" spans="1:7" ht="15.5" x14ac:dyDescent="0.35">
      <c r="A356" s="224" t="s">
        <v>53</v>
      </c>
      <c r="B356" s="224" t="s">
        <v>25</v>
      </c>
      <c r="C356" s="224" t="s">
        <v>102</v>
      </c>
      <c r="D356" s="224" t="s">
        <v>257</v>
      </c>
      <c r="E356" s="224" t="str">
        <f>VLOOKUP($B356,'FRS geographical categories'!$A$2:$C$45,2,FALSE)</f>
        <v>Significantly Rural</v>
      </c>
      <c r="F356" s="224" t="str">
        <f>VLOOKUP($B356,'FRS geographical categories'!$A$2:$C$45,3,FALSE)</f>
        <v>Non-metropolitan</v>
      </c>
      <c r="G356" s="98">
        <v>600</v>
      </c>
    </row>
    <row r="357" spans="1:7" ht="15.5" x14ac:dyDescent="0.35">
      <c r="A357" s="224" t="s">
        <v>53</v>
      </c>
      <c r="B357" s="224" t="s">
        <v>25</v>
      </c>
      <c r="C357" s="224" t="s">
        <v>105</v>
      </c>
      <c r="D357" s="224" t="s">
        <v>257</v>
      </c>
      <c r="E357" s="224" t="str">
        <f>VLOOKUP($B357,'FRS geographical categories'!$A$2:$C$45,2,FALSE)</f>
        <v>Significantly Rural</v>
      </c>
      <c r="F357" s="224" t="str">
        <f>VLOOKUP($B357,'FRS geographical categories'!$A$2:$C$45,3,FALSE)</f>
        <v>Non-metropolitan</v>
      </c>
      <c r="G357" s="98">
        <v>0</v>
      </c>
    </row>
    <row r="358" spans="1:7" ht="15.5" x14ac:dyDescent="0.35">
      <c r="A358" s="224" t="s">
        <v>53</v>
      </c>
      <c r="B358" s="224" t="s">
        <v>25</v>
      </c>
      <c r="C358" s="224" t="s">
        <v>106</v>
      </c>
      <c r="D358" s="224" t="s">
        <v>257</v>
      </c>
      <c r="E358" s="224" t="str">
        <f>VLOOKUP($B358,'FRS geographical categories'!$A$2:$C$45,2,FALSE)</f>
        <v>Significantly Rural</v>
      </c>
      <c r="F358" s="224" t="str">
        <f>VLOOKUP($B358,'FRS geographical categories'!$A$2:$C$45,3,FALSE)</f>
        <v>Non-metropolitan</v>
      </c>
      <c r="G358" s="98">
        <v>7825</v>
      </c>
    </row>
    <row r="359" spans="1:7" ht="15.5" x14ac:dyDescent="0.35">
      <c r="A359" s="224" t="s">
        <v>53</v>
      </c>
      <c r="B359" s="224" t="s">
        <v>25</v>
      </c>
      <c r="C359" s="224" t="s">
        <v>107</v>
      </c>
      <c r="D359" s="224" t="s">
        <v>257</v>
      </c>
      <c r="E359" s="224" t="str">
        <f>VLOOKUP($B359,'FRS geographical categories'!$A$2:$C$45,2,FALSE)</f>
        <v>Significantly Rural</v>
      </c>
      <c r="F359" s="224" t="str">
        <f>VLOOKUP($B359,'FRS geographical categories'!$A$2:$C$45,3,FALSE)</f>
        <v>Non-metropolitan</v>
      </c>
      <c r="G359" s="98">
        <v>0</v>
      </c>
    </row>
    <row r="360" spans="1:7" ht="15.5" x14ac:dyDescent="0.35">
      <c r="A360" s="224" t="s">
        <v>53</v>
      </c>
      <c r="B360" s="224" t="s">
        <v>25</v>
      </c>
      <c r="C360" s="224" t="s">
        <v>108</v>
      </c>
      <c r="D360" s="224" t="s">
        <v>257</v>
      </c>
      <c r="E360" s="224" t="str">
        <f>VLOOKUP($B360,'FRS geographical categories'!$A$2:$C$45,2,FALSE)</f>
        <v>Significantly Rural</v>
      </c>
      <c r="F360" s="224" t="str">
        <f>VLOOKUP($B360,'FRS geographical categories'!$A$2:$C$45,3,FALSE)</f>
        <v>Non-metropolitan</v>
      </c>
      <c r="G360" s="98">
        <v>0</v>
      </c>
    </row>
    <row r="361" spans="1:7" ht="15.5" x14ac:dyDescent="0.35">
      <c r="A361" s="224" t="s">
        <v>53</v>
      </c>
      <c r="B361" s="224" t="s">
        <v>25</v>
      </c>
      <c r="C361" s="224" t="s">
        <v>109</v>
      </c>
      <c r="D361" s="224" t="s">
        <v>257</v>
      </c>
      <c r="E361" s="224" t="str">
        <f>VLOOKUP($B361,'FRS geographical categories'!$A$2:$C$45,2,FALSE)</f>
        <v>Significantly Rural</v>
      </c>
      <c r="F361" s="224" t="str">
        <f>VLOOKUP($B361,'FRS geographical categories'!$A$2:$C$45,3,FALSE)</f>
        <v>Non-metropolitan</v>
      </c>
      <c r="G361" s="98">
        <v>89</v>
      </c>
    </row>
    <row r="362" spans="1:7" ht="15.5" x14ac:dyDescent="0.35">
      <c r="A362" s="224" t="s">
        <v>53</v>
      </c>
      <c r="B362" s="224" t="s">
        <v>26</v>
      </c>
      <c r="C362" s="224" t="s">
        <v>102</v>
      </c>
      <c r="D362" s="224" t="s">
        <v>257</v>
      </c>
      <c r="E362" s="224" t="str">
        <f>VLOOKUP($B362,'FRS geographical categories'!$A$2:$C$45,2,FALSE)</f>
        <v>Predominantly Urban</v>
      </c>
      <c r="F362" s="224" t="str">
        <f>VLOOKUP($B362,'FRS geographical categories'!$A$2:$C$45,3,FALSE)</f>
        <v>Metropolitan</v>
      </c>
      <c r="G362" s="98">
        <v>0</v>
      </c>
    </row>
    <row r="363" spans="1:7" ht="15.5" x14ac:dyDescent="0.35">
      <c r="A363" s="224" t="s">
        <v>53</v>
      </c>
      <c r="B363" s="224" t="s">
        <v>26</v>
      </c>
      <c r="C363" s="224" t="s">
        <v>105</v>
      </c>
      <c r="D363" s="224" t="s">
        <v>257</v>
      </c>
      <c r="E363" s="224" t="str">
        <f>VLOOKUP($B363,'FRS geographical categories'!$A$2:$C$45,2,FALSE)</f>
        <v>Predominantly Urban</v>
      </c>
      <c r="F363" s="224" t="str">
        <f>VLOOKUP($B363,'FRS geographical categories'!$A$2:$C$45,3,FALSE)</f>
        <v>Metropolitan</v>
      </c>
      <c r="G363" s="98">
        <v>0</v>
      </c>
    </row>
    <row r="364" spans="1:7" ht="15.5" x14ac:dyDescent="0.35">
      <c r="A364" s="224" t="s">
        <v>53</v>
      </c>
      <c r="B364" s="224" t="s">
        <v>26</v>
      </c>
      <c r="C364" s="224" t="s">
        <v>106</v>
      </c>
      <c r="D364" s="224" t="s">
        <v>257</v>
      </c>
      <c r="E364" s="224" t="str">
        <f>VLOOKUP($B364,'FRS geographical categories'!$A$2:$C$45,2,FALSE)</f>
        <v>Predominantly Urban</v>
      </c>
      <c r="F364" s="224" t="str">
        <f>VLOOKUP($B364,'FRS geographical categories'!$A$2:$C$45,3,FALSE)</f>
        <v>Metropolitan</v>
      </c>
      <c r="G364" s="98">
        <v>355029</v>
      </c>
    </row>
    <row r="365" spans="1:7" ht="15.5" x14ac:dyDescent="0.35">
      <c r="A365" s="224" t="s">
        <v>53</v>
      </c>
      <c r="B365" s="224" t="s">
        <v>26</v>
      </c>
      <c r="C365" s="224" t="s">
        <v>107</v>
      </c>
      <c r="D365" s="224" t="s">
        <v>257</v>
      </c>
      <c r="E365" s="224" t="str">
        <f>VLOOKUP($B365,'FRS geographical categories'!$A$2:$C$45,2,FALSE)</f>
        <v>Predominantly Urban</v>
      </c>
      <c r="F365" s="224" t="str">
        <f>VLOOKUP($B365,'FRS geographical categories'!$A$2:$C$45,3,FALSE)</f>
        <v>Metropolitan</v>
      </c>
      <c r="G365" s="98">
        <v>0</v>
      </c>
    </row>
    <row r="366" spans="1:7" ht="15.5" x14ac:dyDescent="0.35">
      <c r="A366" s="224" t="s">
        <v>53</v>
      </c>
      <c r="B366" s="224" t="s">
        <v>26</v>
      </c>
      <c r="C366" s="224" t="s">
        <v>108</v>
      </c>
      <c r="D366" s="224" t="s">
        <v>257</v>
      </c>
      <c r="E366" s="224" t="str">
        <f>VLOOKUP($B366,'FRS geographical categories'!$A$2:$C$45,2,FALSE)</f>
        <v>Predominantly Urban</v>
      </c>
      <c r="F366" s="224" t="str">
        <f>VLOOKUP($B366,'FRS geographical categories'!$A$2:$C$45,3,FALSE)</f>
        <v>Metropolitan</v>
      </c>
      <c r="G366" s="98">
        <v>482</v>
      </c>
    </row>
    <row r="367" spans="1:7" ht="15.5" x14ac:dyDescent="0.35">
      <c r="A367" s="224" t="s">
        <v>53</v>
      </c>
      <c r="B367" s="224" t="s">
        <v>26</v>
      </c>
      <c r="C367" s="224" t="s">
        <v>109</v>
      </c>
      <c r="D367" s="224" t="s">
        <v>257</v>
      </c>
      <c r="E367" s="224" t="str">
        <f>VLOOKUP($B367,'FRS geographical categories'!$A$2:$C$45,2,FALSE)</f>
        <v>Predominantly Urban</v>
      </c>
      <c r="F367" s="224" t="str">
        <f>VLOOKUP($B367,'FRS geographical categories'!$A$2:$C$45,3,FALSE)</f>
        <v>Metropolitan</v>
      </c>
      <c r="G367" s="98">
        <v>0</v>
      </c>
    </row>
    <row r="368" spans="1:7" ht="15.5" x14ac:dyDescent="0.35">
      <c r="A368" s="224" t="s">
        <v>53</v>
      </c>
      <c r="B368" s="224" t="s">
        <v>27</v>
      </c>
      <c r="C368" s="224" t="s">
        <v>102</v>
      </c>
      <c r="D368" s="224" t="s">
        <v>257</v>
      </c>
      <c r="E368" s="224" t="str">
        <f>VLOOKUP($B368,'FRS geographical categories'!$A$2:$C$45,2,FALSE)</f>
        <v>Predominantly Urban</v>
      </c>
      <c r="F368" s="224" t="str">
        <f>VLOOKUP($B368,'FRS geographical categories'!$A$2:$C$45,3,FALSE)</f>
        <v>Metropolitan</v>
      </c>
      <c r="G368" s="98">
        <v>4868</v>
      </c>
    </row>
    <row r="369" spans="1:7" ht="15.5" x14ac:dyDescent="0.35">
      <c r="A369" s="224" t="s">
        <v>53</v>
      </c>
      <c r="B369" s="224" t="s">
        <v>27</v>
      </c>
      <c r="C369" s="224" t="s">
        <v>105</v>
      </c>
      <c r="D369" s="224" t="s">
        <v>257</v>
      </c>
      <c r="E369" s="224" t="str">
        <f>VLOOKUP($B369,'FRS geographical categories'!$A$2:$C$45,2,FALSE)</f>
        <v>Predominantly Urban</v>
      </c>
      <c r="F369" s="224" t="str">
        <f>VLOOKUP($B369,'FRS geographical categories'!$A$2:$C$45,3,FALSE)</f>
        <v>Metropolitan</v>
      </c>
      <c r="G369" s="98">
        <v>0</v>
      </c>
    </row>
    <row r="370" spans="1:7" ht="15.5" x14ac:dyDescent="0.35">
      <c r="A370" s="224" t="s">
        <v>53</v>
      </c>
      <c r="B370" s="224" t="s">
        <v>27</v>
      </c>
      <c r="C370" s="224" t="s">
        <v>106</v>
      </c>
      <c r="D370" s="224" t="s">
        <v>257</v>
      </c>
      <c r="E370" s="224" t="str">
        <f>VLOOKUP($B370,'FRS geographical categories'!$A$2:$C$45,2,FALSE)</f>
        <v>Predominantly Urban</v>
      </c>
      <c r="F370" s="224" t="str">
        <f>VLOOKUP($B370,'FRS geographical categories'!$A$2:$C$45,3,FALSE)</f>
        <v>Metropolitan</v>
      </c>
      <c r="G370" s="98">
        <v>39564</v>
      </c>
    </row>
    <row r="371" spans="1:7" ht="15.5" x14ac:dyDescent="0.35">
      <c r="A371" s="224" t="s">
        <v>53</v>
      </c>
      <c r="B371" s="224" t="s">
        <v>27</v>
      </c>
      <c r="C371" s="224" t="s">
        <v>107</v>
      </c>
      <c r="D371" s="224" t="s">
        <v>257</v>
      </c>
      <c r="E371" s="224" t="str">
        <f>VLOOKUP($B371,'FRS geographical categories'!$A$2:$C$45,2,FALSE)</f>
        <v>Predominantly Urban</v>
      </c>
      <c r="F371" s="224" t="str">
        <f>VLOOKUP($B371,'FRS geographical categories'!$A$2:$C$45,3,FALSE)</f>
        <v>Metropolitan</v>
      </c>
      <c r="G371" s="98">
        <v>63</v>
      </c>
    </row>
    <row r="372" spans="1:7" ht="15.5" x14ac:dyDescent="0.35">
      <c r="A372" s="224" t="s">
        <v>53</v>
      </c>
      <c r="B372" s="224" t="s">
        <v>27</v>
      </c>
      <c r="C372" s="224" t="s">
        <v>108</v>
      </c>
      <c r="D372" s="224" t="s">
        <v>257</v>
      </c>
      <c r="E372" s="224" t="str">
        <f>VLOOKUP($B372,'FRS geographical categories'!$A$2:$C$45,2,FALSE)</f>
        <v>Predominantly Urban</v>
      </c>
      <c r="F372" s="224" t="str">
        <f>VLOOKUP($B372,'FRS geographical categories'!$A$2:$C$45,3,FALSE)</f>
        <v>Metropolitan</v>
      </c>
      <c r="G372" s="98">
        <v>19</v>
      </c>
    </row>
    <row r="373" spans="1:7" ht="15.5" x14ac:dyDescent="0.35">
      <c r="A373" s="224" t="s">
        <v>53</v>
      </c>
      <c r="B373" s="224" t="s">
        <v>27</v>
      </c>
      <c r="C373" s="224" t="s">
        <v>109</v>
      </c>
      <c r="D373" s="224" t="s">
        <v>257</v>
      </c>
      <c r="E373" s="224" t="str">
        <f>VLOOKUP($B373,'FRS geographical categories'!$A$2:$C$45,2,FALSE)</f>
        <v>Predominantly Urban</v>
      </c>
      <c r="F373" s="224" t="str">
        <f>VLOOKUP($B373,'FRS geographical categories'!$A$2:$C$45,3,FALSE)</f>
        <v>Metropolitan</v>
      </c>
      <c r="G373" s="98">
        <v>0</v>
      </c>
    </row>
    <row r="374" spans="1:7" ht="15.5" x14ac:dyDescent="0.35">
      <c r="A374" s="224" t="s">
        <v>53</v>
      </c>
      <c r="B374" s="224" t="s">
        <v>93</v>
      </c>
      <c r="C374" s="224" t="s">
        <v>102</v>
      </c>
      <c r="D374" s="224" t="s">
        <v>257</v>
      </c>
      <c r="E374" s="224" t="str">
        <f>VLOOKUP($B374,'FRS geographical categories'!$A$2:$C$45,2,FALSE)</f>
        <v>Significantly Rural</v>
      </c>
      <c r="F374" s="224" t="str">
        <f>VLOOKUP($B374,'FRS geographical categories'!$A$2:$C$45,3,FALSE)</f>
        <v>Non-metropolitan</v>
      </c>
      <c r="G374" s="98">
        <v>5449</v>
      </c>
    </row>
    <row r="375" spans="1:7" ht="15.5" x14ac:dyDescent="0.35">
      <c r="A375" s="224" t="s">
        <v>53</v>
      </c>
      <c r="B375" s="224" t="s">
        <v>93</v>
      </c>
      <c r="C375" s="224" t="s">
        <v>105</v>
      </c>
      <c r="D375" s="224" t="s">
        <v>257</v>
      </c>
      <c r="E375" s="224" t="str">
        <f>VLOOKUP($B375,'FRS geographical categories'!$A$2:$C$45,2,FALSE)</f>
        <v>Significantly Rural</v>
      </c>
      <c r="F375" s="224" t="str">
        <f>VLOOKUP($B375,'FRS geographical categories'!$A$2:$C$45,3,FALSE)</f>
        <v>Non-metropolitan</v>
      </c>
      <c r="G375" s="98">
        <v>116</v>
      </c>
    </row>
    <row r="376" spans="1:7" ht="15.5" x14ac:dyDescent="0.35">
      <c r="A376" s="224" t="s">
        <v>53</v>
      </c>
      <c r="B376" s="224" t="s">
        <v>93</v>
      </c>
      <c r="C376" s="224" t="s">
        <v>106</v>
      </c>
      <c r="D376" s="224" t="s">
        <v>257</v>
      </c>
      <c r="E376" s="224" t="str">
        <f>VLOOKUP($B376,'FRS geographical categories'!$A$2:$C$45,2,FALSE)</f>
        <v>Significantly Rural</v>
      </c>
      <c r="F376" s="224" t="str">
        <f>VLOOKUP($B376,'FRS geographical categories'!$A$2:$C$45,3,FALSE)</f>
        <v>Non-metropolitan</v>
      </c>
      <c r="G376" s="98">
        <v>13804</v>
      </c>
    </row>
    <row r="377" spans="1:7" ht="15.5" x14ac:dyDescent="0.35">
      <c r="A377" s="224" t="s">
        <v>53</v>
      </c>
      <c r="B377" s="224" t="s">
        <v>93</v>
      </c>
      <c r="C377" s="224" t="s">
        <v>107</v>
      </c>
      <c r="D377" s="224" t="s">
        <v>257</v>
      </c>
      <c r="E377" s="224" t="str">
        <f>VLOOKUP($B377,'FRS geographical categories'!$A$2:$C$45,2,FALSE)</f>
        <v>Significantly Rural</v>
      </c>
      <c r="F377" s="224" t="str">
        <f>VLOOKUP($B377,'FRS geographical categories'!$A$2:$C$45,3,FALSE)</f>
        <v>Non-metropolitan</v>
      </c>
      <c r="G377" s="98">
        <v>123</v>
      </c>
    </row>
    <row r="378" spans="1:7" ht="15.5" x14ac:dyDescent="0.35">
      <c r="A378" s="224" t="s">
        <v>53</v>
      </c>
      <c r="B378" s="224" t="s">
        <v>93</v>
      </c>
      <c r="C378" s="224" t="s">
        <v>108</v>
      </c>
      <c r="D378" s="224" t="s">
        <v>257</v>
      </c>
      <c r="E378" s="224" t="str">
        <f>VLOOKUP($B378,'FRS geographical categories'!$A$2:$C$45,2,FALSE)</f>
        <v>Significantly Rural</v>
      </c>
      <c r="F378" s="224" t="str">
        <f>VLOOKUP($B378,'FRS geographical categories'!$A$2:$C$45,3,FALSE)</f>
        <v>Non-metropolitan</v>
      </c>
      <c r="G378" s="98">
        <v>136</v>
      </c>
    </row>
    <row r="379" spans="1:7" ht="15.5" x14ac:dyDescent="0.35">
      <c r="A379" s="224" t="s">
        <v>53</v>
      </c>
      <c r="B379" s="224" t="s">
        <v>93</v>
      </c>
      <c r="C379" s="224" t="s">
        <v>109</v>
      </c>
      <c r="D379" s="224" t="s">
        <v>257</v>
      </c>
      <c r="E379" s="224" t="str">
        <f>VLOOKUP($B379,'FRS geographical categories'!$A$2:$C$45,2,FALSE)</f>
        <v>Significantly Rural</v>
      </c>
      <c r="F379" s="224" t="str">
        <f>VLOOKUP($B379,'FRS geographical categories'!$A$2:$C$45,3,FALSE)</f>
        <v>Non-metropolitan</v>
      </c>
      <c r="G379" s="98">
        <v>21</v>
      </c>
    </row>
    <row r="380" spans="1:7" ht="15.5" x14ac:dyDescent="0.35">
      <c r="A380" s="224" t="s">
        <v>53</v>
      </c>
      <c r="B380" s="224" t="s">
        <v>28</v>
      </c>
      <c r="C380" s="224" t="s">
        <v>102</v>
      </c>
      <c r="D380" s="224" t="s">
        <v>257</v>
      </c>
      <c r="E380" s="224" t="str">
        <f>VLOOKUP($B380,'FRS geographical categories'!$A$2:$C$45,2,FALSE)</f>
        <v>Significantly Rural</v>
      </c>
      <c r="F380" s="224" t="str">
        <f>VLOOKUP($B380,'FRS geographical categories'!$A$2:$C$45,3,FALSE)</f>
        <v>Non-metropolitan</v>
      </c>
      <c r="G380" s="98">
        <v>0</v>
      </c>
    </row>
    <row r="381" spans="1:7" ht="15.5" x14ac:dyDescent="0.35">
      <c r="A381" s="224" t="s">
        <v>53</v>
      </c>
      <c r="B381" s="224" t="s">
        <v>28</v>
      </c>
      <c r="C381" s="224" t="s">
        <v>105</v>
      </c>
      <c r="D381" s="224" t="s">
        <v>257</v>
      </c>
      <c r="E381" s="224" t="str">
        <f>VLOOKUP($B381,'FRS geographical categories'!$A$2:$C$45,2,FALSE)</f>
        <v>Significantly Rural</v>
      </c>
      <c r="F381" s="224" t="str">
        <f>VLOOKUP($B381,'FRS geographical categories'!$A$2:$C$45,3,FALSE)</f>
        <v>Non-metropolitan</v>
      </c>
      <c r="G381" s="98">
        <v>0</v>
      </c>
    </row>
    <row r="382" spans="1:7" ht="15.5" x14ac:dyDescent="0.35">
      <c r="A382" s="224" t="s">
        <v>53</v>
      </c>
      <c r="B382" s="224" t="s">
        <v>28</v>
      </c>
      <c r="C382" s="224" t="s">
        <v>106</v>
      </c>
      <c r="D382" s="224" t="s">
        <v>257</v>
      </c>
      <c r="E382" s="224" t="str">
        <f>VLOOKUP($B382,'FRS geographical categories'!$A$2:$C$45,2,FALSE)</f>
        <v>Significantly Rural</v>
      </c>
      <c r="F382" s="224" t="str">
        <f>VLOOKUP($B382,'FRS geographical categories'!$A$2:$C$45,3,FALSE)</f>
        <v>Non-metropolitan</v>
      </c>
      <c r="G382" s="98">
        <v>4668</v>
      </c>
    </row>
    <row r="383" spans="1:7" ht="15.5" x14ac:dyDescent="0.35">
      <c r="A383" s="224" t="s">
        <v>53</v>
      </c>
      <c r="B383" s="224" t="s">
        <v>28</v>
      </c>
      <c r="C383" s="224" t="s">
        <v>107</v>
      </c>
      <c r="D383" s="224" t="s">
        <v>257</v>
      </c>
      <c r="E383" s="224" t="str">
        <f>VLOOKUP($B383,'FRS geographical categories'!$A$2:$C$45,2,FALSE)</f>
        <v>Significantly Rural</v>
      </c>
      <c r="F383" s="224" t="str">
        <f>VLOOKUP($B383,'FRS geographical categories'!$A$2:$C$45,3,FALSE)</f>
        <v>Non-metropolitan</v>
      </c>
      <c r="G383" s="98">
        <v>0</v>
      </c>
    </row>
    <row r="384" spans="1:7" ht="15.5" x14ac:dyDescent="0.35">
      <c r="A384" s="224" t="s">
        <v>53</v>
      </c>
      <c r="B384" s="224" t="s">
        <v>28</v>
      </c>
      <c r="C384" s="224" t="s">
        <v>108</v>
      </c>
      <c r="D384" s="224" t="s">
        <v>257</v>
      </c>
      <c r="E384" s="224" t="str">
        <f>VLOOKUP($B384,'FRS geographical categories'!$A$2:$C$45,2,FALSE)</f>
        <v>Significantly Rural</v>
      </c>
      <c r="F384" s="224" t="str">
        <f>VLOOKUP($B384,'FRS geographical categories'!$A$2:$C$45,3,FALSE)</f>
        <v>Non-metropolitan</v>
      </c>
      <c r="G384" s="98">
        <v>1324</v>
      </c>
    </row>
    <row r="385" spans="1:7" ht="15.5" x14ac:dyDescent="0.35">
      <c r="A385" s="224" t="s">
        <v>53</v>
      </c>
      <c r="B385" s="224" t="s">
        <v>28</v>
      </c>
      <c r="C385" s="224" t="s">
        <v>109</v>
      </c>
      <c r="D385" s="224" t="s">
        <v>257</v>
      </c>
      <c r="E385" s="224" t="str">
        <f>VLOOKUP($B385,'FRS geographical categories'!$A$2:$C$45,2,FALSE)</f>
        <v>Significantly Rural</v>
      </c>
      <c r="F385" s="224" t="str">
        <f>VLOOKUP($B385,'FRS geographical categories'!$A$2:$C$45,3,FALSE)</f>
        <v>Non-metropolitan</v>
      </c>
      <c r="G385" s="98">
        <v>0</v>
      </c>
    </row>
    <row r="386" spans="1:7" ht="15.5" x14ac:dyDescent="0.35">
      <c r="A386" s="224" t="s">
        <v>53</v>
      </c>
      <c r="B386" s="224" t="s">
        <v>29</v>
      </c>
      <c r="C386" s="224" t="s">
        <v>102</v>
      </c>
      <c r="D386" s="224" t="s">
        <v>257</v>
      </c>
      <c r="E386" s="224" t="str">
        <f>VLOOKUP($B386,'FRS geographical categories'!$A$2:$C$45,2,FALSE)</f>
        <v>Predominantly Urban</v>
      </c>
      <c r="F386" s="224" t="str">
        <f>VLOOKUP($B386,'FRS geographical categories'!$A$2:$C$45,3,FALSE)</f>
        <v>Non-metropolitan</v>
      </c>
      <c r="G386" s="98">
        <v>0</v>
      </c>
    </row>
    <row r="387" spans="1:7" ht="15.5" x14ac:dyDescent="0.35">
      <c r="A387" s="224" t="s">
        <v>53</v>
      </c>
      <c r="B387" s="224" t="s">
        <v>29</v>
      </c>
      <c r="C387" s="224" t="s">
        <v>105</v>
      </c>
      <c r="D387" s="224" t="s">
        <v>257</v>
      </c>
      <c r="E387" s="224" t="str">
        <f>VLOOKUP($B387,'FRS geographical categories'!$A$2:$C$45,2,FALSE)</f>
        <v>Predominantly Urban</v>
      </c>
      <c r="F387" s="224" t="str">
        <f>VLOOKUP($B387,'FRS geographical categories'!$A$2:$C$45,3,FALSE)</f>
        <v>Non-metropolitan</v>
      </c>
      <c r="G387" s="98">
        <v>0</v>
      </c>
    </row>
    <row r="388" spans="1:7" ht="15.5" x14ac:dyDescent="0.35">
      <c r="A388" s="224" t="s">
        <v>53</v>
      </c>
      <c r="B388" s="224" t="s">
        <v>29</v>
      </c>
      <c r="C388" s="224" t="s">
        <v>106</v>
      </c>
      <c r="D388" s="224" t="s">
        <v>257</v>
      </c>
      <c r="E388" s="224" t="str">
        <f>VLOOKUP($B388,'FRS geographical categories'!$A$2:$C$45,2,FALSE)</f>
        <v>Predominantly Urban</v>
      </c>
      <c r="F388" s="224" t="str">
        <f>VLOOKUP($B388,'FRS geographical categories'!$A$2:$C$45,3,FALSE)</f>
        <v>Non-metropolitan</v>
      </c>
      <c r="G388" s="98">
        <v>6749</v>
      </c>
    </row>
    <row r="389" spans="1:7" ht="15.5" x14ac:dyDescent="0.35">
      <c r="A389" s="224" t="s">
        <v>53</v>
      </c>
      <c r="B389" s="224" t="s">
        <v>29</v>
      </c>
      <c r="C389" s="224" t="s">
        <v>107</v>
      </c>
      <c r="D389" s="224" t="s">
        <v>257</v>
      </c>
      <c r="E389" s="224" t="str">
        <f>VLOOKUP($B389,'FRS geographical categories'!$A$2:$C$45,2,FALSE)</f>
        <v>Predominantly Urban</v>
      </c>
      <c r="F389" s="224" t="str">
        <f>VLOOKUP($B389,'FRS geographical categories'!$A$2:$C$45,3,FALSE)</f>
        <v>Non-metropolitan</v>
      </c>
      <c r="G389" s="98">
        <v>0</v>
      </c>
    </row>
    <row r="390" spans="1:7" ht="15.5" x14ac:dyDescent="0.35">
      <c r="A390" s="224" t="s">
        <v>53</v>
      </c>
      <c r="B390" s="224" t="s">
        <v>29</v>
      </c>
      <c r="C390" s="224" t="s">
        <v>108</v>
      </c>
      <c r="D390" s="224" t="s">
        <v>257</v>
      </c>
      <c r="E390" s="224" t="str">
        <f>VLOOKUP($B390,'FRS geographical categories'!$A$2:$C$45,2,FALSE)</f>
        <v>Predominantly Urban</v>
      </c>
      <c r="F390" s="224" t="str">
        <f>VLOOKUP($B390,'FRS geographical categories'!$A$2:$C$45,3,FALSE)</f>
        <v>Non-metropolitan</v>
      </c>
      <c r="G390" s="98">
        <v>2643</v>
      </c>
    </row>
    <row r="391" spans="1:7" ht="15.5" x14ac:dyDescent="0.35">
      <c r="A391" s="224" t="s">
        <v>53</v>
      </c>
      <c r="B391" s="224" t="s">
        <v>29</v>
      </c>
      <c r="C391" s="224" t="s">
        <v>109</v>
      </c>
      <c r="D391" s="224" t="s">
        <v>257</v>
      </c>
      <c r="E391" s="224" t="str">
        <f>VLOOKUP($B391,'FRS geographical categories'!$A$2:$C$45,2,FALSE)</f>
        <v>Predominantly Urban</v>
      </c>
      <c r="F391" s="224" t="str">
        <f>VLOOKUP($B391,'FRS geographical categories'!$A$2:$C$45,3,FALSE)</f>
        <v>Non-metropolitan</v>
      </c>
      <c r="G391" s="98">
        <v>0</v>
      </c>
    </row>
    <row r="392" spans="1:7" ht="15.5" x14ac:dyDescent="0.35">
      <c r="A392" s="224" t="s">
        <v>53</v>
      </c>
      <c r="B392" s="224" t="s">
        <v>30</v>
      </c>
      <c r="C392" s="224" t="s">
        <v>102</v>
      </c>
      <c r="D392" s="224" t="s">
        <v>257</v>
      </c>
      <c r="E392" s="224" t="str">
        <f>VLOOKUP($B392,'FRS geographical categories'!$A$2:$C$45,2,FALSE)</f>
        <v>Significantly Rural</v>
      </c>
      <c r="F392" s="224" t="str">
        <f>VLOOKUP($B392,'FRS geographical categories'!$A$2:$C$45,3,FALSE)</f>
        <v>Non-metropolitan</v>
      </c>
      <c r="G392" s="98">
        <v>2137</v>
      </c>
    </row>
    <row r="393" spans="1:7" ht="15.5" x14ac:dyDescent="0.35">
      <c r="A393" s="224" t="s">
        <v>53</v>
      </c>
      <c r="B393" s="224" t="s">
        <v>30</v>
      </c>
      <c r="C393" s="224" t="s">
        <v>105</v>
      </c>
      <c r="D393" s="224" t="s">
        <v>257</v>
      </c>
      <c r="E393" s="224" t="str">
        <f>VLOOKUP($B393,'FRS geographical categories'!$A$2:$C$45,2,FALSE)</f>
        <v>Significantly Rural</v>
      </c>
      <c r="F393" s="224" t="str">
        <f>VLOOKUP($B393,'FRS geographical categories'!$A$2:$C$45,3,FALSE)</f>
        <v>Non-metropolitan</v>
      </c>
      <c r="G393" s="98">
        <v>0</v>
      </c>
    </row>
    <row r="394" spans="1:7" ht="15.5" x14ac:dyDescent="0.35">
      <c r="A394" s="224" t="s">
        <v>53</v>
      </c>
      <c r="B394" s="224" t="s">
        <v>30</v>
      </c>
      <c r="C394" s="224" t="s">
        <v>106</v>
      </c>
      <c r="D394" s="224" t="s">
        <v>257</v>
      </c>
      <c r="E394" s="224" t="str">
        <f>VLOOKUP($B394,'FRS geographical categories'!$A$2:$C$45,2,FALSE)</f>
        <v>Significantly Rural</v>
      </c>
      <c r="F394" s="224" t="str">
        <f>VLOOKUP($B394,'FRS geographical categories'!$A$2:$C$45,3,FALSE)</f>
        <v>Non-metropolitan</v>
      </c>
      <c r="G394" s="98">
        <v>4660</v>
      </c>
    </row>
    <row r="395" spans="1:7" ht="15.5" x14ac:dyDescent="0.35">
      <c r="A395" s="224" t="s">
        <v>53</v>
      </c>
      <c r="B395" s="224" t="s">
        <v>30</v>
      </c>
      <c r="C395" s="224" t="s">
        <v>107</v>
      </c>
      <c r="D395" s="224" t="s">
        <v>257</v>
      </c>
      <c r="E395" s="224" t="str">
        <f>VLOOKUP($B395,'FRS geographical categories'!$A$2:$C$45,2,FALSE)</f>
        <v>Significantly Rural</v>
      </c>
      <c r="F395" s="224" t="str">
        <f>VLOOKUP($B395,'FRS geographical categories'!$A$2:$C$45,3,FALSE)</f>
        <v>Non-metropolitan</v>
      </c>
      <c r="G395" s="98">
        <v>238</v>
      </c>
    </row>
    <row r="396" spans="1:7" ht="15.5" x14ac:dyDescent="0.35">
      <c r="A396" s="224" t="s">
        <v>53</v>
      </c>
      <c r="B396" s="224" t="s">
        <v>30</v>
      </c>
      <c r="C396" s="224" t="s">
        <v>108</v>
      </c>
      <c r="D396" s="224" t="s">
        <v>257</v>
      </c>
      <c r="E396" s="224" t="str">
        <f>VLOOKUP($B396,'FRS geographical categories'!$A$2:$C$45,2,FALSE)</f>
        <v>Significantly Rural</v>
      </c>
      <c r="F396" s="224" t="str">
        <f>VLOOKUP($B396,'FRS geographical categories'!$A$2:$C$45,3,FALSE)</f>
        <v>Non-metropolitan</v>
      </c>
      <c r="G396" s="98">
        <v>0</v>
      </c>
    </row>
    <row r="397" spans="1:7" ht="15.5" x14ac:dyDescent="0.35">
      <c r="A397" s="224" t="s">
        <v>53</v>
      </c>
      <c r="B397" s="224" t="s">
        <v>30</v>
      </c>
      <c r="C397" s="224" t="s">
        <v>109</v>
      </c>
      <c r="D397" s="224" t="s">
        <v>257</v>
      </c>
      <c r="E397" s="224" t="str">
        <f>VLOOKUP($B397,'FRS geographical categories'!$A$2:$C$45,2,FALSE)</f>
        <v>Significantly Rural</v>
      </c>
      <c r="F397" s="224" t="str">
        <f>VLOOKUP($B397,'FRS geographical categories'!$A$2:$C$45,3,FALSE)</f>
        <v>Non-metropolitan</v>
      </c>
      <c r="G397" s="98">
        <v>0</v>
      </c>
    </row>
    <row r="398" spans="1:7" ht="15.5" x14ac:dyDescent="0.35">
      <c r="A398" s="224" t="s">
        <v>53</v>
      </c>
      <c r="B398" s="224" t="s">
        <v>31</v>
      </c>
      <c r="C398" s="224" t="s">
        <v>102</v>
      </c>
      <c r="D398" s="224" t="s">
        <v>257</v>
      </c>
      <c r="E398" s="224" t="str">
        <f>VLOOKUP($B398,'FRS geographical categories'!$A$2:$C$45,2,FALSE)</f>
        <v>Predominantly Rural</v>
      </c>
      <c r="F398" s="224" t="str">
        <f>VLOOKUP($B398,'FRS geographical categories'!$A$2:$C$45,3,FALSE)</f>
        <v>Non-metropolitan</v>
      </c>
      <c r="G398" s="98">
        <v>0</v>
      </c>
    </row>
    <row r="399" spans="1:7" ht="15.5" x14ac:dyDescent="0.35">
      <c r="A399" s="224" t="s">
        <v>53</v>
      </c>
      <c r="B399" s="224" t="s">
        <v>31</v>
      </c>
      <c r="C399" s="224" t="s">
        <v>105</v>
      </c>
      <c r="D399" s="224" t="s">
        <v>257</v>
      </c>
      <c r="E399" s="224" t="str">
        <f>VLOOKUP($B399,'FRS geographical categories'!$A$2:$C$45,2,FALSE)</f>
        <v>Predominantly Rural</v>
      </c>
      <c r="F399" s="224" t="str">
        <f>VLOOKUP($B399,'FRS geographical categories'!$A$2:$C$45,3,FALSE)</f>
        <v>Non-metropolitan</v>
      </c>
      <c r="G399" s="98">
        <v>0</v>
      </c>
    </row>
    <row r="400" spans="1:7" ht="15.5" x14ac:dyDescent="0.35">
      <c r="A400" s="224" t="s">
        <v>53</v>
      </c>
      <c r="B400" s="224" t="s">
        <v>31</v>
      </c>
      <c r="C400" s="224" t="s">
        <v>106</v>
      </c>
      <c r="D400" s="224" t="s">
        <v>257</v>
      </c>
      <c r="E400" s="224" t="str">
        <f>VLOOKUP($B400,'FRS geographical categories'!$A$2:$C$45,2,FALSE)</f>
        <v>Predominantly Rural</v>
      </c>
      <c r="F400" s="224" t="str">
        <f>VLOOKUP($B400,'FRS geographical categories'!$A$2:$C$45,3,FALSE)</f>
        <v>Non-metropolitan</v>
      </c>
      <c r="G400" s="98">
        <v>82</v>
      </c>
    </row>
    <row r="401" spans="1:7" ht="15.5" x14ac:dyDescent="0.35">
      <c r="A401" s="224" t="s">
        <v>53</v>
      </c>
      <c r="B401" s="224" t="s">
        <v>31</v>
      </c>
      <c r="C401" s="224" t="s">
        <v>107</v>
      </c>
      <c r="D401" s="224" t="s">
        <v>257</v>
      </c>
      <c r="E401" s="224" t="str">
        <f>VLOOKUP($B401,'FRS geographical categories'!$A$2:$C$45,2,FALSE)</f>
        <v>Predominantly Rural</v>
      </c>
      <c r="F401" s="224" t="str">
        <f>VLOOKUP($B401,'FRS geographical categories'!$A$2:$C$45,3,FALSE)</f>
        <v>Non-metropolitan</v>
      </c>
      <c r="G401" s="98">
        <v>0</v>
      </c>
    </row>
    <row r="402" spans="1:7" ht="15.5" x14ac:dyDescent="0.35">
      <c r="A402" s="224" t="s">
        <v>53</v>
      </c>
      <c r="B402" s="224" t="s">
        <v>31</v>
      </c>
      <c r="C402" s="224" t="s">
        <v>108</v>
      </c>
      <c r="D402" s="224" t="s">
        <v>257</v>
      </c>
      <c r="E402" s="224" t="str">
        <f>VLOOKUP($B402,'FRS geographical categories'!$A$2:$C$45,2,FALSE)</f>
        <v>Predominantly Rural</v>
      </c>
      <c r="F402" s="224" t="str">
        <f>VLOOKUP($B402,'FRS geographical categories'!$A$2:$C$45,3,FALSE)</f>
        <v>Non-metropolitan</v>
      </c>
      <c r="G402" s="98">
        <v>0</v>
      </c>
    </row>
    <row r="403" spans="1:7" ht="15.5" x14ac:dyDescent="0.35">
      <c r="A403" s="224" t="s">
        <v>53</v>
      </c>
      <c r="B403" s="224" t="s">
        <v>31</v>
      </c>
      <c r="C403" s="224" t="s">
        <v>109</v>
      </c>
      <c r="D403" s="224" t="s">
        <v>257</v>
      </c>
      <c r="E403" s="224" t="str">
        <f>VLOOKUP($B403,'FRS geographical categories'!$A$2:$C$45,2,FALSE)</f>
        <v>Predominantly Rural</v>
      </c>
      <c r="F403" s="224" t="str">
        <f>VLOOKUP($B403,'FRS geographical categories'!$A$2:$C$45,3,FALSE)</f>
        <v>Non-metropolitan</v>
      </c>
      <c r="G403" s="98">
        <v>0</v>
      </c>
    </row>
    <row r="404" spans="1:7" ht="15.5" x14ac:dyDescent="0.35">
      <c r="A404" s="224" t="s">
        <v>53</v>
      </c>
      <c r="B404" s="224" t="s">
        <v>32</v>
      </c>
      <c r="C404" s="224" t="s">
        <v>102</v>
      </c>
      <c r="D404" s="224" t="s">
        <v>257</v>
      </c>
      <c r="E404" s="224" t="str">
        <f>VLOOKUP($B404,'FRS geographical categories'!$A$2:$C$45,2,FALSE)</f>
        <v>Significantly Rural</v>
      </c>
      <c r="F404" s="224" t="str">
        <f>VLOOKUP($B404,'FRS geographical categories'!$A$2:$C$45,3,FALSE)</f>
        <v>Non-metropolitan</v>
      </c>
      <c r="G404" s="98">
        <v>11358</v>
      </c>
    </row>
    <row r="405" spans="1:7" ht="15.5" x14ac:dyDescent="0.35">
      <c r="A405" s="224" t="s">
        <v>53</v>
      </c>
      <c r="B405" s="224" t="s">
        <v>32</v>
      </c>
      <c r="C405" s="224" t="s">
        <v>105</v>
      </c>
      <c r="D405" s="224" t="s">
        <v>257</v>
      </c>
      <c r="E405" s="224" t="str">
        <f>VLOOKUP($B405,'FRS geographical categories'!$A$2:$C$45,2,FALSE)</f>
        <v>Significantly Rural</v>
      </c>
      <c r="F405" s="224" t="str">
        <f>VLOOKUP($B405,'FRS geographical categories'!$A$2:$C$45,3,FALSE)</f>
        <v>Non-metropolitan</v>
      </c>
      <c r="G405" s="98">
        <v>0</v>
      </c>
    </row>
    <row r="406" spans="1:7" ht="15.5" x14ac:dyDescent="0.35">
      <c r="A406" s="224" t="s">
        <v>53</v>
      </c>
      <c r="B406" s="224" t="s">
        <v>32</v>
      </c>
      <c r="C406" s="224" t="s">
        <v>106</v>
      </c>
      <c r="D406" s="224" t="s">
        <v>257</v>
      </c>
      <c r="E406" s="224" t="str">
        <f>VLOOKUP($B406,'FRS geographical categories'!$A$2:$C$45,2,FALSE)</f>
        <v>Significantly Rural</v>
      </c>
      <c r="F406" s="224" t="str">
        <f>VLOOKUP($B406,'FRS geographical categories'!$A$2:$C$45,3,FALSE)</f>
        <v>Non-metropolitan</v>
      </c>
      <c r="G406" s="98">
        <v>18130</v>
      </c>
    </row>
    <row r="407" spans="1:7" ht="15.5" x14ac:dyDescent="0.35">
      <c r="A407" s="224" t="s">
        <v>53</v>
      </c>
      <c r="B407" s="224" t="s">
        <v>32</v>
      </c>
      <c r="C407" s="224" t="s">
        <v>107</v>
      </c>
      <c r="D407" s="224" t="s">
        <v>257</v>
      </c>
      <c r="E407" s="224" t="str">
        <f>VLOOKUP($B407,'FRS geographical categories'!$A$2:$C$45,2,FALSE)</f>
        <v>Significantly Rural</v>
      </c>
      <c r="F407" s="224" t="str">
        <f>VLOOKUP($B407,'FRS geographical categories'!$A$2:$C$45,3,FALSE)</f>
        <v>Non-metropolitan</v>
      </c>
      <c r="G407" s="98">
        <v>0</v>
      </c>
    </row>
    <row r="408" spans="1:7" ht="15.5" x14ac:dyDescent="0.35">
      <c r="A408" s="224" t="s">
        <v>53</v>
      </c>
      <c r="B408" s="224" t="s">
        <v>32</v>
      </c>
      <c r="C408" s="224" t="s">
        <v>108</v>
      </c>
      <c r="D408" s="224" t="s">
        <v>257</v>
      </c>
      <c r="E408" s="224" t="str">
        <f>VLOOKUP($B408,'FRS geographical categories'!$A$2:$C$45,2,FALSE)</f>
        <v>Significantly Rural</v>
      </c>
      <c r="F408" s="224" t="str">
        <f>VLOOKUP($B408,'FRS geographical categories'!$A$2:$C$45,3,FALSE)</f>
        <v>Non-metropolitan</v>
      </c>
      <c r="G408" s="98">
        <v>0</v>
      </c>
    </row>
    <row r="409" spans="1:7" ht="15.5" x14ac:dyDescent="0.35">
      <c r="A409" s="224" t="s">
        <v>53</v>
      </c>
      <c r="B409" s="224" t="s">
        <v>32</v>
      </c>
      <c r="C409" s="224" t="s">
        <v>109</v>
      </c>
      <c r="D409" s="224" t="s">
        <v>257</v>
      </c>
      <c r="E409" s="224" t="str">
        <f>VLOOKUP($B409,'FRS geographical categories'!$A$2:$C$45,2,FALSE)</f>
        <v>Significantly Rural</v>
      </c>
      <c r="F409" s="224" t="str">
        <f>VLOOKUP($B409,'FRS geographical categories'!$A$2:$C$45,3,FALSE)</f>
        <v>Non-metropolitan</v>
      </c>
      <c r="G409" s="98">
        <v>0</v>
      </c>
    </row>
    <row r="410" spans="1:7" ht="15.5" x14ac:dyDescent="0.35">
      <c r="A410" s="224" t="s">
        <v>53</v>
      </c>
      <c r="B410" s="224" t="s">
        <v>33</v>
      </c>
      <c r="C410" s="224" t="s">
        <v>102</v>
      </c>
      <c r="D410" s="224" t="s">
        <v>257</v>
      </c>
      <c r="E410" s="224" t="str">
        <f>VLOOKUP($B410,'FRS geographical categories'!$A$2:$C$45,2,FALSE)</f>
        <v>Predominantly Urban</v>
      </c>
      <c r="F410" s="224" t="str">
        <f>VLOOKUP($B410,'FRS geographical categories'!$A$2:$C$45,3,FALSE)</f>
        <v>Non-metropolitan</v>
      </c>
      <c r="G410" s="98">
        <v>9768</v>
      </c>
    </row>
    <row r="411" spans="1:7" ht="15.5" x14ac:dyDescent="0.35">
      <c r="A411" s="224" t="s">
        <v>53</v>
      </c>
      <c r="B411" s="224" t="s">
        <v>33</v>
      </c>
      <c r="C411" s="224" t="s">
        <v>105</v>
      </c>
      <c r="D411" s="224" t="s">
        <v>257</v>
      </c>
      <c r="E411" s="224" t="str">
        <f>VLOOKUP($B411,'FRS geographical categories'!$A$2:$C$45,2,FALSE)</f>
        <v>Predominantly Urban</v>
      </c>
      <c r="F411" s="224" t="str">
        <f>VLOOKUP($B411,'FRS geographical categories'!$A$2:$C$45,3,FALSE)</f>
        <v>Non-metropolitan</v>
      </c>
      <c r="G411" s="98">
        <v>0</v>
      </c>
    </row>
    <row r="412" spans="1:7" ht="15.5" x14ac:dyDescent="0.35">
      <c r="A412" s="224" t="s">
        <v>53</v>
      </c>
      <c r="B412" s="224" t="s">
        <v>33</v>
      </c>
      <c r="C412" s="224" t="s">
        <v>106</v>
      </c>
      <c r="D412" s="224" t="s">
        <v>257</v>
      </c>
      <c r="E412" s="224" t="str">
        <f>VLOOKUP($B412,'FRS geographical categories'!$A$2:$C$45,2,FALSE)</f>
        <v>Predominantly Urban</v>
      </c>
      <c r="F412" s="224" t="str">
        <f>VLOOKUP($B412,'FRS geographical categories'!$A$2:$C$45,3,FALSE)</f>
        <v>Non-metropolitan</v>
      </c>
      <c r="G412" s="98">
        <v>25182</v>
      </c>
    </row>
    <row r="413" spans="1:7" ht="15.5" x14ac:dyDescent="0.35">
      <c r="A413" s="224" t="s">
        <v>53</v>
      </c>
      <c r="B413" s="224" t="s">
        <v>33</v>
      </c>
      <c r="C413" s="224" t="s">
        <v>107</v>
      </c>
      <c r="D413" s="224" t="s">
        <v>257</v>
      </c>
      <c r="E413" s="224" t="str">
        <f>VLOOKUP($B413,'FRS geographical categories'!$A$2:$C$45,2,FALSE)</f>
        <v>Predominantly Urban</v>
      </c>
      <c r="F413" s="224" t="str">
        <f>VLOOKUP($B413,'FRS geographical categories'!$A$2:$C$45,3,FALSE)</f>
        <v>Non-metropolitan</v>
      </c>
      <c r="G413" s="98">
        <v>0</v>
      </c>
    </row>
    <row r="414" spans="1:7" ht="15.5" x14ac:dyDescent="0.35">
      <c r="A414" s="224" t="s">
        <v>53</v>
      </c>
      <c r="B414" s="224" t="s">
        <v>33</v>
      </c>
      <c r="C414" s="224" t="s">
        <v>108</v>
      </c>
      <c r="D414" s="224" t="s">
        <v>257</v>
      </c>
      <c r="E414" s="224" t="str">
        <f>VLOOKUP($B414,'FRS geographical categories'!$A$2:$C$45,2,FALSE)</f>
        <v>Predominantly Urban</v>
      </c>
      <c r="F414" s="224" t="str">
        <f>VLOOKUP($B414,'FRS geographical categories'!$A$2:$C$45,3,FALSE)</f>
        <v>Non-metropolitan</v>
      </c>
      <c r="G414" s="98">
        <v>0</v>
      </c>
    </row>
    <row r="415" spans="1:7" ht="15.5" x14ac:dyDescent="0.35">
      <c r="A415" s="224" t="s">
        <v>53</v>
      </c>
      <c r="B415" s="224" t="s">
        <v>33</v>
      </c>
      <c r="C415" s="224" t="s">
        <v>109</v>
      </c>
      <c r="D415" s="224" t="s">
        <v>257</v>
      </c>
      <c r="E415" s="224" t="str">
        <f>VLOOKUP($B415,'FRS geographical categories'!$A$2:$C$45,2,FALSE)</f>
        <v>Predominantly Urban</v>
      </c>
      <c r="F415" s="224" t="str">
        <f>VLOOKUP($B415,'FRS geographical categories'!$A$2:$C$45,3,FALSE)</f>
        <v>Non-metropolitan</v>
      </c>
      <c r="G415" s="98">
        <v>0</v>
      </c>
    </row>
    <row r="416" spans="1:7" ht="15.5" x14ac:dyDescent="0.35">
      <c r="A416" s="224" t="s">
        <v>53</v>
      </c>
      <c r="B416" s="224" t="s">
        <v>34</v>
      </c>
      <c r="C416" s="224" t="s">
        <v>102</v>
      </c>
      <c r="D416" s="224" t="s">
        <v>257</v>
      </c>
      <c r="E416" s="224" t="str">
        <f>VLOOKUP($B416,'FRS geographical categories'!$A$2:$C$45,2,FALSE)</f>
        <v>Significantly Rural</v>
      </c>
      <c r="F416" s="224" t="str">
        <f>VLOOKUP($B416,'FRS geographical categories'!$A$2:$C$45,3,FALSE)</f>
        <v>Non-metropolitan</v>
      </c>
      <c r="G416" s="98">
        <v>3452</v>
      </c>
    </row>
    <row r="417" spans="1:7" ht="15.5" x14ac:dyDescent="0.35">
      <c r="A417" s="224" t="s">
        <v>53</v>
      </c>
      <c r="B417" s="224" t="s">
        <v>34</v>
      </c>
      <c r="C417" s="224" t="s">
        <v>105</v>
      </c>
      <c r="D417" s="224" t="s">
        <v>257</v>
      </c>
      <c r="E417" s="224" t="str">
        <f>VLOOKUP($B417,'FRS geographical categories'!$A$2:$C$45,2,FALSE)</f>
        <v>Significantly Rural</v>
      </c>
      <c r="F417" s="224" t="str">
        <f>VLOOKUP($B417,'FRS geographical categories'!$A$2:$C$45,3,FALSE)</f>
        <v>Non-metropolitan</v>
      </c>
      <c r="G417" s="98">
        <v>0</v>
      </c>
    </row>
    <row r="418" spans="1:7" ht="15.5" x14ac:dyDescent="0.35">
      <c r="A418" s="224" t="s">
        <v>53</v>
      </c>
      <c r="B418" s="224" t="s">
        <v>34</v>
      </c>
      <c r="C418" s="224" t="s">
        <v>106</v>
      </c>
      <c r="D418" s="224" t="s">
        <v>257</v>
      </c>
      <c r="E418" s="224" t="str">
        <f>VLOOKUP($B418,'FRS geographical categories'!$A$2:$C$45,2,FALSE)</f>
        <v>Significantly Rural</v>
      </c>
      <c r="F418" s="224" t="str">
        <f>VLOOKUP($B418,'FRS geographical categories'!$A$2:$C$45,3,FALSE)</f>
        <v>Non-metropolitan</v>
      </c>
      <c r="G418" s="98">
        <v>6180</v>
      </c>
    </row>
    <row r="419" spans="1:7" ht="15.5" x14ac:dyDescent="0.35">
      <c r="A419" s="224" t="s">
        <v>53</v>
      </c>
      <c r="B419" s="224" t="s">
        <v>34</v>
      </c>
      <c r="C419" s="224" t="s">
        <v>107</v>
      </c>
      <c r="D419" s="224" t="s">
        <v>257</v>
      </c>
      <c r="E419" s="224" t="str">
        <f>VLOOKUP($B419,'FRS geographical categories'!$A$2:$C$45,2,FALSE)</f>
        <v>Significantly Rural</v>
      </c>
      <c r="F419" s="224" t="str">
        <f>VLOOKUP($B419,'FRS geographical categories'!$A$2:$C$45,3,FALSE)</f>
        <v>Non-metropolitan</v>
      </c>
      <c r="G419" s="98">
        <v>0</v>
      </c>
    </row>
    <row r="420" spans="1:7" ht="15.5" x14ac:dyDescent="0.35">
      <c r="A420" s="224" t="s">
        <v>53</v>
      </c>
      <c r="B420" s="224" t="s">
        <v>34</v>
      </c>
      <c r="C420" s="224" t="s">
        <v>108</v>
      </c>
      <c r="D420" s="224" t="s">
        <v>257</v>
      </c>
      <c r="E420" s="224" t="str">
        <f>VLOOKUP($B420,'FRS geographical categories'!$A$2:$C$45,2,FALSE)</f>
        <v>Significantly Rural</v>
      </c>
      <c r="F420" s="224" t="str">
        <f>VLOOKUP($B420,'FRS geographical categories'!$A$2:$C$45,3,FALSE)</f>
        <v>Non-metropolitan</v>
      </c>
      <c r="G420" s="98">
        <v>0</v>
      </c>
    </row>
    <row r="421" spans="1:7" ht="15.5" x14ac:dyDescent="0.35">
      <c r="A421" s="224" t="s">
        <v>53</v>
      </c>
      <c r="B421" s="224" t="s">
        <v>34</v>
      </c>
      <c r="C421" s="224" t="s">
        <v>109</v>
      </c>
      <c r="D421" s="224" t="s">
        <v>257</v>
      </c>
      <c r="E421" s="224" t="str">
        <f>VLOOKUP($B421,'FRS geographical categories'!$A$2:$C$45,2,FALSE)</f>
        <v>Significantly Rural</v>
      </c>
      <c r="F421" s="224" t="str">
        <f>VLOOKUP($B421,'FRS geographical categories'!$A$2:$C$45,3,FALSE)</f>
        <v>Non-metropolitan</v>
      </c>
      <c r="G421" s="98">
        <v>0</v>
      </c>
    </row>
    <row r="422" spans="1:7" ht="15.5" x14ac:dyDescent="0.35">
      <c r="A422" s="224" t="s">
        <v>53</v>
      </c>
      <c r="B422" s="224" t="s">
        <v>35</v>
      </c>
      <c r="C422" s="224" t="s">
        <v>102</v>
      </c>
      <c r="D422" s="224" t="s">
        <v>257</v>
      </c>
      <c r="E422" s="224" t="str">
        <f>VLOOKUP($B422,'FRS geographical categories'!$A$2:$C$45,2,FALSE)</f>
        <v>Predominantly Rural</v>
      </c>
      <c r="F422" s="224" t="str">
        <f>VLOOKUP($B422,'FRS geographical categories'!$A$2:$C$45,3,FALSE)</f>
        <v>Non-metropolitan</v>
      </c>
      <c r="G422" s="98">
        <v>2152</v>
      </c>
    </row>
    <row r="423" spans="1:7" ht="15.5" x14ac:dyDescent="0.35">
      <c r="A423" s="224" t="s">
        <v>53</v>
      </c>
      <c r="B423" s="224" t="s">
        <v>35</v>
      </c>
      <c r="C423" s="224" t="s">
        <v>105</v>
      </c>
      <c r="D423" s="224" t="s">
        <v>257</v>
      </c>
      <c r="E423" s="224" t="str">
        <f>VLOOKUP($B423,'FRS geographical categories'!$A$2:$C$45,2,FALSE)</f>
        <v>Predominantly Rural</v>
      </c>
      <c r="F423" s="224" t="str">
        <f>VLOOKUP($B423,'FRS geographical categories'!$A$2:$C$45,3,FALSE)</f>
        <v>Non-metropolitan</v>
      </c>
      <c r="G423" s="98">
        <v>0</v>
      </c>
    </row>
    <row r="424" spans="1:7" ht="15.5" x14ac:dyDescent="0.35">
      <c r="A424" s="224" t="s">
        <v>53</v>
      </c>
      <c r="B424" s="224" t="s">
        <v>35</v>
      </c>
      <c r="C424" s="224" t="s">
        <v>106</v>
      </c>
      <c r="D424" s="224" t="s">
        <v>257</v>
      </c>
      <c r="E424" s="224" t="str">
        <f>VLOOKUP($B424,'FRS geographical categories'!$A$2:$C$45,2,FALSE)</f>
        <v>Predominantly Rural</v>
      </c>
      <c r="F424" s="224" t="str">
        <f>VLOOKUP($B424,'FRS geographical categories'!$A$2:$C$45,3,FALSE)</f>
        <v>Non-metropolitan</v>
      </c>
      <c r="G424" s="98">
        <v>5760</v>
      </c>
    </row>
    <row r="425" spans="1:7" ht="15.5" x14ac:dyDescent="0.35">
      <c r="A425" s="224" t="s">
        <v>53</v>
      </c>
      <c r="B425" s="224" t="s">
        <v>35</v>
      </c>
      <c r="C425" s="224" t="s">
        <v>107</v>
      </c>
      <c r="D425" s="224" t="s">
        <v>257</v>
      </c>
      <c r="E425" s="224" t="str">
        <f>VLOOKUP($B425,'FRS geographical categories'!$A$2:$C$45,2,FALSE)</f>
        <v>Predominantly Rural</v>
      </c>
      <c r="F425" s="224" t="str">
        <f>VLOOKUP($B425,'FRS geographical categories'!$A$2:$C$45,3,FALSE)</f>
        <v>Non-metropolitan</v>
      </c>
      <c r="G425" s="98">
        <v>0</v>
      </c>
    </row>
    <row r="426" spans="1:7" ht="15.5" x14ac:dyDescent="0.35">
      <c r="A426" s="224" t="s">
        <v>53</v>
      </c>
      <c r="B426" s="224" t="s">
        <v>35</v>
      </c>
      <c r="C426" s="224" t="s">
        <v>108</v>
      </c>
      <c r="D426" s="224" t="s">
        <v>257</v>
      </c>
      <c r="E426" s="224" t="str">
        <f>VLOOKUP($B426,'FRS geographical categories'!$A$2:$C$45,2,FALSE)</f>
        <v>Predominantly Rural</v>
      </c>
      <c r="F426" s="224" t="str">
        <f>VLOOKUP($B426,'FRS geographical categories'!$A$2:$C$45,3,FALSE)</f>
        <v>Non-metropolitan</v>
      </c>
      <c r="G426" s="98">
        <v>0</v>
      </c>
    </row>
    <row r="427" spans="1:7" ht="15.5" x14ac:dyDescent="0.35">
      <c r="A427" s="224" t="s">
        <v>53</v>
      </c>
      <c r="B427" s="224" t="s">
        <v>35</v>
      </c>
      <c r="C427" s="224" t="s">
        <v>109</v>
      </c>
      <c r="D427" s="224" t="s">
        <v>257</v>
      </c>
      <c r="E427" s="224" t="str">
        <f>VLOOKUP($B427,'FRS geographical categories'!$A$2:$C$45,2,FALSE)</f>
        <v>Predominantly Rural</v>
      </c>
      <c r="F427" s="224" t="str">
        <f>VLOOKUP($B427,'FRS geographical categories'!$A$2:$C$45,3,FALSE)</f>
        <v>Non-metropolitan</v>
      </c>
      <c r="G427" s="98">
        <v>0</v>
      </c>
    </row>
    <row r="428" spans="1:7" ht="15.5" x14ac:dyDescent="0.35">
      <c r="A428" s="224" t="s">
        <v>53</v>
      </c>
      <c r="B428" s="224" t="s">
        <v>36</v>
      </c>
      <c r="C428" s="224" t="s">
        <v>102</v>
      </c>
      <c r="D428" s="224" t="s">
        <v>257</v>
      </c>
      <c r="E428" s="224" t="str">
        <f>VLOOKUP($B428,'FRS geographical categories'!$A$2:$C$45,2,FALSE)</f>
        <v>Predominantly Urban</v>
      </c>
      <c r="F428" s="224" t="str">
        <f>VLOOKUP($B428,'FRS geographical categories'!$A$2:$C$45,3,FALSE)</f>
        <v>Metropolitan</v>
      </c>
      <c r="G428" s="98">
        <v>10177</v>
      </c>
    </row>
    <row r="429" spans="1:7" ht="15.5" x14ac:dyDescent="0.35">
      <c r="A429" s="224" t="s">
        <v>53</v>
      </c>
      <c r="B429" s="224" t="s">
        <v>36</v>
      </c>
      <c r="C429" s="224" t="s">
        <v>105</v>
      </c>
      <c r="D429" s="224" t="s">
        <v>257</v>
      </c>
      <c r="E429" s="224" t="str">
        <f>VLOOKUP($B429,'FRS geographical categories'!$A$2:$C$45,2,FALSE)</f>
        <v>Predominantly Urban</v>
      </c>
      <c r="F429" s="224" t="str">
        <f>VLOOKUP($B429,'FRS geographical categories'!$A$2:$C$45,3,FALSE)</f>
        <v>Metropolitan</v>
      </c>
      <c r="G429" s="98">
        <v>0</v>
      </c>
    </row>
    <row r="430" spans="1:7" ht="15.5" x14ac:dyDescent="0.35">
      <c r="A430" s="224" t="s">
        <v>53</v>
      </c>
      <c r="B430" s="224" t="s">
        <v>36</v>
      </c>
      <c r="C430" s="224" t="s">
        <v>106</v>
      </c>
      <c r="D430" s="224" t="s">
        <v>257</v>
      </c>
      <c r="E430" s="224" t="str">
        <f>VLOOKUP($B430,'FRS geographical categories'!$A$2:$C$45,2,FALSE)</f>
        <v>Predominantly Urban</v>
      </c>
      <c r="F430" s="224" t="str">
        <f>VLOOKUP($B430,'FRS geographical categories'!$A$2:$C$45,3,FALSE)</f>
        <v>Metropolitan</v>
      </c>
      <c r="G430" s="98">
        <v>111180</v>
      </c>
    </row>
    <row r="431" spans="1:7" ht="15.5" x14ac:dyDescent="0.35">
      <c r="A431" s="224" t="s">
        <v>53</v>
      </c>
      <c r="B431" s="224" t="s">
        <v>36</v>
      </c>
      <c r="C431" s="224" t="s">
        <v>107</v>
      </c>
      <c r="D431" s="224" t="s">
        <v>257</v>
      </c>
      <c r="E431" s="224" t="str">
        <f>VLOOKUP($B431,'FRS geographical categories'!$A$2:$C$45,2,FALSE)</f>
        <v>Predominantly Urban</v>
      </c>
      <c r="F431" s="224" t="str">
        <f>VLOOKUP($B431,'FRS geographical categories'!$A$2:$C$45,3,FALSE)</f>
        <v>Metropolitan</v>
      </c>
      <c r="G431" s="98">
        <v>0</v>
      </c>
    </row>
    <row r="432" spans="1:7" ht="15.5" x14ac:dyDescent="0.35">
      <c r="A432" s="224" t="s">
        <v>53</v>
      </c>
      <c r="B432" s="224" t="s">
        <v>36</v>
      </c>
      <c r="C432" s="224" t="s">
        <v>108</v>
      </c>
      <c r="D432" s="224" t="s">
        <v>257</v>
      </c>
      <c r="E432" s="224" t="str">
        <f>VLOOKUP($B432,'FRS geographical categories'!$A$2:$C$45,2,FALSE)</f>
        <v>Predominantly Urban</v>
      </c>
      <c r="F432" s="224" t="str">
        <f>VLOOKUP($B432,'FRS geographical categories'!$A$2:$C$45,3,FALSE)</f>
        <v>Metropolitan</v>
      </c>
      <c r="G432" s="98">
        <v>0</v>
      </c>
    </row>
    <row r="433" spans="1:7" ht="15.5" x14ac:dyDescent="0.35">
      <c r="A433" s="224" t="s">
        <v>53</v>
      </c>
      <c r="B433" s="224" t="s">
        <v>36</v>
      </c>
      <c r="C433" s="224" t="s">
        <v>109</v>
      </c>
      <c r="D433" s="224" t="s">
        <v>257</v>
      </c>
      <c r="E433" s="224" t="str">
        <f>VLOOKUP($B433,'FRS geographical categories'!$A$2:$C$45,2,FALSE)</f>
        <v>Predominantly Urban</v>
      </c>
      <c r="F433" s="224" t="str">
        <f>VLOOKUP($B433,'FRS geographical categories'!$A$2:$C$45,3,FALSE)</f>
        <v>Metropolitan</v>
      </c>
      <c r="G433" s="98">
        <v>0</v>
      </c>
    </row>
    <row r="434" spans="1:7" ht="15.5" x14ac:dyDescent="0.35">
      <c r="A434" s="224" t="s">
        <v>53</v>
      </c>
      <c r="B434" s="224" t="s">
        <v>37</v>
      </c>
      <c r="C434" s="224" t="s">
        <v>102</v>
      </c>
      <c r="D434" s="224" t="s">
        <v>257</v>
      </c>
      <c r="E434" s="224" t="str">
        <f>VLOOKUP($B434,'FRS geographical categories'!$A$2:$C$45,2,FALSE)</f>
        <v>Predominantly Rural</v>
      </c>
      <c r="F434" s="224" t="str">
        <f>VLOOKUP($B434,'FRS geographical categories'!$A$2:$C$45,3,FALSE)</f>
        <v>Non-metropolitan</v>
      </c>
      <c r="G434" s="98">
        <v>496</v>
      </c>
    </row>
    <row r="435" spans="1:7" ht="15.5" x14ac:dyDescent="0.35">
      <c r="A435" s="224" t="s">
        <v>53</v>
      </c>
      <c r="B435" s="224" t="s">
        <v>37</v>
      </c>
      <c r="C435" s="224" t="s">
        <v>105</v>
      </c>
      <c r="D435" s="224" t="s">
        <v>257</v>
      </c>
      <c r="E435" s="224" t="str">
        <f>VLOOKUP($B435,'FRS geographical categories'!$A$2:$C$45,2,FALSE)</f>
        <v>Predominantly Rural</v>
      </c>
      <c r="F435" s="224" t="str">
        <f>VLOOKUP($B435,'FRS geographical categories'!$A$2:$C$45,3,FALSE)</f>
        <v>Non-metropolitan</v>
      </c>
      <c r="G435" s="98">
        <v>0</v>
      </c>
    </row>
    <row r="436" spans="1:7" ht="15.5" x14ac:dyDescent="0.35">
      <c r="A436" s="224" t="s">
        <v>53</v>
      </c>
      <c r="B436" s="224" t="s">
        <v>37</v>
      </c>
      <c r="C436" s="224" t="s">
        <v>106</v>
      </c>
      <c r="D436" s="224" t="s">
        <v>257</v>
      </c>
      <c r="E436" s="224" t="str">
        <f>VLOOKUP($B436,'FRS geographical categories'!$A$2:$C$45,2,FALSE)</f>
        <v>Predominantly Rural</v>
      </c>
      <c r="F436" s="224" t="str">
        <f>VLOOKUP($B436,'FRS geographical categories'!$A$2:$C$45,3,FALSE)</f>
        <v>Non-metropolitan</v>
      </c>
      <c r="G436" s="98">
        <v>6077</v>
      </c>
    </row>
    <row r="437" spans="1:7" ht="15.5" x14ac:dyDescent="0.35">
      <c r="A437" s="224" t="s">
        <v>53</v>
      </c>
      <c r="B437" s="224" t="s">
        <v>37</v>
      </c>
      <c r="C437" s="224" t="s">
        <v>107</v>
      </c>
      <c r="D437" s="224" t="s">
        <v>257</v>
      </c>
      <c r="E437" s="224" t="str">
        <f>VLOOKUP($B437,'FRS geographical categories'!$A$2:$C$45,2,FALSE)</f>
        <v>Predominantly Rural</v>
      </c>
      <c r="F437" s="224" t="str">
        <f>VLOOKUP($B437,'FRS geographical categories'!$A$2:$C$45,3,FALSE)</f>
        <v>Non-metropolitan</v>
      </c>
      <c r="G437" s="98">
        <v>607</v>
      </c>
    </row>
    <row r="438" spans="1:7" ht="15.5" x14ac:dyDescent="0.35">
      <c r="A438" s="224" t="s">
        <v>53</v>
      </c>
      <c r="B438" s="224" t="s">
        <v>37</v>
      </c>
      <c r="C438" s="224" t="s">
        <v>108</v>
      </c>
      <c r="D438" s="224" t="s">
        <v>257</v>
      </c>
      <c r="E438" s="224" t="str">
        <f>VLOOKUP($B438,'FRS geographical categories'!$A$2:$C$45,2,FALSE)</f>
        <v>Predominantly Rural</v>
      </c>
      <c r="F438" s="224" t="str">
        <f>VLOOKUP($B438,'FRS geographical categories'!$A$2:$C$45,3,FALSE)</f>
        <v>Non-metropolitan</v>
      </c>
      <c r="G438" s="98">
        <v>0</v>
      </c>
    </row>
    <row r="439" spans="1:7" ht="15.5" x14ac:dyDescent="0.35">
      <c r="A439" s="224" t="s">
        <v>53</v>
      </c>
      <c r="B439" s="224" t="s">
        <v>37</v>
      </c>
      <c r="C439" s="224" t="s">
        <v>109</v>
      </c>
      <c r="D439" s="224" t="s">
        <v>257</v>
      </c>
      <c r="E439" s="224" t="str">
        <f>VLOOKUP($B439,'FRS geographical categories'!$A$2:$C$45,2,FALSE)</f>
        <v>Predominantly Rural</v>
      </c>
      <c r="F439" s="224" t="str">
        <f>VLOOKUP($B439,'FRS geographical categories'!$A$2:$C$45,3,FALSE)</f>
        <v>Non-metropolitan</v>
      </c>
      <c r="G439" s="98">
        <v>0</v>
      </c>
    </row>
    <row r="440" spans="1:7" ht="15.5" x14ac:dyDescent="0.35">
      <c r="A440" s="224" t="s">
        <v>53</v>
      </c>
      <c r="B440" s="224" t="s">
        <v>38</v>
      </c>
      <c r="C440" s="224" t="s">
        <v>102</v>
      </c>
      <c r="D440" s="224" t="s">
        <v>257</v>
      </c>
      <c r="E440" s="224" t="str">
        <f>VLOOKUP($B440,'FRS geographical categories'!$A$2:$C$45,2,FALSE)</f>
        <v>Predominantly Rural</v>
      </c>
      <c r="F440" s="224" t="str">
        <f>VLOOKUP($B440,'FRS geographical categories'!$A$2:$C$45,3,FALSE)</f>
        <v>Non-metropolitan</v>
      </c>
      <c r="G440" s="98">
        <v>0</v>
      </c>
    </row>
    <row r="441" spans="1:7" ht="15.5" x14ac:dyDescent="0.35">
      <c r="A441" s="224" t="s">
        <v>53</v>
      </c>
      <c r="B441" s="224" t="s">
        <v>38</v>
      </c>
      <c r="C441" s="224" t="s">
        <v>105</v>
      </c>
      <c r="D441" s="224" t="s">
        <v>257</v>
      </c>
      <c r="E441" s="224" t="str">
        <f>VLOOKUP($B441,'FRS geographical categories'!$A$2:$C$45,2,FALSE)</f>
        <v>Predominantly Rural</v>
      </c>
      <c r="F441" s="224" t="str">
        <f>VLOOKUP($B441,'FRS geographical categories'!$A$2:$C$45,3,FALSE)</f>
        <v>Non-metropolitan</v>
      </c>
      <c r="G441" s="98">
        <v>0</v>
      </c>
    </row>
    <row r="442" spans="1:7" ht="15.5" x14ac:dyDescent="0.35">
      <c r="A442" s="224" t="s">
        <v>53</v>
      </c>
      <c r="B442" s="224" t="s">
        <v>38</v>
      </c>
      <c r="C442" s="224" t="s">
        <v>106</v>
      </c>
      <c r="D442" s="224" t="s">
        <v>257</v>
      </c>
      <c r="E442" s="224" t="str">
        <f>VLOOKUP($B442,'FRS geographical categories'!$A$2:$C$45,2,FALSE)</f>
        <v>Predominantly Rural</v>
      </c>
      <c r="F442" s="224" t="str">
        <f>VLOOKUP($B442,'FRS geographical categories'!$A$2:$C$45,3,FALSE)</f>
        <v>Non-metropolitan</v>
      </c>
      <c r="G442" s="98">
        <v>4502</v>
      </c>
    </row>
    <row r="443" spans="1:7" ht="15.5" x14ac:dyDescent="0.35">
      <c r="A443" s="224" t="s">
        <v>53</v>
      </c>
      <c r="B443" s="224" t="s">
        <v>38</v>
      </c>
      <c r="C443" s="224" t="s">
        <v>107</v>
      </c>
      <c r="D443" s="224" t="s">
        <v>257</v>
      </c>
      <c r="E443" s="224" t="str">
        <f>VLOOKUP($B443,'FRS geographical categories'!$A$2:$C$45,2,FALSE)</f>
        <v>Predominantly Rural</v>
      </c>
      <c r="F443" s="224" t="str">
        <f>VLOOKUP($B443,'FRS geographical categories'!$A$2:$C$45,3,FALSE)</f>
        <v>Non-metropolitan</v>
      </c>
      <c r="G443" s="98">
        <v>0</v>
      </c>
    </row>
    <row r="444" spans="1:7" ht="15.5" x14ac:dyDescent="0.35">
      <c r="A444" s="224" t="s">
        <v>53</v>
      </c>
      <c r="B444" s="224" t="s">
        <v>38</v>
      </c>
      <c r="C444" s="224" t="s">
        <v>108</v>
      </c>
      <c r="D444" s="224" t="s">
        <v>257</v>
      </c>
      <c r="E444" s="224" t="str">
        <f>VLOOKUP($B444,'FRS geographical categories'!$A$2:$C$45,2,FALSE)</f>
        <v>Predominantly Rural</v>
      </c>
      <c r="F444" s="224" t="str">
        <f>VLOOKUP($B444,'FRS geographical categories'!$A$2:$C$45,3,FALSE)</f>
        <v>Non-metropolitan</v>
      </c>
      <c r="G444" s="98">
        <v>9</v>
      </c>
    </row>
    <row r="445" spans="1:7" ht="15.5" x14ac:dyDescent="0.35">
      <c r="A445" s="224" t="s">
        <v>53</v>
      </c>
      <c r="B445" s="224" t="s">
        <v>38</v>
      </c>
      <c r="C445" s="224" t="s">
        <v>109</v>
      </c>
      <c r="D445" s="224" t="s">
        <v>257</v>
      </c>
      <c r="E445" s="224" t="str">
        <f>VLOOKUP($B445,'FRS geographical categories'!$A$2:$C$45,2,FALSE)</f>
        <v>Predominantly Rural</v>
      </c>
      <c r="F445" s="224" t="str">
        <f>VLOOKUP($B445,'FRS geographical categories'!$A$2:$C$45,3,FALSE)</f>
        <v>Non-metropolitan</v>
      </c>
      <c r="G445" s="98">
        <v>0</v>
      </c>
    </row>
    <row r="446" spans="1:7" ht="15.5" x14ac:dyDescent="0.35">
      <c r="A446" s="224" t="s">
        <v>53</v>
      </c>
      <c r="B446" s="224" t="s">
        <v>39</v>
      </c>
      <c r="C446" s="224" t="s">
        <v>102</v>
      </c>
      <c r="D446" s="224" t="s">
        <v>257</v>
      </c>
      <c r="E446" s="224" t="str">
        <f>VLOOKUP($B446,'FRS geographical categories'!$A$2:$C$45,2,FALSE)</f>
        <v>Significantly Rural</v>
      </c>
      <c r="F446" s="224" t="str">
        <f>VLOOKUP($B446,'FRS geographical categories'!$A$2:$C$45,3,FALSE)</f>
        <v>Non-metropolitan</v>
      </c>
      <c r="G446" s="98">
        <v>0</v>
      </c>
    </row>
    <row r="447" spans="1:7" ht="15.5" x14ac:dyDescent="0.35">
      <c r="A447" s="224" t="s">
        <v>53</v>
      </c>
      <c r="B447" s="224" t="s">
        <v>39</v>
      </c>
      <c r="C447" s="224" t="s">
        <v>105</v>
      </c>
      <c r="D447" s="224" t="s">
        <v>257</v>
      </c>
      <c r="E447" s="224" t="str">
        <f>VLOOKUP($B447,'FRS geographical categories'!$A$2:$C$45,2,FALSE)</f>
        <v>Significantly Rural</v>
      </c>
      <c r="F447" s="224" t="str">
        <f>VLOOKUP($B447,'FRS geographical categories'!$A$2:$C$45,3,FALSE)</f>
        <v>Non-metropolitan</v>
      </c>
      <c r="G447" s="98">
        <v>0</v>
      </c>
    </row>
    <row r="448" spans="1:7" ht="15.5" x14ac:dyDescent="0.35">
      <c r="A448" s="224" t="s">
        <v>53</v>
      </c>
      <c r="B448" s="224" t="s">
        <v>39</v>
      </c>
      <c r="C448" s="224" t="s">
        <v>106</v>
      </c>
      <c r="D448" s="224" t="s">
        <v>257</v>
      </c>
      <c r="E448" s="224" t="str">
        <f>VLOOKUP($B448,'FRS geographical categories'!$A$2:$C$45,2,FALSE)</f>
        <v>Significantly Rural</v>
      </c>
      <c r="F448" s="224" t="str">
        <f>VLOOKUP($B448,'FRS geographical categories'!$A$2:$C$45,3,FALSE)</f>
        <v>Non-metropolitan</v>
      </c>
      <c r="G448" s="98">
        <v>7164</v>
      </c>
    </row>
    <row r="449" spans="1:7" ht="15.5" x14ac:dyDescent="0.35">
      <c r="A449" s="224" t="s">
        <v>53</v>
      </c>
      <c r="B449" s="224" t="s">
        <v>39</v>
      </c>
      <c r="C449" s="224" t="s">
        <v>107</v>
      </c>
      <c r="D449" s="224" t="s">
        <v>257</v>
      </c>
      <c r="E449" s="224" t="str">
        <f>VLOOKUP($B449,'FRS geographical categories'!$A$2:$C$45,2,FALSE)</f>
        <v>Significantly Rural</v>
      </c>
      <c r="F449" s="224" t="str">
        <f>VLOOKUP($B449,'FRS geographical categories'!$A$2:$C$45,3,FALSE)</f>
        <v>Non-metropolitan</v>
      </c>
      <c r="G449" s="98">
        <v>0</v>
      </c>
    </row>
    <row r="450" spans="1:7" ht="15.5" x14ac:dyDescent="0.35">
      <c r="A450" s="224" t="s">
        <v>53</v>
      </c>
      <c r="B450" s="224" t="s">
        <v>39</v>
      </c>
      <c r="C450" s="224" t="s">
        <v>108</v>
      </c>
      <c r="D450" s="224" t="s">
        <v>257</v>
      </c>
      <c r="E450" s="224" t="str">
        <f>VLOOKUP($B450,'FRS geographical categories'!$A$2:$C$45,2,FALSE)</f>
        <v>Significantly Rural</v>
      </c>
      <c r="F450" s="224" t="str">
        <f>VLOOKUP($B450,'FRS geographical categories'!$A$2:$C$45,3,FALSE)</f>
        <v>Non-metropolitan</v>
      </c>
      <c r="G450" s="98">
        <v>1263</v>
      </c>
    </row>
    <row r="451" spans="1:7" ht="15.5" x14ac:dyDescent="0.35">
      <c r="A451" s="224" t="s">
        <v>53</v>
      </c>
      <c r="B451" s="224" t="s">
        <v>39</v>
      </c>
      <c r="C451" s="224" t="s">
        <v>109</v>
      </c>
      <c r="D451" s="224" t="s">
        <v>257</v>
      </c>
      <c r="E451" s="224" t="str">
        <f>VLOOKUP($B451,'FRS geographical categories'!$A$2:$C$45,2,FALSE)</f>
        <v>Significantly Rural</v>
      </c>
      <c r="F451" s="224" t="str">
        <f>VLOOKUP($B451,'FRS geographical categories'!$A$2:$C$45,3,FALSE)</f>
        <v>Non-metropolitan</v>
      </c>
      <c r="G451" s="98">
        <v>0</v>
      </c>
    </row>
    <row r="452" spans="1:7" ht="15.5" x14ac:dyDescent="0.35">
      <c r="A452" s="224" t="s">
        <v>53</v>
      </c>
      <c r="B452" s="224" t="s">
        <v>40</v>
      </c>
      <c r="C452" s="224" t="s">
        <v>102</v>
      </c>
      <c r="D452" s="224" t="s">
        <v>257</v>
      </c>
      <c r="E452" s="224" t="str">
        <f>VLOOKUP($B452,'FRS geographical categories'!$A$2:$C$45,2,FALSE)</f>
        <v>Predominantly Rural</v>
      </c>
      <c r="F452" s="224" t="str">
        <f>VLOOKUP($B452,'FRS geographical categories'!$A$2:$C$45,3,FALSE)</f>
        <v>Non-metropolitan</v>
      </c>
      <c r="G452" s="98">
        <v>0</v>
      </c>
    </row>
    <row r="453" spans="1:7" ht="15.5" x14ac:dyDescent="0.35">
      <c r="A453" s="224" t="s">
        <v>53</v>
      </c>
      <c r="B453" s="224" t="s">
        <v>40</v>
      </c>
      <c r="C453" s="224" t="s">
        <v>105</v>
      </c>
      <c r="D453" s="224" t="s">
        <v>257</v>
      </c>
      <c r="E453" s="224" t="str">
        <f>VLOOKUP($B453,'FRS geographical categories'!$A$2:$C$45,2,FALSE)</f>
        <v>Predominantly Rural</v>
      </c>
      <c r="F453" s="224" t="str">
        <f>VLOOKUP($B453,'FRS geographical categories'!$A$2:$C$45,3,FALSE)</f>
        <v>Non-metropolitan</v>
      </c>
      <c r="G453" s="98">
        <v>0</v>
      </c>
    </row>
    <row r="454" spans="1:7" ht="15.5" x14ac:dyDescent="0.35">
      <c r="A454" s="224" t="s">
        <v>53</v>
      </c>
      <c r="B454" s="224" t="s">
        <v>40</v>
      </c>
      <c r="C454" s="224" t="s">
        <v>106</v>
      </c>
      <c r="D454" s="224" t="s">
        <v>257</v>
      </c>
      <c r="E454" s="224" t="str">
        <f>VLOOKUP($B454,'FRS geographical categories'!$A$2:$C$45,2,FALSE)</f>
        <v>Predominantly Rural</v>
      </c>
      <c r="F454" s="224" t="str">
        <f>VLOOKUP($B454,'FRS geographical categories'!$A$2:$C$45,3,FALSE)</f>
        <v>Non-metropolitan</v>
      </c>
      <c r="G454" s="98">
        <v>18009</v>
      </c>
    </row>
    <row r="455" spans="1:7" ht="15.5" x14ac:dyDescent="0.35">
      <c r="A455" s="224" t="s">
        <v>53</v>
      </c>
      <c r="B455" s="224" t="s">
        <v>40</v>
      </c>
      <c r="C455" s="224" t="s">
        <v>107</v>
      </c>
      <c r="D455" s="224" t="s">
        <v>257</v>
      </c>
      <c r="E455" s="224" t="str">
        <f>VLOOKUP($B455,'FRS geographical categories'!$A$2:$C$45,2,FALSE)</f>
        <v>Predominantly Rural</v>
      </c>
      <c r="F455" s="224" t="str">
        <f>VLOOKUP($B455,'FRS geographical categories'!$A$2:$C$45,3,FALSE)</f>
        <v>Non-metropolitan</v>
      </c>
      <c r="G455" s="98">
        <v>0</v>
      </c>
    </row>
    <row r="456" spans="1:7" ht="15.5" x14ac:dyDescent="0.35">
      <c r="A456" s="224" t="s">
        <v>53</v>
      </c>
      <c r="B456" s="224" t="s">
        <v>40</v>
      </c>
      <c r="C456" s="224" t="s">
        <v>108</v>
      </c>
      <c r="D456" s="224" t="s">
        <v>257</v>
      </c>
      <c r="E456" s="224" t="str">
        <f>VLOOKUP($B456,'FRS geographical categories'!$A$2:$C$45,2,FALSE)</f>
        <v>Predominantly Rural</v>
      </c>
      <c r="F456" s="224" t="str">
        <f>VLOOKUP($B456,'FRS geographical categories'!$A$2:$C$45,3,FALSE)</f>
        <v>Non-metropolitan</v>
      </c>
      <c r="G456" s="98">
        <v>3382</v>
      </c>
    </row>
    <row r="457" spans="1:7" ht="15.5" x14ac:dyDescent="0.35">
      <c r="A457" s="224" t="s">
        <v>53</v>
      </c>
      <c r="B457" s="224" t="s">
        <v>40</v>
      </c>
      <c r="C457" s="224" t="s">
        <v>109</v>
      </c>
      <c r="D457" s="224" t="s">
        <v>257</v>
      </c>
      <c r="E457" s="224" t="str">
        <f>VLOOKUP($B457,'FRS geographical categories'!$A$2:$C$45,2,FALSE)</f>
        <v>Predominantly Rural</v>
      </c>
      <c r="F457" s="224" t="str">
        <f>VLOOKUP($B457,'FRS geographical categories'!$A$2:$C$45,3,FALSE)</f>
        <v>Non-metropolitan</v>
      </c>
      <c r="G457" s="98">
        <v>0</v>
      </c>
    </row>
    <row r="458" spans="1:7" ht="15.5" x14ac:dyDescent="0.35">
      <c r="A458" s="224" t="s">
        <v>53</v>
      </c>
      <c r="B458" s="224" t="s">
        <v>41</v>
      </c>
      <c r="C458" s="224" t="s">
        <v>102</v>
      </c>
      <c r="D458" s="224" t="s">
        <v>257</v>
      </c>
      <c r="E458" s="224" t="str">
        <f>VLOOKUP($B458,'FRS geographical categories'!$A$2:$C$45,2,FALSE)</f>
        <v>Predominantly Urban</v>
      </c>
      <c r="F458" s="224" t="str">
        <f>VLOOKUP($B458,'FRS geographical categories'!$A$2:$C$45,3,FALSE)</f>
        <v>Non-metropolitan</v>
      </c>
      <c r="G458" s="98">
        <v>49</v>
      </c>
    </row>
    <row r="459" spans="1:7" ht="15.5" x14ac:dyDescent="0.35">
      <c r="A459" s="224" t="s">
        <v>53</v>
      </c>
      <c r="B459" s="224" t="s">
        <v>41</v>
      </c>
      <c r="C459" s="224" t="s">
        <v>105</v>
      </c>
      <c r="D459" s="224" t="s">
        <v>257</v>
      </c>
      <c r="E459" s="224" t="str">
        <f>VLOOKUP($B459,'FRS geographical categories'!$A$2:$C$45,2,FALSE)</f>
        <v>Predominantly Urban</v>
      </c>
      <c r="F459" s="224" t="str">
        <f>VLOOKUP($B459,'FRS geographical categories'!$A$2:$C$45,3,FALSE)</f>
        <v>Non-metropolitan</v>
      </c>
      <c r="G459" s="98">
        <v>0</v>
      </c>
    </row>
    <row r="460" spans="1:7" ht="15.5" x14ac:dyDescent="0.35">
      <c r="A460" s="224" t="s">
        <v>53</v>
      </c>
      <c r="B460" s="224" t="s">
        <v>41</v>
      </c>
      <c r="C460" s="224" t="s">
        <v>106</v>
      </c>
      <c r="D460" s="224" t="s">
        <v>257</v>
      </c>
      <c r="E460" s="224" t="str">
        <f>VLOOKUP($B460,'FRS geographical categories'!$A$2:$C$45,2,FALSE)</f>
        <v>Predominantly Urban</v>
      </c>
      <c r="F460" s="224" t="str">
        <f>VLOOKUP($B460,'FRS geographical categories'!$A$2:$C$45,3,FALSE)</f>
        <v>Non-metropolitan</v>
      </c>
      <c r="G460" s="98">
        <v>13256</v>
      </c>
    </row>
    <row r="461" spans="1:7" ht="15.5" x14ac:dyDescent="0.35">
      <c r="A461" s="224" t="s">
        <v>53</v>
      </c>
      <c r="B461" s="224" t="s">
        <v>41</v>
      </c>
      <c r="C461" s="224" t="s">
        <v>107</v>
      </c>
      <c r="D461" s="224" t="s">
        <v>257</v>
      </c>
      <c r="E461" s="224" t="str">
        <f>VLOOKUP($B461,'FRS geographical categories'!$A$2:$C$45,2,FALSE)</f>
        <v>Predominantly Urban</v>
      </c>
      <c r="F461" s="224" t="str">
        <f>VLOOKUP($B461,'FRS geographical categories'!$A$2:$C$45,3,FALSE)</f>
        <v>Non-metropolitan</v>
      </c>
      <c r="G461" s="98">
        <v>0</v>
      </c>
    </row>
    <row r="462" spans="1:7" ht="15.5" x14ac:dyDescent="0.35">
      <c r="A462" s="224" t="s">
        <v>53</v>
      </c>
      <c r="B462" s="224" t="s">
        <v>41</v>
      </c>
      <c r="C462" s="224" t="s">
        <v>108</v>
      </c>
      <c r="D462" s="224" t="s">
        <v>257</v>
      </c>
      <c r="E462" s="224" t="str">
        <f>VLOOKUP($B462,'FRS geographical categories'!$A$2:$C$45,2,FALSE)</f>
        <v>Predominantly Urban</v>
      </c>
      <c r="F462" s="224" t="str">
        <f>VLOOKUP($B462,'FRS geographical categories'!$A$2:$C$45,3,FALSE)</f>
        <v>Non-metropolitan</v>
      </c>
      <c r="G462" s="98">
        <v>1265</v>
      </c>
    </row>
    <row r="463" spans="1:7" ht="15.5" x14ac:dyDescent="0.35">
      <c r="A463" s="224" t="s">
        <v>53</v>
      </c>
      <c r="B463" s="224" t="s">
        <v>41</v>
      </c>
      <c r="C463" s="224" t="s">
        <v>109</v>
      </c>
      <c r="D463" s="224" t="s">
        <v>257</v>
      </c>
      <c r="E463" s="224" t="str">
        <f>VLOOKUP($B463,'FRS geographical categories'!$A$2:$C$45,2,FALSE)</f>
        <v>Predominantly Urban</v>
      </c>
      <c r="F463" s="224" t="str">
        <f>VLOOKUP($B463,'FRS geographical categories'!$A$2:$C$45,3,FALSE)</f>
        <v>Non-metropolitan</v>
      </c>
      <c r="G463" s="98">
        <v>522</v>
      </c>
    </row>
    <row r="464" spans="1:7" ht="15.5" x14ac:dyDescent="0.35">
      <c r="A464" s="224" t="s">
        <v>53</v>
      </c>
      <c r="B464" s="224" t="s">
        <v>42</v>
      </c>
      <c r="C464" s="224" t="s">
        <v>102</v>
      </c>
      <c r="D464" s="224" t="s">
        <v>257</v>
      </c>
      <c r="E464" s="224" t="str">
        <f>VLOOKUP($B464,'FRS geographical categories'!$A$2:$C$45,2,FALSE)</f>
        <v>Predominantly Rural</v>
      </c>
      <c r="F464" s="224" t="str">
        <f>VLOOKUP($B464,'FRS geographical categories'!$A$2:$C$45,3,FALSE)</f>
        <v>Non-metropolitan</v>
      </c>
      <c r="G464" s="98">
        <v>0</v>
      </c>
    </row>
    <row r="465" spans="1:7" ht="15.5" x14ac:dyDescent="0.35">
      <c r="A465" s="224" t="s">
        <v>53</v>
      </c>
      <c r="B465" s="224" t="s">
        <v>42</v>
      </c>
      <c r="C465" s="224" t="s">
        <v>105</v>
      </c>
      <c r="D465" s="224" t="s">
        <v>257</v>
      </c>
      <c r="E465" s="224" t="str">
        <f>VLOOKUP($B465,'FRS geographical categories'!$A$2:$C$45,2,FALSE)</f>
        <v>Predominantly Rural</v>
      </c>
      <c r="F465" s="224" t="str">
        <f>VLOOKUP($B465,'FRS geographical categories'!$A$2:$C$45,3,FALSE)</f>
        <v>Non-metropolitan</v>
      </c>
      <c r="G465" s="98">
        <v>0</v>
      </c>
    </row>
    <row r="466" spans="1:7" ht="15.5" x14ac:dyDescent="0.35">
      <c r="A466" s="224" t="s">
        <v>53</v>
      </c>
      <c r="B466" s="224" t="s">
        <v>42</v>
      </c>
      <c r="C466" s="224" t="s">
        <v>106</v>
      </c>
      <c r="D466" s="224" t="s">
        <v>257</v>
      </c>
      <c r="E466" s="224" t="str">
        <f>VLOOKUP($B466,'FRS geographical categories'!$A$2:$C$45,2,FALSE)</f>
        <v>Predominantly Rural</v>
      </c>
      <c r="F466" s="224" t="str">
        <f>VLOOKUP($B466,'FRS geographical categories'!$A$2:$C$45,3,FALSE)</f>
        <v>Non-metropolitan</v>
      </c>
      <c r="G466" s="98">
        <v>7308</v>
      </c>
    </row>
    <row r="467" spans="1:7" ht="15.5" x14ac:dyDescent="0.35">
      <c r="A467" s="224" t="s">
        <v>53</v>
      </c>
      <c r="B467" s="224" t="s">
        <v>42</v>
      </c>
      <c r="C467" s="224" t="s">
        <v>107</v>
      </c>
      <c r="D467" s="224" t="s">
        <v>257</v>
      </c>
      <c r="E467" s="224" t="str">
        <f>VLOOKUP($B467,'FRS geographical categories'!$A$2:$C$45,2,FALSE)</f>
        <v>Predominantly Rural</v>
      </c>
      <c r="F467" s="224" t="str">
        <f>VLOOKUP($B467,'FRS geographical categories'!$A$2:$C$45,3,FALSE)</f>
        <v>Non-metropolitan</v>
      </c>
      <c r="G467" s="98">
        <v>0</v>
      </c>
    </row>
    <row r="468" spans="1:7" ht="15.5" x14ac:dyDescent="0.35">
      <c r="A468" s="224" t="s">
        <v>53</v>
      </c>
      <c r="B468" s="224" t="s">
        <v>42</v>
      </c>
      <c r="C468" s="224" t="s">
        <v>108</v>
      </c>
      <c r="D468" s="224" t="s">
        <v>257</v>
      </c>
      <c r="E468" s="224" t="str">
        <f>VLOOKUP($B468,'FRS geographical categories'!$A$2:$C$45,2,FALSE)</f>
        <v>Predominantly Rural</v>
      </c>
      <c r="F468" s="224" t="str">
        <f>VLOOKUP($B468,'FRS geographical categories'!$A$2:$C$45,3,FALSE)</f>
        <v>Non-metropolitan</v>
      </c>
      <c r="G468" s="98">
        <v>1107</v>
      </c>
    </row>
    <row r="469" spans="1:7" ht="15.5" x14ac:dyDescent="0.35">
      <c r="A469" s="224" t="s">
        <v>53</v>
      </c>
      <c r="B469" s="224" t="s">
        <v>42</v>
      </c>
      <c r="C469" s="224" t="s">
        <v>109</v>
      </c>
      <c r="D469" s="224" t="s">
        <v>257</v>
      </c>
      <c r="E469" s="224" t="str">
        <f>VLOOKUP($B469,'FRS geographical categories'!$A$2:$C$45,2,FALSE)</f>
        <v>Predominantly Rural</v>
      </c>
      <c r="F469" s="224" t="str">
        <f>VLOOKUP($B469,'FRS geographical categories'!$A$2:$C$45,3,FALSE)</f>
        <v>Non-metropolitan</v>
      </c>
      <c r="G469" s="98">
        <v>0</v>
      </c>
    </row>
    <row r="470" spans="1:7" ht="15.5" x14ac:dyDescent="0.35">
      <c r="A470" s="224" t="s">
        <v>53</v>
      </c>
      <c r="B470" s="224" t="s">
        <v>43</v>
      </c>
      <c r="C470" s="224" t="s">
        <v>102</v>
      </c>
      <c r="D470" s="224" t="s">
        <v>257</v>
      </c>
      <c r="E470" s="224" t="str">
        <f>VLOOKUP($B470,'FRS geographical categories'!$A$2:$C$45,2,FALSE)</f>
        <v>Predominantly Rural</v>
      </c>
      <c r="F470" s="224" t="str">
        <f>VLOOKUP($B470,'FRS geographical categories'!$A$2:$C$45,3,FALSE)</f>
        <v>Non-metropolitan</v>
      </c>
      <c r="G470" s="98">
        <v>0</v>
      </c>
    </row>
    <row r="471" spans="1:7" ht="15.5" x14ac:dyDescent="0.35">
      <c r="A471" s="224" t="s">
        <v>53</v>
      </c>
      <c r="B471" s="224" t="s">
        <v>43</v>
      </c>
      <c r="C471" s="224" t="s">
        <v>105</v>
      </c>
      <c r="D471" s="224" t="s">
        <v>257</v>
      </c>
      <c r="E471" s="224" t="str">
        <f>VLOOKUP($B471,'FRS geographical categories'!$A$2:$C$45,2,FALSE)</f>
        <v>Predominantly Rural</v>
      </c>
      <c r="F471" s="224" t="str">
        <f>VLOOKUP($B471,'FRS geographical categories'!$A$2:$C$45,3,FALSE)</f>
        <v>Non-metropolitan</v>
      </c>
      <c r="G471" s="98">
        <v>0</v>
      </c>
    </row>
    <row r="472" spans="1:7" ht="15.5" x14ac:dyDescent="0.35">
      <c r="A472" s="224" t="s">
        <v>53</v>
      </c>
      <c r="B472" s="224" t="s">
        <v>43</v>
      </c>
      <c r="C472" s="224" t="s">
        <v>106</v>
      </c>
      <c r="D472" s="224" t="s">
        <v>257</v>
      </c>
      <c r="E472" s="224" t="str">
        <f>VLOOKUP($B472,'FRS geographical categories'!$A$2:$C$45,2,FALSE)</f>
        <v>Predominantly Rural</v>
      </c>
      <c r="F472" s="224" t="str">
        <f>VLOOKUP($B472,'FRS geographical categories'!$A$2:$C$45,3,FALSE)</f>
        <v>Non-metropolitan</v>
      </c>
      <c r="G472" s="98">
        <v>2370</v>
      </c>
    </row>
    <row r="473" spans="1:7" ht="15.5" x14ac:dyDescent="0.35">
      <c r="A473" s="224" t="s">
        <v>53</v>
      </c>
      <c r="B473" s="224" t="s">
        <v>43</v>
      </c>
      <c r="C473" s="224" t="s">
        <v>107</v>
      </c>
      <c r="D473" s="224" t="s">
        <v>257</v>
      </c>
      <c r="E473" s="224" t="str">
        <f>VLOOKUP($B473,'FRS geographical categories'!$A$2:$C$45,2,FALSE)</f>
        <v>Predominantly Rural</v>
      </c>
      <c r="F473" s="224" t="str">
        <f>VLOOKUP($B473,'FRS geographical categories'!$A$2:$C$45,3,FALSE)</f>
        <v>Non-metropolitan</v>
      </c>
      <c r="G473" s="98">
        <v>0</v>
      </c>
    </row>
    <row r="474" spans="1:7" ht="15.5" x14ac:dyDescent="0.35">
      <c r="A474" s="224" t="s">
        <v>53</v>
      </c>
      <c r="B474" s="224" t="s">
        <v>43</v>
      </c>
      <c r="C474" s="224" t="s">
        <v>108</v>
      </c>
      <c r="D474" s="224" t="s">
        <v>257</v>
      </c>
      <c r="E474" s="224" t="str">
        <f>VLOOKUP($B474,'FRS geographical categories'!$A$2:$C$45,2,FALSE)</f>
        <v>Predominantly Rural</v>
      </c>
      <c r="F474" s="224" t="str">
        <f>VLOOKUP($B474,'FRS geographical categories'!$A$2:$C$45,3,FALSE)</f>
        <v>Non-metropolitan</v>
      </c>
      <c r="G474" s="98">
        <v>736</v>
      </c>
    </row>
    <row r="475" spans="1:7" ht="15.5" x14ac:dyDescent="0.35">
      <c r="A475" s="224" t="s">
        <v>53</v>
      </c>
      <c r="B475" s="224" t="s">
        <v>43</v>
      </c>
      <c r="C475" s="224" t="s">
        <v>109</v>
      </c>
      <c r="D475" s="224" t="s">
        <v>257</v>
      </c>
      <c r="E475" s="224" t="str">
        <f>VLOOKUP($B475,'FRS geographical categories'!$A$2:$C$45,2,FALSE)</f>
        <v>Predominantly Rural</v>
      </c>
      <c r="F475" s="224" t="str">
        <f>VLOOKUP($B475,'FRS geographical categories'!$A$2:$C$45,3,FALSE)</f>
        <v>Non-metropolitan</v>
      </c>
      <c r="G475" s="98">
        <v>1894</v>
      </c>
    </row>
    <row r="476" spans="1:7" ht="15.5" x14ac:dyDescent="0.35">
      <c r="A476" s="224" t="s">
        <v>53</v>
      </c>
      <c r="B476" s="224" t="s">
        <v>44</v>
      </c>
      <c r="C476" s="224" t="s">
        <v>102</v>
      </c>
      <c r="D476" s="224" t="s">
        <v>257</v>
      </c>
      <c r="E476" s="224" t="str">
        <f>VLOOKUP($B476,'FRS geographical categories'!$A$2:$C$45,2,FALSE)</f>
        <v>Predominantly Urban</v>
      </c>
      <c r="F476" s="224" t="str">
        <f>VLOOKUP($B476,'FRS geographical categories'!$A$2:$C$45,3,FALSE)</f>
        <v>Metropolitan</v>
      </c>
      <c r="G476" s="98">
        <v>5786</v>
      </c>
    </row>
    <row r="477" spans="1:7" ht="15.5" x14ac:dyDescent="0.35">
      <c r="A477" s="224" t="s">
        <v>53</v>
      </c>
      <c r="B477" s="224" t="s">
        <v>44</v>
      </c>
      <c r="C477" s="224" t="s">
        <v>105</v>
      </c>
      <c r="D477" s="224" t="s">
        <v>257</v>
      </c>
      <c r="E477" s="224" t="str">
        <f>VLOOKUP($B477,'FRS geographical categories'!$A$2:$C$45,2,FALSE)</f>
        <v>Predominantly Urban</v>
      </c>
      <c r="F477" s="224" t="str">
        <f>VLOOKUP($B477,'FRS geographical categories'!$A$2:$C$45,3,FALSE)</f>
        <v>Metropolitan</v>
      </c>
      <c r="G477" s="98">
        <v>0</v>
      </c>
    </row>
    <row r="478" spans="1:7" ht="15.5" x14ac:dyDescent="0.35">
      <c r="A478" s="224" t="s">
        <v>53</v>
      </c>
      <c r="B478" s="224" t="s">
        <v>44</v>
      </c>
      <c r="C478" s="224" t="s">
        <v>106</v>
      </c>
      <c r="D478" s="224" t="s">
        <v>257</v>
      </c>
      <c r="E478" s="224" t="str">
        <f>VLOOKUP($B478,'FRS geographical categories'!$A$2:$C$45,2,FALSE)</f>
        <v>Predominantly Urban</v>
      </c>
      <c r="F478" s="224" t="str">
        <f>VLOOKUP($B478,'FRS geographical categories'!$A$2:$C$45,3,FALSE)</f>
        <v>Metropolitan</v>
      </c>
      <c r="G478" s="98">
        <v>29056</v>
      </c>
    </row>
    <row r="479" spans="1:7" ht="15.5" x14ac:dyDescent="0.35">
      <c r="A479" s="224" t="s">
        <v>53</v>
      </c>
      <c r="B479" s="224" t="s">
        <v>44</v>
      </c>
      <c r="C479" s="224" t="s">
        <v>107</v>
      </c>
      <c r="D479" s="224" t="s">
        <v>257</v>
      </c>
      <c r="E479" s="224" t="str">
        <f>VLOOKUP($B479,'FRS geographical categories'!$A$2:$C$45,2,FALSE)</f>
        <v>Predominantly Urban</v>
      </c>
      <c r="F479" s="224" t="str">
        <f>VLOOKUP($B479,'FRS geographical categories'!$A$2:$C$45,3,FALSE)</f>
        <v>Metropolitan</v>
      </c>
      <c r="G479" s="98">
        <v>56</v>
      </c>
    </row>
    <row r="480" spans="1:7" ht="15.5" x14ac:dyDescent="0.35">
      <c r="A480" s="224" t="s">
        <v>53</v>
      </c>
      <c r="B480" s="224" t="s">
        <v>44</v>
      </c>
      <c r="C480" s="224" t="s">
        <v>108</v>
      </c>
      <c r="D480" s="224" t="s">
        <v>257</v>
      </c>
      <c r="E480" s="224" t="str">
        <f>VLOOKUP($B480,'FRS geographical categories'!$A$2:$C$45,2,FALSE)</f>
        <v>Predominantly Urban</v>
      </c>
      <c r="F480" s="224" t="str">
        <f>VLOOKUP($B480,'FRS geographical categories'!$A$2:$C$45,3,FALSE)</f>
        <v>Metropolitan</v>
      </c>
      <c r="G480" s="98">
        <v>0</v>
      </c>
    </row>
    <row r="481" spans="1:7" ht="15.5" x14ac:dyDescent="0.35">
      <c r="A481" s="224" t="s">
        <v>53</v>
      </c>
      <c r="B481" s="224" t="s">
        <v>44</v>
      </c>
      <c r="C481" s="224" t="s">
        <v>109</v>
      </c>
      <c r="D481" s="224" t="s">
        <v>257</v>
      </c>
      <c r="E481" s="224" t="str">
        <f>VLOOKUP($B481,'FRS geographical categories'!$A$2:$C$45,2,FALSE)</f>
        <v>Predominantly Urban</v>
      </c>
      <c r="F481" s="224" t="str">
        <f>VLOOKUP($B481,'FRS geographical categories'!$A$2:$C$45,3,FALSE)</f>
        <v>Metropolitan</v>
      </c>
      <c r="G481" s="98">
        <v>0</v>
      </c>
    </row>
    <row r="482" spans="1:7" ht="15.5" x14ac:dyDescent="0.35">
      <c r="A482" s="224" t="s">
        <v>53</v>
      </c>
      <c r="B482" s="224" t="s">
        <v>45</v>
      </c>
      <c r="C482" s="224" t="s">
        <v>102</v>
      </c>
      <c r="D482" s="224" t="s">
        <v>257</v>
      </c>
      <c r="E482" s="224" t="str">
        <f>VLOOKUP($B482,'FRS geographical categories'!$A$2:$C$45,2,FALSE)</f>
        <v>Significantly Rural</v>
      </c>
      <c r="F482" s="224" t="str">
        <f>VLOOKUP($B482,'FRS geographical categories'!$A$2:$C$45,3,FALSE)</f>
        <v>Non-metropolitan</v>
      </c>
      <c r="G482" s="98">
        <v>0</v>
      </c>
    </row>
    <row r="483" spans="1:7" ht="15.5" x14ac:dyDescent="0.35">
      <c r="A483" s="224" t="s">
        <v>53</v>
      </c>
      <c r="B483" s="224" t="s">
        <v>45</v>
      </c>
      <c r="C483" s="224" t="s">
        <v>105</v>
      </c>
      <c r="D483" s="224" t="s">
        <v>257</v>
      </c>
      <c r="E483" s="224" t="str">
        <f>VLOOKUP($B483,'FRS geographical categories'!$A$2:$C$45,2,FALSE)</f>
        <v>Significantly Rural</v>
      </c>
      <c r="F483" s="224" t="str">
        <f>VLOOKUP($B483,'FRS geographical categories'!$A$2:$C$45,3,FALSE)</f>
        <v>Non-metropolitan</v>
      </c>
      <c r="G483" s="98">
        <v>0</v>
      </c>
    </row>
    <row r="484" spans="1:7" ht="15.5" x14ac:dyDescent="0.35">
      <c r="A484" s="224" t="s">
        <v>53</v>
      </c>
      <c r="B484" s="224" t="s">
        <v>45</v>
      </c>
      <c r="C484" s="224" t="s">
        <v>106</v>
      </c>
      <c r="D484" s="224" t="s">
        <v>257</v>
      </c>
      <c r="E484" s="224" t="str">
        <f>VLOOKUP($B484,'FRS geographical categories'!$A$2:$C$45,2,FALSE)</f>
        <v>Significantly Rural</v>
      </c>
      <c r="F484" s="224" t="str">
        <f>VLOOKUP($B484,'FRS geographical categories'!$A$2:$C$45,3,FALSE)</f>
        <v>Non-metropolitan</v>
      </c>
      <c r="G484" s="98">
        <v>0</v>
      </c>
    </row>
    <row r="485" spans="1:7" ht="15.5" x14ac:dyDescent="0.35">
      <c r="A485" s="224" t="s">
        <v>53</v>
      </c>
      <c r="B485" s="224" t="s">
        <v>45</v>
      </c>
      <c r="C485" s="224" t="s">
        <v>107</v>
      </c>
      <c r="D485" s="224" t="s">
        <v>257</v>
      </c>
      <c r="E485" s="224" t="str">
        <f>VLOOKUP($B485,'FRS geographical categories'!$A$2:$C$45,2,FALSE)</f>
        <v>Significantly Rural</v>
      </c>
      <c r="F485" s="224" t="str">
        <f>VLOOKUP($B485,'FRS geographical categories'!$A$2:$C$45,3,FALSE)</f>
        <v>Non-metropolitan</v>
      </c>
      <c r="G485" s="98">
        <v>0</v>
      </c>
    </row>
    <row r="486" spans="1:7" ht="15.5" x14ac:dyDescent="0.35">
      <c r="A486" s="224" t="s">
        <v>53</v>
      </c>
      <c r="B486" s="224" t="s">
        <v>45</v>
      </c>
      <c r="C486" s="224" t="s">
        <v>108</v>
      </c>
      <c r="D486" s="224" t="s">
        <v>257</v>
      </c>
      <c r="E486" s="224" t="str">
        <f>VLOOKUP($B486,'FRS geographical categories'!$A$2:$C$45,2,FALSE)</f>
        <v>Significantly Rural</v>
      </c>
      <c r="F486" s="224" t="str">
        <f>VLOOKUP($B486,'FRS geographical categories'!$A$2:$C$45,3,FALSE)</f>
        <v>Non-metropolitan</v>
      </c>
      <c r="G486" s="98">
        <v>0</v>
      </c>
    </row>
    <row r="487" spans="1:7" ht="15.5" x14ac:dyDescent="0.35">
      <c r="A487" s="224" t="s">
        <v>53</v>
      </c>
      <c r="B487" s="224" t="s">
        <v>45</v>
      </c>
      <c r="C487" s="224" t="s">
        <v>109</v>
      </c>
      <c r="D487" s="224" t="s">
        <v>257</v>
      </c>
      <c r="E487" s="224" t="str">
        <f>VLOOKUP($B487,'FRS geographical categories'!$A$2:$C$45,2,FALSE)</f>
        <v>Significantly Rural</v>
      </c>
      <c r="F487" s="224" t="str">
        <f>VLOOKUP($B487,'FRS geographical categories'!$A$2:$C$45,3,FALSE)</f>
        <v>Non-metropolitan</v>
      </c>
      <c r="G487" s="98">
        <v>0</v>
      </c>
    </row>
    <row r="488" spans="1:7" ht="15.5" x14ac:dyDescent="0.35">
      <c r="A488" s="224" t="s">
        <v>53</v>
      </c>
      <c r="B488" s="224" t="s">
        <v>46</v>
      </c>
      <c r="C488" s="224" t="s">
        <v>102</v>
      </c>
      <c r="D488" s="224" t="s">
        <v>257</v>
      </c>
      <c r="E488" s="224" t="str">
        <f>VLOOKUP($B488,'FRS geographical categories'!$A$2:$C$45,2,FALSE)</f>
        <v>Predominantly Rural</v>
      </c>
      <c r="F488" s="224" t="str">
        <f>VLOOKUP($B488,'FRS geographical categories'!$A$2:$C$45,3,FALSE)</f>
        <v>Non-metropolitan</v>
      </c>
      <c r="G488" s="98">
        <v>0</v>
      </c>
    </row>
    <row r="489" spans="1:7" ht="15.5" x14ac:dyDescent="0.35">
      <c r="A489" s="224" t="s">
        <v>53</v>
      </c>
      <c r="B489" s="224" t="s">
        <v>46</v>
      </c>
      <c r="C489" s="224" t="s">
        <v>105</v>
      </c>
      <c r="D489" s="224" t="s">
        <v>257</v>
      </c>
      <c r="E489" s="224" t="str">
        <f>VLOOKUP($B489,'FRS geographical categories'!$A$2:$C$45,2,FALSE)</f>
        <v>Predominantly Rural</v>
      </c>
      <c r="F489" s="224" t="str">
        <f>VLOOKUP($B489,'FRS geographical categories'!$A$2:$C$45,3,FALSE)</f>
        <v>Non-metropolitan</v>
      </c>
      <c r="G489" s="98">
        <v>0</v>
      </c>
    </row>
    <row r="490" spans="1:7" ht="15.5" x14ac:dyDescent="0.35">
      <c r="A490" s="224" t="s">
        <v>53</v>
      </c>
      <c r="B490" s="224" t="s">
        <v>46</v>
      </c>
      <c r="C490" s="224" t="s">
        <v>106</v>
      </c>
      <c r="D490" s="224" t="s">
        <v>257</v>
      </c>
      <c r="E490" s="224" t="str">
        <f>VLOOKUP($B490,'FRS geographical categories'!$A$2:$C$45,2,FALSE)</f>
        <v>Predominantly Rural</v>
      </c>
      <c r="F490" s="224" t="str">
        <f>VLOOKUP($B490,'FRS geographical categories'!$A$2:$C$45,3,FALSE)</f>
        <v>Non-metropolitan</v>
      </c>
      <c r="G490" s="98">
        <v>2040</v>
      </c>
    </row>
    <row r="491" spans="1:7" ht="15.5" x14ac:dyDescent="0.35">
      <c r="A491" s="224" t="s">
        <v>53</v>
      </c>
      <c r="B491" s="224" t="s">
        <v>46</v>
      </c>
      <c r="C491" s="224" t="s">
        <v>107</v>
      </c>
      <c r="D491" s="224" t="s">
        <v>257</v>
      </c>
      <c r="E491" s="224" t="str">
        <f>VLOOKUP($B491,'FRS geographical categories'!$A$2:$C$45,2,FALSE)</f>
        <v>Predominantly Rural</v>
      </c>
      <c r="F491" s="224" t="str">
        <f>VLOOKUP($B491,'FRS geographical categories'!$A$2:$C$45,3,FALSE)</f>
        <v>Non-metropolitan</v>
      </c>
      <c r="G491" s="98">
        <v>282</v>
      </c>
    </row>
    <row r="492" spans="1:7" ht="15.5" x14ac:dyDescent="0.35">
      <c r="A492" s="224" t="s">
        <v>53</v>
      </c>
      <c r="B492" s="224" t="s">
        <v>46</v>
      </c>
      <c r="C492" s="224" t="s">
        <v>108</v>
      </c>
      <c r="D492" s="224" t="s">
        <v>257</v>
      </c>
      <c r="E492" s="224" t="str">
        <f>VLOOKUP($B492,'FRS geographical categories'!$A$2:$C$45,2,FALSE)</f>
        <v>Predominantly Rural</v>
      </c>
      <c r="F492" s="224" t="str">
        <f>VLOOKUP($B492,'FRS geographical categories'!$A$2:$C$45,3,FALSE)</f>
        <v>Non-metropolitan</v>
      </c>
      <c r="G492" s="98">
        <v>1190</v>
      </c>
    </row>
    <row r="493" spans="1:7" ht="15.5" x14ac:dyDescent="0.35">
      <c r="A493" s="224" t="s">
        <v>53</v>
      </c>
      <c r="B493" s="224" t="s">
        <v>46</v>
      </c>
      <c r="C493" s="224" t="s">
        <v>109</v>
      </c>
      <c r="D493" s="224" t="s">
        <v>257</v>
      </c>
      <c r="E493" s="224" t="str">
        <f>VLOOKUP($B493,'FRS geographical categories'!$A$2:$C$45,2,FALSE)</f>
        <v>Predominantly Rural</v>
      </c>
      <c r="F493" s="224" t="str">
        <f>VLOOKUP($B493,'FRS geographical categories'!$A$2:$C$45,3,FALSE)</f>
        <v>Non-metropolitan</v>
      </c>
      <c r="G493" s="98">
        <v>0</v>
      </c>
    </row>
    <row r="494" spans="1:7" ht="15.5" x14ac:dyDescent="0.35">
      <c r="A494" s="224" t="s">
        <v>53</v>
      </c>
      <c r="B494" s="224" t="s">
        <v>47</v>
      </c>
      <c r="C494" s="224" t="s">
        <v>102</v>
      </c>
      <c r="D494" s="224" t="s">
        <v>257</v>
      </c>
      <c r="E494" s="224" t="str">
        <f>VLOOKUP($B494,'FRS geographical categories'!$A$2:$C$45,2,FALSE)</f>
        <v>Predominantly Urban</v>
      </c>
      <c r="F494" s="224" t="str">
        <f>VLOOKUP($B494,'FRS geographical categories'!$A$2:$C$45,3,FALSE)</f>
        <v>Non-metropolitan</v>
      </c>
      <c r="G494" s="98">
        <v>0</v>
      </c>
    </row>
    <row r="495" spans="1:7" ht="15.5" x14ac:dyDescent="0.35">
      <c r="A495" s="224" t="s">
        <v>53</v>
      </c>
      <c r="B495" s="224" t="s">
        <v>47</v>
      </c>
      <c r="C495" s="224" t="s">
        <v>105</v>
      </c>
      <c r="D495" s="224" t="s">
        <v>257</v>
      </c>
      <c r="E495" s="224" t="str">
        <f>VLOOKUP($B495,'FRS geographical categories'!$A$2:$C$45,2,FALSE)</f>
        <v>Predominantly Urban</v>
      </c>
      <c r="F495" s="224" t="str">
        <f>VLOOKUP($B495,'FRS geographical categories'!$A$2:$C$45,3,FALSE)</f>
        <v>Non-metropolitan</v>
      </c>
      <c r="G495" s="98">
        <v>0</v>
      </c>
    </row>
    <row r="496" spans="1:7" ht="15.5" x14ac:dyDescent="0.35">
      <c r="A496" s="224" t="s">
        <v>53</v>
      </c>
      <c r="B496" s="224" t="s">
        <v>47</v>
      </c>
      <c r="C496" s="224" t="s">
        <v>106</v>
      </c>
      <c r="D496" s="224" t="s">
        <v>257</v>
      </c>
      <c r="E496" s="224" t="str">
        <f>VLOOKUP($B496,'FRS geographical categories'!$A$2:$C$45,2,FALSE)</f>
        <v>Predominantly Urban</v>
      </c>
      <c r="F496" s="224" t="str">
        <f>VLOOKUP($B496,'FRS geographical categories'!$A$2:$C$45,3,FALSE)</f>
        <v>Non-metropolitan</v>
      </c>
      <c r="G496" s="98">
        <v>7369</v>
      </c>
    </row>
    <row r="497" spans="1:7" ht="15.5" x14ac:dyDescent="0.35">
      <c r="A497" s="224" t="s">
        <v>53</v>
      </c>
      <c r="B497" s="224" t="s">
        <v>47</v>
      </c>
      <c r="C497" s="224" t="s">
        <v>107</v>
      </c>
      <c r="D497" s="224" t="s">
        <v>257</v>
      </c>
      <c r="E497" s="224" t="str">
        <f>VLOOKUP($B497,'FRS geographical categories'!$A$2:$C$45,2,FALSE)</f>
        <v>Predominantly Urban</v>
      </c>
      <c r="F497" s="224" t="str">
        <f>VLOOKUP($B497,'FRS geographical categories'!$A$2:$C$45,3,FALSE)</f>
        <v>Non-metropolitan</v>
      </c>
      <c r="G497" s="98">
        <v>1144</v>
      </c>
    </row>
    <row r="498" spans="1:7" ht="15.5" x14ac:dyDescent="0.35">
      <c r="A498" s="224" t="s">
        <v>53</v>
      </c>
      <c r="B498" s="224" t="s">
        <v>47</v>
      </c>
      <c r="C498" s="224" t="s">
        <v>108</v>
      </c>
      <c r="D498" s="224" t="s">
        <v>257</v>
      </c>
      <c r="E498" s="224" t="str">
        <f>VLOOKUP($B498,'FRS geographical categories'!$A$2:$C$45,2,FALSE)</f>
        <v>Predominantly Urban</v>
      </c>
      <c r="F498" s="224" t="str">
        <f>VLOOKUP($B498,'FRS geographical categories'!$A$2:$C$45,3,FALSE)</f>
        <v>Non-metropolitan</v>
      </c>
      <c r="G498" s="98">
        <v>595</v>
      </c>
    </row>
    <row r="499" spans="1:7" ht="15.5" x14ac:dyDescent="0.35">
      <c r="A499" s="224" t="s">
        <v>53</v>
      </c>
      <c r="B499" s="224" t="s">
        <v>47</v>
      </c>
      <c r="C499" s="224" t="s">
        <v>109</v>
      </c>
      <c r="D499" s="224" t="s">
        <v>257</v>
      </c>
      <c r="E499" s="224" t="str">
        <f>VLOOKUP($B499,'FRS geographical categories'!$A$2:$C$45,2,FALSE)</f>
        <v>Predominantly Urban</v>
      </c>
      <c r="F499" s="224" t="str">
        <f>VLOOKUP($B499,'FRS geographical categories'!$A$2:$C$45,3,FALSE)</f>
        <v>Non-metropolitan</v>
      </c>
      <c r="G499" s="98">
        <v>0</v>
      </c>
    </row>
    <row r="500" spans="1:7" ht="15.5" x14ac:dyDescent="0.35">
      <c r="A500" s="224" t="s">
        <v>53</v>
      </c>
      <c r="B500" s="224" t="s">
        <v>48</v>
      </c>
      <c r="C500" s="224" t="s">
        <v>102</v>
      </c>
      <c r="D500" s="224" t="s">
        <v>257</v>
      </c>
      <c r="E500" s="224" t="str">
        <f>VLOOKUP($B500,'FRS geographical categories'!$A$2:$C$45,2,FALSE)</f>
        <v>Predominantly Urban</v>
      </c>
      <c r="F500" s="224" t="str">
        <f>VLOOKUP($B500,'FRS geographical categories'!$A$2:$C$45,3,FALSE)</f>
        <v>Metropolitan</v>
      </c>
      <c r="G500" s="98">
        <v>0</v>
      </c>
    </row>
    <row r="501" spans="1:7" ht="15.5" x14ac:dyDescent="0.35">
      <c r="A501" s="224" t="s">
        <v>53</v>
      </c>
      <c r="B501" s="224" t="s">
        <v>48</v>
      </c>
      <c r="C501" s="224" t="s">
        <v>105</v>
      </c>
      <c r="D501" s="224" t="s">
        <v>257</v>
      </c>
      <c r="E501" s="224" t="str">
        <f>VLOOKUP($B501,'FRS geographical categories'!$A$2:$C$45,2,FALSE)</f>
        <v>Predominantly Urban</v>
      </c>
      <c r="F501" s="224" t="str">
        <f>VLOOKUP($B501,'FRS geographical categories'!$A$2:$C$45,3,FALSE)</f>
        <v>Metropolitan</v>
      </c>
      <c r="G501" s="98">
        <v>6887</v>
      </c>
    </row>
    <row r="502" spans="1:7" ht="15.5" x14ac:dyDescent="0.35">
      <c r="A502" s="224" t="s">
        <v>53</v>
      </c>
      <c r="B502" s="224" t="s">
        <v>48</v>
      </c>
      <c r="C502" s="224" t="s">
        <v>106</v>
      </c>
      <c r="D502" s="224" t="s">
        <v>257</v>
      </c>
      <c r="E502" s="224" t="str">
        <f>VLOOKUP($B502,'FRS geographical categories'!$A$2:$C$45,2,FALSE)</f>
        <v>Predominantly Urban</v>
      </c>
      <c r="F502" s="224" t="str">
        <f>VLOOKUP($B502,'FRS geographical categories'!$A$2:$C$45,3,FALSE)</f>
        <v>Metropolitan</v>
      </c>
      <c r="G502" s="98">
        <v>26826</v>
      </c>
    </row>
    <row r="503" spans="1:7" ht="15.5" x14ac:dyDescent="0.35">
      <c r="A503" s="224" t="s">
        <v>53</v>
      </c>
      <c r="B503" s="224" t="s">
        <v>48</v>
      </c>
      <c r="C503" s="224" t="s">
        <v>107</v>
      </c>
      <c r="D503" s="224" t="s">
        <v>257</v>
      </c>
      <c r="E503" s="224" t="str">
        <f>VLOOKUP($B503,'FRS geographical categories'!$A$2:$C$45,2,FALSE)</f>
        <v>Predominantly Urban</v>
      </c>
      <c r="F503" s="224" t="str">
        <f>VLOOKUP($B503,'FRS geographical categories'!$A$2:$C$45,3,FALSE)</f>
        <v>Metropolitan</v>
      </c>
      <c r="G503" s="98">
        <v>0</v>
      </c>
    </row>
    <row r="504" spans="1:7" ht="15.5" x14ac:dyDescent="0.35">
      <c r="A504" s="224" t="s">
        <v>53</v>
      </c>
      <c r="B504" s="224" t="s">
        <v>48</v>
      </c>
      <c r="C504" s="224" t="s">
        <v>108</v>
      </c>
      <c r="D504" s="224" t="s">
        <v>257</v>
      </c>
      <c r="E504" s="224" t="str">
        <f>VLOOKUP($B504,'FRS geographical categories'!$A$2:$C$45,2,FALSE)</f>
        <v>Predominantly Urban</v>
      </c>
      <c r="F504" s="224" t="str">
        <f>VLOOKUP($B504,'FRS geographical categories'!$A$2:$C$45,3,FALSE)</f>
        <v>Metropolitan</v>
      </c>
      <c r="G504" s="98">
        <v>19760</v>
      </c>
    </row>
    <row r="505" spans="1:7" ht="15.5" x14ac:dyDescent="0.35">
      <c r="A505" s="224" t="s">
        <v>53</v>
      </c>
      <c r="B505" s="224" t="s">
        <v>48</v>
      </c>
      <c r="C505" s="224" t="s">
        <v>109</v>
      </c>
      <c r="D505" s="224" t="s">
        <v>257</v>
      </c>
      <c r="E505" s="224" t="str">
        <f>VLOOKUP($B505,'FRS geographical categories'!$A$2:$C$45,2,FALSE)</f>
        <v>Predominantly Urban</v>
      </c>
      <c r="F505" s="224" t="str">
        <f>VLOOKUP($B505,'FRS geographical categories'!$A$2:$C$45,3,FALSE)</f>
        <v>Metropolitan</v>
      </c>
      <c r="G505" s="98">
        <v>0</v>
      </c>
    </row>
    <row r="506" spans="1:7" ht="15.5" x14ac:dyDescent="0.35">
      <c r="A506" s="224" t="s">
        <v>53</v>
      </c>
      <c r="B506" s="224" t="s">
        <v>49</v>
      </c>
      <c r="C506" s="224" t="s">
        <v>102</v>
      </c>
      <c r="D506" s="224" t="s">
        <v>257</v>
      </c>
      <c r="E506" s="224" t="str">
        <f>VLOOKUP($B506,'FRS geographical categories'!$A$2:$C$45,2,FALSE)</f>
        <v>Significantly Rural</v>
      </c>
      <c r="F506" s="224" t="str">
        <f>VLOOKUP($B506,'FRS geographical categories'!$A$2:$C$45,3,FALSE)</f>
        <v>Non-metropolitan</v>
      </c>
      <c r="G506" s="98">
        <v>0</v>
      </c>
    </row>
    <row r="507" spans="1:7" ht="15.5" x14ac:dyDescent="0.35">
      <c r="A507" s="224" t="s">
        <v>53</v>
      </c>
      <c r="B507" s="224" t="s">
        <v>49</v>
      </c>
      <c r="C507" s="224" t="s">
        <v>105</v>
      </c>
      <c r="D507" s="224" t="s">
        <v>257</v>
      </c>
      <c r="E507" s="224" t="str">
        <f>VLOOKUP($B507,'FRS geographical categories'!$A$2:$C$45,2,FALSE)</f>
        <v>Significantly Rural</v>
      </c>
      <c r="F507" s="224" t="str">
        <f>VLOOKUP($B507,'FRS geographical categories'!$A$2:$C$45,3,FALSE)</f>
        <v>Non-metropolitan</v>
      </c>
      <c r="G507" s="98">
        <v>0</v>
      </c>
    </row>
    <row r="508" spans="1:7" ht="15.5" x14ac:dyDescent="0.35">
      <c r="A508" s="224" t="s">
        <v>53</v>
      </c>
      <c r="B508" s="224" t="s">
        <v>49</v>
      </c>
      <c r="C508" s="224" t="s">
        <v>106</v>
      </c>
      <c r="D508" s="224" t="s">
        <v>257</v>
      </c>
      <c r="E508" s="224" t="str">
        <f>VLOOKUP($B508,'FRS geographical categories'!$A$2:$C$45,2,FALSE)</f>
        <v>Significantly Rural</v>
      </c>
      <c r="F508" s="224" t="str">
        <f>VLOOKUP($B508,'FRS geographical categories'!$A$2:$C$45,3,FALSE)</f>
        <v>Non-metropolitan</v>
      </c>
      <c r="G508" s="98">
        <v>11522</v>
      </c>
    </row>
    <row r="509" spans="1:7" ht="15.5" x14ac:dyDescent="0.35">
      <c r="A509" s="224" t="s">
        <v>53</v>
      </c>
      <c r="B509" s="224" t="s">
        <v>49</v>
      </c>
      <c r="C509" s="224" t="s">
        <v>107</v>
      </c>
      <c r="D509" s="224" t="s">
        <v>257</v>
      </c>
      <c r="E509" s="224" t="str">
        <f>VLOOKUP($B509,'FRS geographical categories'!$A$2:$C$45,2,FALSE)</f>
        <v>Significantly Rural</v>
      </c>
      <c r="F509" s="224" t="str">
        <f>VLOOKUP($B509,'FRS geographical categories'!$A$2:$C$45,3,FALSE)</f>
        <v>Non-metropolitan</v>
      </c>
      <c r="G509" s="98">
        <v>0</v>
      </c>
    </row>
    <row r="510" spans="1:7" ht="15.5" x14ac:dyDescent="0.35">
      <c r="A510" s="224" t="s">
        <v>53</v>
      </c>
      <c r="B510" s="224" t="s">
        <v>49</v>
      </c>
      <c r="C510" s="224" t="s">
        <v>108</v>
      </c>
      <c r="D510" s="224" t="s">
        <v>257</v>
      </c>
      <c r="E510" s="224" t="str">
        <f>VLOOKUP($B510,'FRS geographical categories'!$A$2:$C$45,2,FALSE)</f>
        <v>Significantly Rural</v>
      </c>
      <c r="F510" s="224" t="str">
        <f>VLOOKUP($B510,'FRS geographical categories'!$A$2:$C$45,3,FALSE)</f>
        <v>Non-metropolitan</v>
      </c>
      <c r="G510" s="98">
        <v>894</v>
      </c>
    </row>
    <row r="511" spans="1:7" ht="15.5" x14ac:dyDescent="0.35">
      <c r="A511" s="224" t="s">
        <v>53</v>
      </c>
      <c r="B511" s="224" t="s">
        <v>49</v>
      </c>
      <c r="C511" s="224" t="s">
        <v>109</v>
      </c>
      <c r="D511" s="224" t="s">
        <v>257</v>
      </c>
      <c r="E511" s="224" t="str">
        <f>VLOOKUP($B511,'FRS geographical categories'!$A$2:$C$45,2,FALSE)</f>
        <v>Significantly Rural</v>
      </c>
      <c r="F511" s="224" t="str">
        <f>VLOOKUP($B511,'FRS geographical categories'!$A$2:$C$45,3,FALSE)</f>
        <v>Non-metropolitan</v>
      </c>
      <c r="G511" s="98">
        <v>0</v>
      </c>
    </row>
    <row r="512" spans="1:7" ht="15.5" x14ac:dyDescent="0.35">
      <c r="A512" s="224" t="s">
        <v>53</v>
      </c>
      <c r="B512" s="224" t="s">
        <v>50</v>
      </c>
      <c r="C512" s="224" t="s">
        <v>102</v>
      </c>
      <c r="D512" s="224" t="s">
        <v>257</v>
      </c>
      <c r="E512" s="224" t="str">
        <f>VLOOKUP($B512,'FRS geographical categories'!$A$2:$C$45,2,FALSE)</f>
        <v>Predominantly Urban</v>
      </c>
      <c r="F512" s="224" t="str">
        <f>VLOOKUP($B512,'FRS geographical categories'!$A$2:$C$45,3,FALSE)</f>
        <v>Metropolitan</v>
      </c>
      <c r="G512" s="98">
        <v>0</v>
      </c>
    </row>
    <row r="513" spans="1:7" ht="15.5" x14ac:dyDescent="0.35">
      <c r="A513" s="224" t="s">
        <v>53</v>
      </c>
      <c r="B513" s="224" t="s">
        <v>50</v>
      </c>
      <c r="C513" s="224" t="s">
        <v>105</v>
      </c>
      <c r="D513" s="224" t="s">
        <v>257</v>
      </c>
      <c r="E513" s="224" t="str">
        <f>VLOOKUP($B513,'FRS geographical categories'!$A$2:$C$45,2,FALSE)</f>
        <v>Predominantly Urban</v>
      </c>
      <c r="F513" s="224" t="str">
        <f>VLOOKUP($B513,'FRS geographical categories'!$A$2:$C$45,3,FALSE)</f>
        <v>Metropolitan</v>
      </c>
      <c r="G513" s="98">
        <v>0</v>
      </c>
    </row>
    <row r="514" spans="1:7" ht="15.5" x14ac:dyDescent="0.35">
      <c r="A514" s="224" t="s">
        <v>53</v>
      </c>
      <c r="B514" s="224" t="s">
        <v>50</v>
      </c>
      <c r="C514" s="224" t="s">
        <v>106</v>
      </c>
      <c r="D514" s="224" t="s">
        <v>257</v>
      </c>
      <c r="E514" s="224" t="str">
        <f>VLOOKUP($B514,'FRS geographical categories'!$A$2:$C$45,2,FALSE)</f>
        <v>Predominantly Urban</v>
      </c>
      <c r="F514" s="224" t="str">
        <f>VLOOKUP($B514,'FRS geographical categories'!$A$2:$C$45,3,FALSE)</f>
        <v>Metropolitan</v>
      </c>
      <c r="G514" s="98">
        <v>141716</v>
      </c>
    </row>
    <row r="515" spans="1:7" ht="15.5" x14ac:dyDescent="0.35">
      <c r="A515" s="224" t="s">
        <v>53</v>
      </c>
      <c r="B515" s="224" t="s">
        <v>50</v>
      </c>
      <c r="C515" s="224" t="s">
        <v>107</v>
      </c>
      <c r="D515" s="224" t="s">
        <v>257</v>
      </c>
      <c r="E515" s="224" t="str">
        <f>VLOOKUP($B515,'FRS geographical categories'!$A$2:$C$45,2,FALSE)</f>
        <v>Predominantly Urban</v>
      </c>
      <c r="F515" s="224" t="str">
        <f>VLOOKUP($B515,'FRS geographical categories'!$A$2:$C$45,3,FALSE)</f>
        <v>Metropolitan</v>
      </c>
      <c r="G515" s="98">
        <v>0</v>
      </c>
    </row>
    <row r="516" spans="1:7" ht="15.5" x14ac:dyDescent="0.35">
      <c r="A516" s="224" t="s">
        <v>53</v>
      </c>
      <c r="B516" s="224" t="s">
        <v>50</v>
      </c>
      <c r="C516" s="224" t="s">
        <v>108</v>
      </c>
      <c r="D516" s="224" t="s">
        <v>257</v>
      </c>
      <c r="E516" s="224" t="str">
        <f>VLOOKUP($B516,'FRS geographical categories'!$A$2:$C$45,2,FALSE)</f>
        <v>Predominantly Urban</v>
      </c>
      <c r="F516" s="224" t="str">
        <f>VLOOKUP($B516,'FRS geographical categories'!$A$2:$C$45,3,FALSE)</f>
        <v>Metropolitan</v>
      </c>
      <c r="G516" s="98">
        <v>0</v>
      </c>
    </row>
    <row r="517" spans="1:7" ht="15.5" x14ac:dyDescent="0.35">
      <c r="A517" s="224" t="s">
        <v>53</v>
      </c>
      <c r="B517" s="224" t="s">
        <v>50</v>
      </c>
      <c r="C517" s="224" t="s">
        <v>109</v>
      </c>
      <c r="D517" s="224" t="s">
        <v>257</v>
      </c>
      <c r="E517" s="224" t="str">
        <f>VLOOKUP($B517,'FRS geographical categories'!$A$2:$C$45,2,FALSE)</f>
        <v>Predominantly Urban</v>
      </c>
      <c r="F517" s="224" t="str">
        <f>VLOOKUP($B517,'FRS geographical categories'!$A$2:$C$45,3,FALSE)</f>
        <v>Metropolitan</v>
      </c>
      <c r="G517" s="98">
        <v>0</v>
      </c>
    </row>
    <row r="518" spans="1:7" ht="15.5" x14ac:dyDescent="0.35">
      <c r="A518" s="224" t="s">
        <v>53</v>
      </c>
      <c r="B518" s="224" t="s">
        <v>51</v>
      </c>
      <c r="C518" s="224" t="s">
        <v>102</v>
      </c>
      <c r="D518" s="224" t="s">
        <v>257</v>
      </c>
      <c r="E518" s="224" t="str">
        <f>VLOOKUP($B518,'FRS geographical categories'!$A$2:$C$45,2,FALSE)</f>
        <v>Significantly Rural</v>
      </c>
      <c r="F518" s="224" t="str">
        <f>VLOOKUP($B518,'FRS geographical categories'!$A$2:$C$45,3,FALSE)</f>
        <v>Non-metropolitan</v>
      </c>
      <c r="G518" s="98">
        <v>2137</v>
      </c>
    </row>
    <row r="519" spans="1:7" ht="15.5" x14ac:dyDescent="0.35">
      <c r="A519" s="224" t="s">
        <v>53</v>
      </c>
      <c r="B519" s="224" t="s">
        <v>51</v>
      </c>
      <c r="C519" s="224" t="s">
        <v>105</v>
      </c>
      <c r="D519" s="224" t="s">
        <v>257</v>
      </c>
      <c r="E519" s="224" t="str">
        <f>VLOOKUP($B519,'FRS geographical categories'!$A$2:$C$45,2,FALSE)</f>
        <v>Significantly Rural</v>
      </c>
      <c r="F519" s="224" t="str">
        <f>VLOOKUP($B519,'FRS geographical categories'!$A$2:$C$45,3,FALSE)</f>
        <v>Non-metropolitan</v>
      </c>
      <c r="G519" s="98">
        <v>0</v>
      </c>
    </row>
    <row r="520" spans="1:7" ht="15.5" x14ac:dyDescent="0.35">
      <c r="A520" s="224" t="s">
        <v>53</v>
      </c>
      <c r="B520" s="224" t="s">
        <v>51</v>
      </c>
      <c r="C520" s="224" t="s">
        <v>106</v>
      </c>
      <c r="D520" s="224" t="s">
        <v>257</v>
      </c>
      <c r="E520" s="224" t="str">
        <f>VLOOKUP($B520,'FRS geographical categories'!$A$2:$C$45,2,FALSE)</f>
        <v>Significantly Rural</v>
      </c>
      <c r="F520" s="224" t="str">
        <f>VLOOKUP($B520,'FRS geographical categories'!$A$2:$C$45,3,FALSE)</f>
        <v>Non-metropolitan</v>
      </c>
      <c r="G520" s="98">
        <v>5124</v>
      </c>
    </row>
    <row r="521" spans="1:7" ht="15.5" x14ac:dyDescent="0.35">
      <c r="A521" s="224" t="s">
        <v>53</v>
      </c>
      <c r="B521" s="224" t="s">
        <v>51</v>
      </c>
      <c r="C521" s="224" t="s">
        <v>107</v>
      </c>
      <c r="D521" s="224" t="s">
        <v>257</v>
      </c>
      <c r="E521" s="224" t="str">
        <f>VLOOKUP($B521,'FRS geographical categories'!$A$2:$C$45,2,FALSE)</f>
        <v>Significantly Rural</v>
      </c>
      <c r="F521" s="224" t="str">
        <f>VLOOKUP($B521,'FRS geographical categories'!$A$2:$C$45,3,FALSE)</f>
        <v>Non-metropolitan</v>
      </c>
      <c r="G521" s="98">
        <v>0</v>
      </c>
    </row>
    <row r="522" spans="1:7" ht="15.5" x14ac:dyDescent="0.35">
      <c r="A522" s="224" t="s">
        <v>53</v>
      </c>
      <c r="B522" s="224" t="s">
        <v>51</v>
      </c>
      <c r="C522" s="224" t="s">
        <v>108</v>
      </c>
      <c r="D522" s="224" t="s">
        <v>257</v>
      </c>
      <c r="E522" s="224" t="str">
        <f>VLOOKUP($B522,'FRS geographical categories'!$A$2:$C$45,2,FALSE)</f>
        <v>Significantly Rural</v>
      </c>
      <c r="F522" s="224" t="str">
        <f>VLOOKUP($B522,'FRS geographical categories'!$A$2:$C$45,3,FALSE)</f>
        <v>Non-metropolitan</v>
      </c>
      <c r="G522" s="98">
        <v>0</v>
      </c>
    </row>
    <row r="523" spans="1:7" ht="15.5" x14ac:dyDescent="0.35">
      <c r="A523" s="224" t="s">
        <v>53</v>
      </c>
      <c r="B523" s="224" t="s">
        <v>51</v>
      </c>
      <c r="C523" s="224" t="s">
        <v>109</v>
      </c>
      <c r="D523" s="224" t="s">
        <v>257</v>
      </c>
      <c r="E523" s="224" t="str">
        <f>VLOOKUP($B523,'FRS geographical categories'!$A$2:$C$45,2,FALSE)</f>
        <v>Significantly Rural</v>
      </c>
      <c r="F523" s="224" t="str">
        <f>VLOOKUP($B523,'FRS geographical categories'!$A$2:$C$45,3,FALSE)</f>
        <v>Non-metropolitan</v>
      </c>
      <c r="G523" s="98">
        <v>0</v>
      </c>
    </row>
    <row r="524" spans="1:7" ht="15.5" x14ac:dyDescent="0.35">
      <c r="A524" s="224" t="s">
        <v>53</v>
      </c>
      <c r="B524" s="224" t="s">
        <v>52</v>
      </c>
      <c r="C524" s="224" t="s">
        <v>102</v>
      </c>
      <c r="D524" s="224" t="s">
        <v>257</v>
      </c>
      <c r="E524" s="224" t="str">
        <f>VLOOKUP($B524,'FRS geographical categories'!$A$2:$C$45,2,FALSE)</f>
        <v>Predominantly Urban</v>
      </c>
      <c r="F524" s="224" t="str">
        <f>VLOOKUP($B524,'FRS geographical categories'!$A$2:$C$45,3,FALSE)</f>
        <v>Metropolitan</v>
      </c>
      <c r="G524" s="98">
        <v>0</v>
      </c>
    </row>
    <row r="525" spans="1:7" ht="15.5" x14ac:dyDescent="0.35">
      <c r="A525" s="224" t="s">
        <v>53</v>
      </c>
      <c r="B525" s="224" t="s">
        <v>52</v>
      </c>
      <c r="C525" s="224" t="s">
        <v>105</v>
      </c>
      <c r="D525" s="224" t="s">
        <v>257</v>
      </c>
      <c r="E525" s="224" t="str">
        <f>VLOOKUP($B525,'FRS geographical categories'!$A$2:$C$45,2,FALSE)</f>
        <v>Predominantly Urban</v>
      </c>
      <c r="F525" s="224" t="str">
        <f>VLOOKUP($B525,'FRS geographical categories'!$A$2:$C$45,3,FALSE)</f>
        <v>Metropolitan</v>
      </c>
      <c r="G525" s="98">
        <v>0</v>
      </c>
    </row>
    <row r="526" spans="1:7" ht="15.5" x14ac:dyDescent="0.35">
      <c r="A526" s="224" t="s">
        <v>53</v>
      </c>
      <c r="B526" s="224" t="s">
        <v>52</v>
      </c>
      <c r="C526" s="224" t="s">
        <v>106</v>
      </c>
      <c r="D526" s="224" t="s">
        <v>257</v>
      </c>
      <c r="E526" s="224" t="str">
        <f>VLOOKUP($B526,'FRS geographical categories'!$A$2:$C$45,2,FALSE)</f>
        <v>Predominantly Urban</v>
      </c>
      <c r="F526" s="224" t="str">
        <f>VLOOKUP($B526,'FRS geographical categories'!$A$2:$C$45,3,FALSE)</f>
        <v>Metropolitan</v>
      </c>
      <c r="G526" s="98">
        <v>46772</v>
      </c>
    </row>
    <row r="527" spans="1:7" ht="15.5" x14ac:dyDescent="0.35">
      <c r="A527" s="224" t="s">
        <v>53</v>
      </c>
      <c r="B527" s="224" t="s">
        <v>52</v>
      </c>
      <c r="C527" s="224" t="s">
        <v>107</v>
      </c>
      <c r="D527" s="224" t="s">
        <v>257</v>
      </c>
      <c r="E527" s="224" t="str">
        <f>VLOOKUP($B527,'FRS geographical categories'!$A$2:$C$45,2,FALSE)</f>
        <v>Predominantly Urban</v>
      </c>
      <c r="F527" s="224" t="str">
        <f>VLOOKUP($B527,'FRS geographical categories'!$A$2:$C$45,3,FALSE)</f>
        <v>Metropolitan</v>
      </c>
      <c r="G527" s="98">
        <v>0</v>
      </c>
    </row>
    <row r="528" spans="1:7" ht="15.5" x14ac:dyDescent="0.35">
      <c r="A528" s="224" t="s">
        <v>53</v>
      </c>
      <c r="B528" s="224" t="s">
        <v>52</v>
      </c>
      <c r="C528" s="224" t="s">
        <v>108</v>
      </c>
      <c r="D528" s="224" t="s">
        <v>257</v>
      </c>
      <c r="E528" s="224" t="str">
        <f>VLOOKUP($B528,'FRS geographical categories'!$A$2:$C$45,2,FALSE)</f>
        <v>Predominantly Urban</v>
      </c>
      <c r="F528" s="224" t="str">
        <f>VLOOKUP($B528,'FRS geographical categories'!$A$2:$C$45,3,FALSE)</f>
        <v>Metropolitan</v>
      </c>
      <c r="G528" s="98">
        <v>3835</v>
      </c>
    </row>
    <row r="529" spans="1:7" ht="15.5" x14ac:dyDescent="0.35">
      <c r="A529" s="224" t="s">
        <v>53</v>
      </c>
      <c r="B529" s="224" t="s">
        <v>52</v>
      </c>
      <c r="C529" s="224" t="s">
        <v>109</v>
      </c>
      <c r="D529" s="224" t="s">
        <v>257</v>
      </c>
      <c r="E529" s="224" t="str">
        <f>VLOOKUP($B529,'FRS geographical categories'!$A$2:$C$45,2,FALSE)</f>
        <v>Predominantly Urban</v>
      </c>
      <c r="F529" s="224" t="str">
        <f>VLOOKUP($B529,'FRS geographical categories'!$A$2:$C$45,3,FALSE)</f>
        <v>Metropolitan</v>
      </c>
      <c r="G529" s="98">
        <v>0</v>
      </c>
    </row>
    <row r="530" spans="1:7" ht="15.5" x14ac:dyDescent="0.35">
      <c r="A530" s="224" t="s">
        <v>54</v>
      </c>
      <c r="B530" s="224" t="s">
        <v>8</v>
      </c>
      <c r="C530" s="224" t="s">
        <v>102</v>
      </c>
      <c r="D530" s="224" t="s">
        <v>257</v>
      </c>
      <c r="E530" s="224" t="str">
        <f>VLOOKUP($B530,'FRS geographical categories'!$A$2:$C$45,2,FALSE)</f>
        <v>Predominantly Urban</v>
      </c>
      <c r="F530" s="224" t="str">
        <f>VLOOKUP($B530,'FRS geographical categories'!$A$2:$C$45,3,FALSE)</f>
        <v>Non-metropolitan</v>
      </c>
      <c r="G530" s="98">
        <v>1756</v>
      </c>
    </row>
    <row r="531" spans="1:7" ht="15.5" x14ac:dyDescent="0.35">
      <c r="A531" s="224" t="s">
        <v>54</v>
      </c>
      <c r="B531" s="224" t="s">
        <v>8</v>
      </c>
      <c r="C531" s="224" t="s">
        <v>105</v>
      </c>
      <c r="D531" s="224" t="s">
        <v>257</v>
      </c>
      <c r="E531" s="224" t="str">
        <f>VLOOKUP($B531,'FRS geographical categories'!$A$2:$C$45,2,FALSE)</f>
        <v>Predominantly Urban</v>
      </c>
      <c r="F531" s="224" t="str">
        <f>VLOOKUP($B531,'FRS geographical categories'!$A$2:$C$45,3,FALSE)</f>
        <v>Non-metropolitan</v>
      </c>
      <c r="G531" s="98">
        <v>0</v>
      </c>
    </row>
    <row r="532" spans="1:7" ht="15.5" x14ac:dyDescent="0.35">
      <c r="A532" s="224" t="s">
        <v>54</v>
      </c>
      <c r="B532" s="224" t="s">
        <v>8</v>
      </c>
      <c r="C532" s="224" t="s">
        <v>106</v>
      </c>
      <c r="D532" s="224" t="s">
        <v>257</v>
      </c>
      <c r="E532" s="224" t="str">
        <f>VLOOKUP($B532,'FRS geographical categories'!$A$2:$C$45,2,FALSE)</f>
        <v>Predominantly Urban</v>
      </c>
      <c r="F532" s="224" t="str">
        <f>VLOOKUP($B532,'FRS geographical categories'!$A$2:$C$45,3,FALSE)</f>
        <v>Non-metropolitan</v>
      </c>
      <c r="G532" s="98">
        <v>2443</v>
      </c>
    </row>
    <row r="533" spans="1:7" ht="15.5" x14ac:dyDescent="0.35">
      <c r="A533" s="224" t="s">
        <v>54</v>
      </c>
      <c r="B533" s="224" t="s">
        <v>8</v>
      </c>
      <c r="C533" s="224" t="s">
        <v>107</v>
      </c>
      <c r="D533" s="224" t="s">
        <v>257</v>
      </c>
      <c r="E533" s="224" t="str">
        <f>VLOOKUP($B533,'FRS geographical categories'!$A$2:$C$45,2,FALSE)</f>
        <v>Predominantly Urban</v>
      </c>
      <c r="F533" s="224" t="str">
        <f>VLOOKUP($B533,'FRS geographical categories'!$A$2:$C$45,3,FALSE)</f>
        <v>Non-metropolitan</v>
      </c>
      <c r="G533" s="98">
        <v>0</v>
      </c>
    </row>
    <row r="534" spans="1:7" ht="15.5" x14ac:dyDescent="0.35">
      <c r="A534" s="224" t="s">
        <v>54</v>
      </c>
      <c r="B534" s="224" t="s">
        <v>8</v>
      </c>
      <c r="C534" s="224" t="s">
        <v>108</v>
      </c>
      <c r="D534" s="224" t="s">
        <v>257</v>
      </c>
      <c r="E534" s="224" t="str">
        <f>VLOOKUP($B534,'FRS geographical categories'!$A$2:$C$45,2,FALSE)</f>
        <v>Predominantly Urban</v>
      </c>
      <c r="F534" s="224" t="str">
        <f>VLOOKUP($B534,'FRS geographical categories'!$A$2:$C$45,3,FALSE)</f>
        <v>Non-metropolitan</v>
      </c>
      <c r="G534" s="98">
        <v>0</v>
      </c>
    </row>
    <row r="535" spans="1:7" ht="15.5" x14ac:dyDescent="0.35">
      <c r="A535" s="224" t="s">
        <v>54</v>
      </c>
      <c r="B535" s="224" t="s">
        <v>8</v>
      </c>
      <c r="C535" s="224" t="s">
        <v>109</v>
      </c>
      <c r="D535" s="224" t="s">
        <v>257</v>
      </c>
      <c r="E535" s="224" t="str">
        <f>VLOOKUP($B535,'FRS geographical categories'!$A$2:$C$45,2,FALSE)</f>
        <v>Predominantly Urban</v>
      </c>
      <c r="F535" s="224" t="str">
        <f>VLOOKUP($B535,'FRS geographical categories'!$A$2:$C$45,3,FALSE)</f>
        <v>Non-metropolitan</v>
      </c>
      <c r="G535" s="98">
        <v>0</v>
      </c>
    </row>
    <row r="536" spans="1:7" ht="15.5" x14ac:dyDescent="0.35">
      <c r="A536" s="224" t="s">
        <v>54</v>
      </c>
      <c r="B536" s="224" t="s">
        <v>11</v>
      </c>
      <c r="C536" s="224" t="s">
        <v>102</v>
      </c>
      <c r="D536" s="224" t="s">
        <v>257</v>
      </c>
      <c r="E536" s="224" t="str">
        <f>VLOOKUP($B536,'FRS geographical categories'!$A$2:$C$45,2,FALSE)</f>
        <v>Significantly Rural</v>
      </c>
      <c r="F536" s="224" t="str">
        <f>VLOOKUP($B536,'FRS geographical categories'!$A$2:$C$45,3,FALSE)</f>
        <v>Non-metropolitan</v>
      </c>
      <c r="G536" s="98">
        <v>0</v>
      </c>
    </row>
    <row r="537" spans="1:7" ht="15.5" x14ac:dyDescent="0.35">
      <c r="A537" s="224" t="s">
        <v>54</v>
      </c>
      <c r="B537" s="224" t="s">
        <v>11</v>
      </c>
      <c r="C537" s="224" t="s">
        <v>105</v>
      </c>
      <c r="D537" s="224" t="s">
        <v>257</v>
      </c>
      <c r="E537" s="224" t="str">
        <f>VLOOKUP($B537,'FRS geographical categories'!$A$2:$C$45,2,FALSE)</f>
        <v>Significantly Rural</v>
      </c>
      <c r="F537" s="224" t="str">
        <f>VLOOKUP($B537,'FRS geographical categories'!$A$2:$C$45,3,FALSE)</f>
        <v>Non-metropolitan</v>
      </c>
      <c r="G537" s="98">
        <v>0</v>
      </c>
    </row>
    <row r="538" spans="1:7" ht="15.5" x14ac:dyDescent="0.35">
      <c r="A538" s="224" t="s">
        <v>54</v>
      </c>
      <c r="B538" s="224" t="s">
        <v>11</v>
      </c>
      <c r="C538" s="224" t="s">
        <v>106</v>
      </c>
      <c r="D538" s="224" t="s">
        <v>257</v>
      </c>
      <c r="E538" s="224" t="str">
        <f>VLOOKUP($B538,'FRS geographical categories'!$A$2:$C$45,2,FALSE)</f>
        <v>Significantly Rural</v>
      </c>
      <c r="F538" s="224" t="str">
        <f>VLOOKUP($B538,'FRS geographical categories'!$A$2:$C$45,3,FALSE)</f>
        <v>Non-metropolitan</v>
      </c>
      <c r="G538" s="98">
        <v>15849</v>
      </c>
    </row>
    <row r="539" spans="1:7" ht="15.5" x14ac:dyDescent="0.35">
      <c r="A539" s="224" t="s">
        <v>54</v>
      </c>
      <c r="B539" s="224" t="s">
        <v>11</v>
      </c>
      <c r="C539" s="224" t="s">
        <v>107</v>
      </c>
      <c r="D539" s="224" t="s">
        <v>257</v>
      </c>
      <c r="E539" s="224" t="str">
        <f>VLOOKUP($B539,'FRS geographical categories'!$A$2:$C$45,2,FALSE)</f>
        <v>Significantly Rural</v>
      </c>
      <c r="F539" s="224" t="str">
        <f>VLOOKUP($B539,'FRS geographical categories'!$A$2:$C$45,3,FALSE)</f>
        <v>Non-metropolitan</v>
      </c>
      <c r="G539" s="98">
        <v>0</v>
      </c>
    </row>
    <row r="540" spans="1:7" ht="15.5" x14ac:dyDescent="0.35">
      <c r="A540" s="224" t="s">
        <v>54</v>
      </c>
      <c r="B540" s="224" t="s">
        <v>11</v>
      </c>
      <c r="C540" s="224" t="s">
        <v>108</v>
      </c>
      <c r="D540" s="224" t="s">
        <v>257</v>
      </c>
      <c r="E540" s="224" t="str">
        <f>VLOOKUP($B540,'FRS geographical categories'!$A$2:$C$45,2,FALSE)</f>
        <v>Significantly Rural</v>
      </c>
      <c r="F540" s="224" t="str">
        <f>VLOOKUP($B540,'FRS geographical categories'!$A$2:$C$45,3,FALSE)</f>
        <v>Non-metropolitan</v>
      </c>
      <c r="G540" s="98">
        <v>1692</v>
      </c>
    </row>
    <row r="541" spans="1:7" ht="15.5" x14ac:dyDescent="0.35">
      <c r="A541" s="224" t="s">
        <v>54</v>
      </c>
      <c r="B541" s="224" t="s">
        <v>11</v>
      </c>
      <c r="C541" s="224" t="s">
        <v>109</v>
      </c>
      <c r="D541" s="224" t="s">
        <v>257</v>
      </c>
      <c r="E541" s="224" t="str">
        <f>VLOOKUP($B541,'FRS geographical categories'!$A$2:$C$45,2,FALSE)</f>
        <v>Significantly Rural</v>
      </c>
      <c r="F541" s="224" t="str">
        <f>VLOOKUP($B541,'FRS geographical categories'!$A$2:$C$45,3,FALSE)</f>
        <v>Non-metropolitan</v>
      </c>
      <c r="G541" s="98">
        <v>625</v>
      </c>
    </row>
    <row r="542" spans="1:7" ht="15.5" x14ac:dyDescent="0.35">
      <c r="A542" s="224" t="s">
        <v>54</v>
      </c>
      <c r="B542" s="224" t="s">
        <v>12</v>
      </c>
      <c r="C542" s="224" t="s">
        <v>102</v>
      </c>
      <c r="D542" s="224" t="s">
        <v>257</v>
      </c>
      <c r="E542" s="224" t="str">
        <f>VLOOKUP($B542,'FRS geographical categories'!$A$2:$C$45,2,FALSE)</f>
        <v>Predominantly Urban</v>
      </c>
      <c r="F542" s="224" t="str">
        <f>VLOOKUP($B542,'FRS geographical categories'!$A$2:$C$45,3,FALSE)</f>
        <v>Non-metropolitan</v>
      </c>
      <c r="G542" s="98">
        <v>0</v>
      </c>
    </row>
    <row r="543" spans="1:7" ht="15.5" x14ac:dyDescent="0.35">
      <c r="A543" s="224" t="s">
        <v>54</v>
      </c>
      <c r="B543" s="224" t="s">
        <v>12</v>
      </c>
      <c r="C543" s="224" t="s">
        <v>105</v>
      </c>
      <c r="D543" s="224" t="s">
        <v>257</v>
      </c>
      <c r="E543" s="224" t="str">
        <f>VLOOKUP($B543,'FRS geographical categories'!$A$2:$C$45,2,FALSE)</f>
        <v>Predominantly Urban</v>
      </c>
      <c r="F543" s="224" t="str">
        <f>VLOOKUP($B543,'FRS geographical categories'!$A$2:$C$45,3,FALSE)</f>
        <v>Non-metropolitan</v>
      </c>
      <c r="G543" s="98">
        <v>0</v>
      </c>
    </row>
    <row r="544" spans="1:7" ht="15.5" x14ac:dyDescent="0.35">
      <c r="A544" s="224" t="s">
        <v>54</v>
      </c>
      <c r="B544" s="224" t="s">
        <v>12</v>
      </c>
      <c r="C544" s="224" t="s">
        <v>106</v>
      </c>
      <c r="D544" s="224" t="s">
        <v>257</v>
      </c>
      <c r="E544" s="224" t="str">
        <f>VLOOKUP($B544,'FRS geographical categories'!$A$2:$C$45,2,FALSE)</f>
        <v>Predominantly Urban</v>
      </c>
      <c r="F544" s="224" t="str">
        <f>VLOOKUP($B544,'FRS geographical categories'!$A$2:$C$45,3,FALSE)</f>
        <v>Non-metropolitan</v>
      </c>
      <c r="G544" s="98">
        <v>448</v>
      </c>
    </row>
    <row r="545" spans="1:7" ht="15.5" x14ac:dyDescent="0.35">
      <c r="A545" s="224" t="s">
        <v>54</v>
      </c>
      <c r="B545" s="224" t="s">
        <v>12</v>
      </c>
      <c r="C545" s="224" t="s">
        <v>107</v>
      </c>
      <c r="D545" s="224" t="s">
        <v>257</v>
      </c>
      <c r="E545" s="224" t="str">
        <f>VLOOKUP($B545,'FRS geographical categories'!$A$2:$C$45,2,FALSE)</f>
        <v>Predominantly Urban</v>
      </c>
      <c r="F545" s="224" t="str">
        <f>VLOOKUP($B545,'FRS geographical categories'!$A$2:$C$45,3,FALSE)</f>
        <v>Non-metropolitan</v>
      </c>
      <c r="G545" s="98">
        <v>0</v>
      </c>
    </row>
    <row r="546" spans="1:7" ht="15.5" x14ac:dyDescent="0.35">
      <c r="A546" s="224" t="s">
        <v>54</v>
      </c>
      <c r="B546" s="224" t="s">
        <v>12</v>
      </c>
      <c r="C546" s="224" t="s">
        <v>108</v>
      </c>
      <c r="D546" s="224" t="s">
        <v>257</v>
      </c>
      <c r="E546" s="224" t="str">
        <f>VLOOKUP($B546,'FRS geographical categories'!$A$2:$C$45,2,FALSE)</f>
        <v>Predominantly Urban</v>
      </c>
      <c r="F546" s="224" t="str">
        <f>VLOOKUP($B546,'FRS geographical categories'!$A$2:$C$45,3,FALSE)</f>
        <v>Non-metropolitan</v>
      </c>
      <c r="G546" s="98">
        <v>2046</v>
      </c>
    </row>
    <row r="547" spans="1:7" ht="15.5" x14ac:dyDescent="0.35">
      <c r="A547" s="224" t="s">
        <v>54</v>
      </c>
      <c r="B547" s="224" t="s">
        <v>12</v>
      </c>
      <c r="C547" s="224" t="s">
        <v>109</v>
      </c>
      <c r="D547" s="224" t="s">
        <v>257</v>
      </c>
      <c r="E547" s="224" t="str">
        <f>VLOOKUP($B547,'FRS geographical categories'!$A$2:$C$45,2,FALSE)</f>
        <v>Predominantly Urban</v>
      </c>
      <c r="F547" s="224" t="str">
        <f>VLOOKUP($B547,'FRS geographical categories'!$A$2:$C$45,3,FALSE)</f>
        <v>Non-metropolitan</v>
      </c>
      <c r="G547" s="98">
        <v>0</v>
      </c>
    </row>
    <row r="548" spans="1:7" ht="15.5" x14ac:dyDescent="0.35">
      <c r="A548" s="224" t="s">
        <v>54</v>
      </c>
      <c r="B548" s="224" t="s">
        <v>13</v>
      </c>
      <c r="C548" s="224" t="s">
        <v>102</v>
      </c>
      <c r="D548" s="224" t="s">
        <v>257</v>
      </c>
      <c r="E548" s="224" t="str">
        <f>VLOOKUP($B548,'FRS geographical categories'!$A$2:$C$45,2,FALSE)</f>
        <v>Significantly Rural</v>
      </c>
      <c r="F548" s="224" t="str">
        <f>VLOOKUP($B548,'FRS geographical categories'!$A$2:$C$45,3,FALSE)</f>
        <v>Non-metropolitan</v>
      </c>
      <c r="G548" s="98">
        <v>268</v>
      </c>
    </row>
    <row r="549" spans="1:7" ht="15.5" x14ac:dyDescent="0.35">
      <c r="A549" s="224" t="s">
        <v>54</v>
      </c>
      <c r="B549" s="224" t="s">
        <v>13</v>
      </c>
      <c r="C549" s="224" t="s">
        <v>105</v>
      </c>
      <c r="D549" s="224" t="s">
        <v>257</v>
      </c>
      <c r="E549" s="224" t="str">
        <f>VLOOKUP($B549,'FRS geographical categories'!$A$2:$C$45,2,FALSE)</f>
        <v>Significantly Rural</v>
      </c>
      <c r="F549" s="224" t="str">
        <f>VLOOKUP($B549,'FRS geographical categories'!$A$2:$C$45,3,FALSE)</f>
        <v>Non-metropolitan</v>
      </c>
      <c r="G549" s="98">
        <v>0</v>
      </c>
    </row>
    <row r="550" spans="1:7" ht="15.5" x14ac:dyDescent="0.35">
      <c r="A550" s="224" t="s">
        <v>54</v>
      </c>
      <c r="B550" s="224" t="s">
        <v>13</v>
      </c>
      <c r="C550" s="224" t="s">
        <v>106</v>
      </c>
      <c r="D550" s="224" t="s">
        <v>257</v>
      </c>
      <c r="E550" s="224" t="str">
        <f>VLOOKUP($B550,'FRS geographical categories'!$A$2:$C$45,2,FALSE)</f>
        <v>Significantly Rural</v>
      </c>
      <c r="F550" s="224" t="str">
        <f>VLOOKUP($B550,'FRS geographical categories'!$A$2:$C$45,3,FALSE)</f>
        <v>Non-metropolitan</v>
      </c>
      <c r="G550" s="98">
        <v>1317</v>
      </c>
    </row>
    <row r="551" spans="1:7" ht="15.5" x14ac:dyDescent="0.35">
      <c r="A551" s="224" t="s">
        <v>54</v>
      </c>
      <c r="B551" s="224" t="s">
        <v>13</v>
      </c>
      <c r="C551" s="224" t="s">
        <v>107</v>
      </c>
      <c r="D551" s="224" t="s">
        <v>257</v>
      </c>
      <c r="E551" s="224" t="str">
        <f>VLOOKUP($B551,'FRS geographical categories'!$A$2:$C$45,2,FALSE)</f>
        <v>Significantly Rural</v>
      </c>
      <c r="F551" s="224" t="str">
        <f>VLOOKUP($B551,'FRS geographical categories'!$A$2:$C$45,3,FALSE)</f>
        <v>Non-metropolitan</v>
      </c>
      <c r="G551" s="98">
        <v>0</v>
      </c>
    </row>
    <row r="552" spans="1:7" ht="15.5" x14ac:dyDescent="0.35">
      <c r="A552" s="224" t="s">
        <v>54</v>
      </c>
      <c r="B552" s="224" t="s">
        <v>13</v>
      </c>
      <c r="C552" s="224" t="s">
        <v>108</v>
      </c>
      <c r="D552" s="224" t="s">
        <v>257</v>
      </c>
      <c r="E552" s="224" t="str">
        <f>VLOOKUP($B552,'FRS geographical categories'!$A$2:$C$45,2,FALSE)</f>
        <v>Significantly Rural</v>
      </c>
      <c r="F552" s="224" t="str">
        <f>VLOOKUP($B552,'FRS geographical categories'!$A$2:$C$45,3,FALSE)</f>
        <v>Non-metropolitan</v>
      </c>
      <c r="G552" s="98">
        <v>0</v>
      </c>
    </row>
    <row r="553" spans="1:7" ht="15.5" x14ac:dyDescent="0.35">
      <c r="A553" s="224" t="s">
        <v>54</v>
      </c>
      <c r="B553" s="224" t="s">
        <v>13</v>
      </c>
      <c r="C553" s="224" t="s">
        <v>109</v>
      </c>
      <c r="D553" s="224" t="s">
        <v>257</v>
      </c>
      <c r="E553" s="224" t="str">
        <f>VLOOKUP($B553,'FRS geographical categories'!$A$2:$C$45,2,FALSE)</f>
        <v>Significantly Rural</v>
      </c>
      <c r="F553" s="224" t="str">
        <f>VLOOKUP($B553,'FRS geographical categories'!$A$2:$C$45,3,FALSE)</f>
        <v>Non-metropolitan</v>
      </c>
      <c r="G553" s="98">
        <v>248</v>
      </c>
    </row>
    <row r="554" spans="1:7" ht="15.5" x14ac:dyDescent="0.35">
      <c r="A554" s="224" t="s">
        <v>54</v>
      </c>
      <c r="B554" s="224" t="s">
        <v>14</v>
      </c>
      <c r="C554" s="224" t="s">
        <v>102</v>
      </c>
      <c r="D554" s="224" t="s">
        <v>257</v>
      </c>
      <c r="E554" s="224" t="str">
        <f>VLOOKUP($B554,'FRS geographical categories'!$A$2:$C$45,2,FALSE)</f>
        <v>Predominantly Rural</v>
      </c>
      <c r="F554" s="224" t="str">
        <f>VLOOKUP($B554,'FRS geographical categories'!$A$2:$C$45,3,FALSE)</f>
        <v>Non-metropolitan</v>
      </c>
      <c r="G554" s="98">
        <v>0</v>
      </c>
    </row>
    <row r="555" spans="1:7" ht="15.5" x14ac:dyDescent="0.35">
      <c r="A555" s="224" t="s">
        <v>54</v>
      </c>
      <c r="B555" s="224" t="s">
        <v>14</v>
      </c>
      <c r="C555" s="224" t="s">
        <v>105</v>
      </c>
      <c r="D555" s="224" t="s">
        <v>257</v>
      </c>
      <c r="E555" s="224" t="str">
        <f>VLOOKUP($B555,'FRS geographical categories'!$A$2:$C$45,2,FALSE)</f>
        <v>Predominantly Rural</v>
      </c>
      <c r="F555" s="224" t="str">
        <f>VLOOKUP($B555,'FRS geographical categories'!$A$2:$C$45,3,FALSE)</f>
        <v>Non-metropolitan</v>
      </c>
      <c r="G555" s="98">
        <v>0</v>
      </c>
    </row>
    <row r="556" spans="1:7" ht="15.5" x14ac:dyDescent="0.35">
      <c r="A556" s="224" t="s">
        <v>54</v>
      </c>
      <c r="B556" s="224" t="s">
        <v>14</v>
      </c>
      <c r="C556" s="224" t="s">
        <v>106</v>
      </c>
      <c r="D556" s="224" t="s">
        <v>257</v>
      </c>
      <c r="E556" s="224" t="str">
        <f>VLOOKUP($B556,'FRS geographical categories'!$A$2:$C$45,2,FALSE)</f>
        <v>Predominantly Rural</v>
      </c>
      <c r="F556" s="224" t="str">
        <f>VLOOKUP($B556,'FRS geographical categories'!$A$2:$C$45,3,FALSE)</f>
        <v>Non-metropolitan</v>
      </c>
      <c r="G556" s="98">
        <v>1325</v>
      </c>
    </row>
    <row r="557" spans="1:7" ht="15.5" x14ac:dyDescent="0.35">
      <c r="A557" s="224" t="s">
        <v>54</v>
      </c>
      <c r="B557" s="224" t="s">
        <v>14</v>
      </c>
      <c r="C557" s="224" t="s">
        <v>107</v>
      </c>
      <c r="D557" s="224" t="s">
        <v>257</v>
      </c>
      <c r="E557" s="224" t="str">
        <f>VLOOKUP($B557,'FRS geographical categories'!$A$2:$C$45,2,FALSE)</f>
        <v>Predominantly Rural</v>
      </c>
      <c r="F557" s="224" t="str">
        <f>VLOOKUP($B557,'FRS geographical categories'!$A$2:$C$45,3,FALSE)</f>
        <v>Non-metropolitan</v>
      </c>
      <c r="G557" s="98">
        <v>0</v>
      </c>
    </row>
    <row r="558" spans="1:7" ht="15.5" x14ac:dyDescent="0.35">
      <c r="A558" s="224" t="s">
        <v>54</v>
      </c>
      <c r="B558" s="224" t="s">
        <v>14</v>
      </c>
      <c r="C558" s="224" t="s">
        <v>108</v>
      </c>
      <c r="D558" s="224" t="s">
        <v>257</v>
      </c>
      <c r="E558" s="224" t="str">
        <f>VLOOKUP($B558,'FRS geographical categories'!$A$2:$C$45,2,FALSE)</f>
        <v>Predominantly Rural</v>
      </c>
      <c r="F558" s="224" t="str">
        <f>VLOOKUP($B558,'FRS geographical categories'!$A$2:$C$45,3,FALSE)</f>
        <v>Non-metropolitan</v>
      </c>
      <c r="G558" s="98">
        <v>1322</v>
      </c>
    </row>
    <row r="559" spans="1:7" ht="15.5" x14ac:dyDescent="0.35">
      <c r="A559" s="224" t="s">
        <v>54</v>
      </c>
      <c r="B559" s="224" t="s">
        <v>14</v>
      </c>
      <c r="C559" s="224" t="s">
        <v>109</v>
      </c>
      <c r="D559" s="224" t="s">
        <v>257</v>
      </c>
      <c r="E559" s="224" t="str">
        <f>VLOOKUP($B559,'FRS geographical categories'!$A$2:$C$45,2,FALSE)</f>
        <v>Predominantly Rural</v>
      </c>
      <c r="F559" s="224" t="str">
        <f>VLOOKUP($B559,'FRS geographical categories'!$A$2:$C$45,3,FALSE)</f>
        <v>Non-metropolitan</v>
      </c>
      <c r="G559" s="98">
        <v>379</v>
      </c>
    </row>
    <row r="560" spans="1:7" ht="15.5" x14ac:dyDescent="0.35">
      <c r="A560" s="224" t="s">
        <v>54</v>
      </c>
      <c r="B560" s="224" t="s">
        <v>15</v>
      </c>
      <c r="C560" s="224" t="s">
        <v>102</v>
      </c>
      <c r="D560" s="224" t="s">
        <v>257</v>
      </c>
      <c r="E560" s="224" t="str">
        <f>VLOOKUP($B560,'FRS geographical categories'!$A$2:$C$45,2,FALSE)</f>
        <v>Significantly Rural</v>
      </c>
      <c r="F560" s="224" t="str">
        <f>VLOOKUP($B560,'FRS geographical categories'!$A$2:$C$45,3,FALSE)</f>
        <v>Non-metropolitan</v>
      </c>
      <c r="G560" s="98">
        <v>7015</v>
      </c>
    </row>
    <row r="561" spans="1:7" ht="15.5" x14ac:dyDescent="0.35">
      <c r="A561" s="224" t="s">
        <v>54</v>
      </c>
      <c r="B561" s="224" t="s">
        <v>15</v>
      </c>
      <c r="C561" s="224" t="s">
        <v>105</v>
      </c>
      <c r="D561" s="224" t="s">
        <v>257</v>
      </c>
      <c r="E561" s="224" t="str">
        <f>VLOOKUP($B561,'FRS geographical categories'!$A$2:$C$45,2,FALSE)</f>
        <v>Significantly Rural</v>
      </c>
      <c r="F561" s="224" t="str">
        <f>VLOOKUP($B561,'FRS geographical categories'!$A$2:$C$45,3,FALSE)</f>
        <v>Non-metropolitan</v>
      </c>
      <c r="G561" s="98">
        <v>0</v>
      </c>
    </row>
    <row r="562" spans="1:7" ht="15.5" x14ac:dyDescent="0.35">
      <c r="A562" s="224" t="s">
        <v>54</v>
      </c>
      <c r="B562" s="224" t="s">
        <v>15</v>
      </c>
      <c r="C562" s="224" t="s">
        <v>106</v>
      </c>
      <c r="D562" s="224" t="s">
        <v>257</v>
      </c>
      <c r="E562" s="224" t="str">
        <f>VLOOKUP($B562,'FRS geographical categories'!$A$2:$C$45,2,FALSE)</f>
        <v>Significantly Rural</v>
      </c>
      <c r="F562" s="224" t="str">
        <f>VLOOKUP($B562,'FRS geographical categories'!$A$2:$C$45,3,FALSE)</f>
        <v>Non-metropolitan</v>
      </c>
      <c r="G562" s="98">
        <v>3231</v>
      </c>
    </row>
    <row r="563" spans="1:7" ht="15.5" x14ac:dyDescent="0.35">
      <c r="A563" s="224" t="s">
        <v>54</v>
      </c>
      <c r="B563" s="224" t="s">
        <v>15</v>
      </c>
      <c r="C563" s="224" t="s">
        <v>107</v>
      </c>
      <c r="D563" s="224" t="s">
        <v>257</v>
      </c>
      <c r="E563" s="224" t="str">
        <f>VLOOKUP($B563,'FRS geographical categories'!$A$2:$C$45,2,FALSE)</f>
        <v>Significantly Rural</v>
      </c>
      <c r="F563" s="224" t="str">
        <f>VLOOKUP($B563,'FRS geographical categories'!$A$2:$C$45,3,FALSE)</f>
        <v>Non-metropolitan</v>
      </c>
      <c r="G563" s="98">
        <v>0</v>
      </c>
    </row>
    <row r="564" spans="1:7" ht="15.5" x14ac:dyDescent="0.35">
      <c r="A564" s="224" t="s">
        <v>54</v>
      </c>
      <c r="B564" s="224" t="s">
        <v>15</v>
      </c>
      <c r="C564" s="224" t="s">
        <v>108</v>
      </c>
      <c r="D564" s="224" t="s">
        <v>257</v>
      </c>
      <c r="E564" s="224" t="str">
        <f>VLOOKUP($B564,'FRS geographical categories'!$A$2:$C$45,2,FALSE)</f>
        <v>Significantly Rural</v>
      </c>
      <c r="F564" s="224" t="str">
        <f>VLOOKUP($B564,'FRS geographical categories'!$A$2:$C$45,3,FALSE)</f>
        <v>Non-metropolitan</v>
      </c>
      <c r="G564" s="98">
        <v>0</v>
      </c>
    </row>
    <row r="565" spans="1:7" ht="15.5" x14ac:dyDescent="0.35">
      <c r="A565" s="224" t="s">
        <v>54</v>
      </c>
      <c r="B565" s="224" t="s">
        <v>15</v>
      </c>
      <c r="C565" s="224" t="s">
        <v>109</v>
      </c>
      <c r="D565" s="224" t="s">
        <v>257</v>
      </c>
      <c r="E565" s="224" t="str">
        <f>VLOOKUP($B565,'FRS geographical categories'!$A$2:$C$45,2,FALSE)</f>
        <v>Significantly Rural</v>
      </c>
      <c r="F565" s="224" t="str">
        <f>VLOOKUP($B565,'FRS geographical categories'!$A$2:$C$45,3,FALSE)</f>
        <v>Non-metropolitan</v>
      </c>
      <c r="G565" s="98">
        <v>0</v>
      </c>
    </row>
    <row r="566" spans="1:7" ht="15.5" x14ac:dyDescent="0.35">
      <c r="A566" s="224" t="s">
        <v>54</v>
      </c>
      <c r="B566" s="224" t="s">
        <v>16</v>
      </c>
      <c r="C566" s="224" t="s">
        <v>102</v>
      </c>
      <c r="D566" s="224" t="s">
        <v>257</v>
      </c>
      <c r="E566" s="224" t="str">
        <f>VLOOKUP($B566,'FRS geographical categories'!$A$2:$C$45,2,FALSE)</f>
        <v>Predominantly Urban</v>
      </c>
      <c r="F566" s="224" t="str">
        <f>VLOOKUP($B566,'FRS geographical categories'!$A$2:$C$45,3,FALSE)</f>
        <v>Non-metropolitan</v>
      </c>
      <c r="G566" s="98">
        <v>2508</v>
      </c>
    </row>
    <row r="567" spans="1:7" ht="15.5" x14ac:dyDescent="0.35">
      <c r="A567" s="224" t="s">
        <v>54</v>
      </c>
      <c r="B567" s="224" t="s">
        <v>16</v>
      </c>
      <c r="C567" s="224" t="s">
        <v>105</v>
      </c>
      <c r="D567" s="224" t="s">
        <v>257</v>
      </c>
      <c r="E567" s="224" t="str">
        <f>VLOOKUP($B567,'FRS geographical categories'!$A$2:$C$45,2,FALSE)</f>
        <v>Predominantly Urban</v>
      </c>
      <c r="F567" s="224" t="str">
        <f>VLOOKUP($B567,'FRS geographical categories'!$A$2:$C$45,3,FALSE)</f>
        <v>Non-metropolitan</v>
      </c>
      <c r="G567" s="98">
        <v>0</v>
      </c>
    </row>
    <row r="568" spans="1:7" ht="15.5" x14ac:dyDescent="0.35">
      <c r="A568" s="224" t="s">
        <v>54</v>
      </c>
      <c r="B568" s="224" t="s">
        <v>16</v>
      </c>
      <c r="C568" s="224" t="s">
        <v>106</v>
      </c>
      <c r="D568" s="224" t="s">
        <v>257</v>
      </c>
      <c r="E568" s="224" t="str">
        <f>VLOOKUP($B568,'FRS geographical categories'!$A$2:$C$45,2,FALSE)</f>
        <v>Predominantly Urban</v>
      </c>
      <c r="F568" s="224" t="str">
        <f>VLOOKUP($B568,'FRS geographical categories'!$A$2:$C$45,3,FALSE)</f>
        <v>Non-metropolitan</v>
      </c>
      <c r="G568" s="98">
        <v>22124</v>
      </c>
    </row>
    <row r="569" spans="1:7" ht="15.5" x14ac:dyDescent="0.35">
      <c r="A569" s="224" t="s">
        <v>54</v>
      </c>
      <c r="B569" s="224" t="s">
        <v>16</v>
      </c>
      <c r="C569" s="224" t="s">
        <v>107</v>
      </c>
      <c r="D569" s="224" t="s">
        <v>257</v>
      </c>
      <c r="E569" s="224" t="str">
        <f>VLOOKUP($B569,'FRS geographical categories'!$A$2:$C$45,2,FALSE)</f>
        <v>Predominantly Urban</v>
      </c>
      <c r="F569" s="224" t="str">
        <f>VLOOKUP($B569,'FRS geographical categories'!$A$2:$C$45,3,FALSE)</f>
        <v>Non-metropolitan</v>
      </c>
      <c r="G569" s="98">
        <v>20</v>
      </c>
    </row>
    <row r="570" spans="1:7" ht="15.5" x14ac:dyDescent="0.35">
      <c r="A570" s="224" t="s">
        <v>54</v>
      </c>
      <c r="B570" s="224" t="s">
        <v>16</v>
      </c>
      <c r="C570" s="224" t="s">
        <v>108</v>
      </c>
      <c r="D570" s="224" t="s">
        <v>257</v>
      </c>
      <c r="E570" s="224" t="str">
        <f>VLOOKUP($B570,'FRS geographical categories'!$A$2:$C$45,2,FALSE)</f>
        <v>Predominantly Urban</v>
      </c>
      <c r="F570" s="224" t="str">
        <f>VLOOKUP($B570,'FRS geographical categories'!$A$2:$C$45,3,FALSE)</f>
        <v>Non-metropolitan</v>
      </c>
      <c r="G570" s="98">
        <v>4048</v>
      </c>
    </row>
    <row r="571" spans="1:7" ht="15.5" x14ac:dyDescent="0.35">
      <c r="A571" s="224" t="s">
        <v>54</v>
      </c>
      <c r="B571" s="224" t="s">
        <v>16</v>
      </c>
      <c r="C571" s="224" t="s">
        <v>109</v>
      </c>
      <c r="D571" s="224" t="s">
        <v>257</v>
      </c>
      <c r="E571" s="224" t="str">
        <f>VLOOKUP($B571,'FRS geographical categories'!$A$2:$C$45,2,FALSE)</f>
        <v>Predominantly Urban</v>
      </c>
      <c r="F571" s="224" t="str">
        <f>VLOOKUP($B571,'FRS geographical categories'!$A$2:$C$45,3,FALSE)</f>
        <v>Non-metropolitan</v>
      </c>
      <c r="G571" s="98">
        <v>0</v>
      </c>
    </row>
    <row r="572" spans="1:7" ht="15.5" x14ac:dyDescent="0.35">
      <c r="A572" s="224" t="s">
        <v>54</v>
      </c>
      <c r="B572" s="224" t="s">
        <v>17</v>
      </c>
      <c r="C572" s="224" t="s">
        <v>102</v>
      </c>
      <c r="D572" s="224" t="s">
        <v>257</v>
      </c>
      <c r="E572" s="224" t="str">
        <f>VLOOKUP($B572,'FRS geographical categories'!$A$2:$C$45,2,FALSE)</f>
        <v>Predominantly Rural</v>
      </c>
      <c r="F572" s="224" t="str">
        <f>VLOOKUP($B572,'FRS geographical categories'!$A$2:$C$45,3,FALSE)</f>
        <v>Non-metropolitan</v>
      </c>
      <c r="G572" s="98">
        <v>0</v>
      </c>
    </row>
    <row r="573" spans="1:7" ht="15.5" x14ac:dyDescent="0.35">
      <c r="A573" s="224" t="s">
        <v>54</v>
      </c>
      <c r="B573" s="224" t="s">
        <v>17</v>
      </c>
      <c r="C573" s="224" t="s">
        <v>105</v>
      </c>
      <c r="D573" s="224" t="s">
        <v>257</v>
      </c>
      <c r="E573" s="224" t="str">
        <f>VLOOKUP($B573,'FRS geographical categories'!$A$2:$C$45,2,FALSE)</f>
        <v>Predominantly Rural</v>
      </c>
      <c r="F573" s="224" t="str">
        <f>VLOOKUP($B573,'FRS geographical categories'!$A$2:$C$45,3,FALSE)</f>
        <v>Non-metropolitan</v>
      </c>
      <c r="G573" s="98">
        <v>0</v>
      </c>
    </row>
    <row r="574" spans="1:7" ht="15.5" x14ac:dyDescent="0.35">
      <c r="A574" s="224" t="s">
        <v>54</v>
      </c>
      <c r="B574" s="224" t="s">
        <v>17</v>
      </c>
      <c r="C574" s="224" t="s">
        <v>106</v>
      </c>
      <c r="D574" s="224" t="s">
        <v>257</v>
      </c>
      <c r="E574" s="224" t="str">
        <f>VLOOKUP($B574,'FRS geographical categories'!$A$2:$C$45,2,FALSE)</f>
        <v>Predominantly Rural</v>
      </c>
      <c r="F574" s="224" t="str">
        <f>VLOOKUP($B574,'FRS geographical categories'!$A$2:$C$45,3,FALSE)</f>
        <v>Non-metropolitan</v>
      </c>
      <c r="G574" s="98">
        <v>3230</v>
      </c>
    </row>
    <row r="575" spans="1:7" ht="15.5" x14ac:dyDescent="0.35">
      <c r="A575" s="224" t="s">
        <v>54</v>
      </c>
      <c r="B575" s="224" t="s">
        <v>17</v>
      </c>
      <c r="C575" s="224" t="s">
        <v>107</v>
      </c>
      <c r="D575" s="224" t="s">
        <v>257</v>
      </c>
      <c r="E575" s="224" t="str">
        <f>VLOOKUP($B575,'FRS geographical categories'!$A$2:$C$45,2,FALSE)</f>
        <v>Predominantly Rural</v>
      </c>
      <c r="F575" s="224" t="str">
        <f>VLOOKUP($B575,'FRS geographical categories'!$A$2:$C$45,3,FALSE)</f>
        <v>Non-metropolitan</v>
      </c>
      <c r="G575" s="98">
        <v>0</v>
      </c>
    </row>
    <row r="576" spans="1:7" ht="15.5" x14ac:dyDescent="0.35">
      <c r="A576" s="224" t="s">
        <v>54</v>
      </c>
      <c r="B576" s="224" t="s">
        <v>17</v>
      </c>
      <c r="C576" s="224" t="s">
        <v>108</v>
      </c>
      <c r="D576" s="224" t="s">
        <v>257</v>
      </c>
      <c r="E576" s="224" t="str">
        <f>VLOOKUP($B576,'FRS geographical categories'!$A$2:$C$45,2,FALSE)</f>
        <v>Predominantly Rural</v>
      </c>
      <c r="F576" s="224" t="str">
        <f>VLOOKUP($B576,'FRS geographical categories'!$A$2:$C$45,3,FALSE)</f>
        <v>Non-metropolitan</v>
      </c>
      <c r="G576" s="98">
        <v>15</v>
      </c>
    </row>
    <row r="577" spans="1:7" ht="15.5" x14ac:dyDescent="0.35">
      <c r="A577" s="224" t="s">
        <v>54</v>
      </c>
      <c r="B577" s="224" t="s">
        <v>17</v>
      </c>
      <c r="C577" s="224" t="s">
        <v>109</v>
      </c>
      <c r="D577" s="224" t="s">
        <v>257</v>
      </c>
      <c r="E577" s="224" t="str">
        <f>VLOOKUP($B577,'FRS geographical categories'!$A$2:$C$45,2,FALSE)</f>
        <v>Predominantly Rural</v>
      </c>
      <c r="F577" s="224" t="str">
        <f>VLOOKUP($B577,'FRS geographical categories'!$A$2:$C$45,3,FALSE)</f>
        <v>Non-metropolitan</v>
      </c>
      <c r="G577" s="98">
        <v>8</v>
      </c>
    </row>
    <row r="578" spans="1:7" ht="15.5" x14ac:dyDescent="0.35">
      <c r="A578" s="224" t="s">
        <v>54</v>
      </c>
      <c r="B578" s="224" t="s">
        <v>18</v>
      </c>
      <c r="C578" s="224" t="s">
        <v>102</v>
      </c>
      <c r="D578" s="224" t="s">
        <v>257</v>
      </c>
      <c r="E578" s="224" t="str">
        <f>VLOOKUP($B578,'FRS geographical categories'!$A$2:$C$45,2,FALSE)</f>
        <v>Predominantly Rural</v>
      </c>
      <c r="F578" s="224" t="str">
        <f>VLOOKUP($B578,'FRS geographical categories'!$A$2:$C$45,3,FALSE)</f>
        <v>Non-metropolitan</v>
      </c>
      <c r="G578" s="98">
        <v>2068</v>
      </c>
    </row>
    <row r="579" spans="1:7" ht="15.5" x14ac:dyDescent="0.35">
      <c r="A579" s="224" t="s">
        <v>54</v>
      </c>
      <c r="B579" s="224" t="s">
        <v>18</v>
      </c>
      <c r="C579" s="224" t="s">
        <v>105</v>
      </c>
      <c r="D579" s="224" t="s">
        <v>257</v>
      </c>
      <c r="E579" s="224" t="str">
        <f>VLOOKUP($B579,'FRS geographical categories'!$A$2:$C$45,2,FALSE)</f>
        <v>Predominantly Rural</v>
      </c>
      <c r="F579" s="224" t="str">
        <f>VLOOKUP($B579,'FRS geographical categories'!$A$2:$C$45,3,FALSE)</f>
        <v>Non-metropolitan</v>
      </c>
      <c r="G579" s="98">
        <v>0</v>
      </c>
    </row>
    <row r="580" spans="1:7" ht="15.5" x14ac:dyDescent="0.35">
      <c r="A580" s="224" t="s">
        <v>54</v>
      </c>
      <c r="B580" s="224" t="s">
        <v>18</v>
      </c>
      <c r="C580" s="224" t="s">
        <v>106</v>
      </c>
      <c r="D580" s="224" t="s">
        <v>257</v>
      </c>
      <c r="E580" s="224" t="str">
        <f>VLOOKUP($B580,'FRS geographical categories'!$A$2:$C$45,2,FALSE)</f>
        <v>Predominantly Rural</v>
      </c>
      <c r="F580" s="224" t="str">
        <f>VLOOKUP($B580,'FRS geographical categories'!$A$2:$C$45,3,FALSE)</f>
        <v>Non-metropolitan</v>
      </c>
      <c r="G580" s="98">
        <v>7830</v>
      </c>
    </row>
    <row r="581" spans="1:7" ht="15.5" x14ac:dyDescent="0.35">
      <c r="A581" s="224" t="s">
        <v>54</v>
      </c>
      <c r="B581" s="224" t="s">
        <v>18</v>
      </c>
      <c r="C581" s="224" t="s">
        <v>107</v>
      </c>
      <c r="D581" s="224" t="s">
        <v>257</v>
      </c>
      <c r="E581" s="224" t="str">
        <f>VLOOKUP($B581,'FRS geographical categories'!$A$2:$C$45,2,FALSE)</f>
        <v>Predominantly Rural</v>
      </c>
      <c r="F581" s="224" t="str">
        <f>VLOOKUP($B581,'FRS geographical categories'!$A$2:$C$45,3,FALSE)</f>
        <v>Non-metropolitan</v>
      </c>
      <c r="G581" s="98">
        <v>28</v>
      </c>
    </row>
    <row r="582" spans="1:7" ht="15.5" x14ac:dyDescent="0.35">
      <c r="A582" s="224" t="s">
        <v>54</v>
      </c>
      <c r="B582" s="224" t="s">
        <v>18</v>
      </c>
      <c r="C582" s="224" t="s">
        <v>108</v>
      </c>
      <c r="D582" s="224" t="s">
        <v>257</v>
      </c>
      <c r="E582" s="224" t="str">
        <f>VLOOKUP($B582,'FRS geographical categories'!$A$2:$C$45,2,FALSE)</f>
        <v>Predominantly Rural</v>
      </c>
      <c r="F582" s="224" t="str">
        <f>VLOOKUP($B582,'FRS geographical categories'!$A$2:$C$45,3,FALSE)</f>
        <v>Non-metropolitan</v>
      </c>
      <c r="G582" s="98">
        <v>1098</v>
      </c>
    </row>
    <row r="583" spans="1:7" ht="15.5" x14ac:dyDescent="0.35">
      <c r="A583" s="224" t="s">
        <v>54</v>
      </c>
      <c r="B583" s="224" t="s">
        <v>18</v>
      </c>
      <c r="C583" s="224" t="s">
        <v>109</v>
      </c>
      <c r="D583" s="224" t="s">
        <v>257</v>
      </c>
      <c r="E583" s="224" t="str">
        <f>VLOOKUP($B583,'FRS geographical categories'!$A$2:$C$45,2,FALSE)</f>
        <v>Predominantly Rural</v>
      </c>
      <c r="F583" s="224" t="str">
        <f>VLOOKUP($B583,'FRS geographical categories'!$A$2:$C$45,3,FALSE)</f>
        <v>Non-metropolitan</v>
      </c>
      <c r="G583" s="98">
        <v>199</v>
      </c>
    </row>
    <row r="584" spans="1:7" ht="15.5" x14ac:dyDescent="0.35">
      <c r="A584" s="224" t="s">
        <v>54</v>
      </c>
      <c r="B584" s="224" t="s">
        <v>19</v>
      </c>
      <c r="C584" s="224" t="s">
        <v>102</v>
      </c>
      <c r="D584" s="224" t="s">
        <v>257</v>
      </c>
      <c r="E584" s="224" t="str">
        <f>VLOOKUP($B584,'FRS geographical categories'!$A$2:$C$45,2,FALSE)</f>
        <v>Significantly Rural</v>
      </c>
      <c r="F584" s="224" t="str">
        <f>VLOOKUP($B584,'FRS geographical categories'!$A$2:$C$45,3,FALSE)</f>
        <v>Non-metropolitan</v>
      </c>
      <c r="G584" s="98">
        <v>2464</v>
      </c>
    </row>
    <row r="585" spans="1:7" ht="15.5" x14ac:dyDescent="0.35">
      <c r="A585" s="224" t="s">
        <v>54</v>
      </c>
      <c r="B585" s="224" t="s">
        <v>19</v>
      </c>
      <c r="C585" s="224" t="s">
        <v>105</v>
      </c>
      <c r="D585" s="224" t="s">
        <v>257</v>
      </c>
      <c r="E585" s="224" t="str">
        <f>VLOOKUP($B585,'FRS geographical categories'!$A$2:$C$45,2,FALSE)</f>
        <v>Significantly Rural</v>
      </c>
      <c r="F585" s="224" t="str">
        <f>VLOOKUP($B585,'FRS geographical categories'!$A$2:$C$45,3,FALSE)</f>
        <v>Non-metropolitan</v>
      </c>
      <c r="G585" s="98">
        <v>1065</v>
      </c>
    </row>
    <row r="586" spans="1:7" ht="15.5" x14ac:dyDescent="0.35">
      <c r="A586" s="224" t="s">
        <v>54</v>
      </c>
      <c r="B586" s="224" t="s">
        <v>19</v>
      </c>
      <c r="C586" s="224" t="s">
        <v>106</v>
      </c>
      <c r="D586" s="224" t="s">
        <v>257</v>
      </c>
      <c r="E586" s="224" t="str">
        <f>VLOOKUP($B586,'FRS geographical categories'!$A$2:$C$45,2,FALSE)</f>
        <v>Significantly Rural</v>
      </c>
      <c r="F586" s="224" t="str">
        <f>VLOOKUP($B586,'FRS geographical categories'!$A$2:$C$45,3,FALSE)</f>
        <v>Non-metropolitan</v>
      </c>
      <c r="G586" s="98">
        <v>2285</v>
      </c>
    </row>
    <row r="587" spans="1:7" ht="15.5" x14ac:dyDescent="0.35">
      <c r="A587" s="224" t="s">
        <v>54</v>
      </c>
      <c r="B587" s="224" t="s">
        <v>19</v>
      </c>
      <c r="C587" s="224" t="s">
        <v>107</v>
      </c>
      <c r="D587" s="224" t="s">
        <v>257</v>
      </c>
      <c r="E587" s="224" t="str">
        <f>VLOOKUP($B587,'FRS geographical categories'!$A$2:$C$45,2,FALSE)</f>
        <v>Significantly Rural</v>
      </c>
      <c r="F587" s="224" t="str">
        <f>VLOOKUP($B587,'FRS geographical categories'!$A$2:$C$45,3,FALSE)</f>
        <v>Non-metropolitan</v>
      </c>
      <c r="G587" s="98">
        <v>0</v>
      </c>
    </row>
    <row r="588" spans="1:7" ht="15.5" x14ac:dyDescent="0.35">
      <c r="A588" s="224" t="s">
        <v>54</v>
      </c>
      <c r="B588" s="224" t="s">
        <v>19</v>
      </c>
      <c r="C588" s="224" t="s">
        <v>108</v>
      </c>
      <c r="D588" s="224" t="s">
        <v>257</v>
      </c>
      <c r="E588" s="224" t="str">
        <f>VLOOKUP($B588,'FRS geographical categories'!$A$2:$C$45,2,FALSE)</f>
        <v>Significantly Rural</v>
      </c>
      <c r="F588" s="224" t="str">
        <f>VLOOKUP($B588,'FRS geographical categories'!$A$2:$C$45,3,FALSE)</f>
        <v>Non-metropolitan</v>
      </c>
      <c r="G588" s="98">
        <v>43</v>
      </c>
    </row>
    <row r="589" spans="1:7" ht="15.5" x14ac:dyDescent="0.35">
      <c r="A589" s="224" t="s">
        <v>54</v>
      </c>
      <c r="B589" s="224" t="s">
        <v>19</v>
      </c>
      <c r="C589" s="224" t="s">
        <v>109</v>
      </c>
      <c r="D589" s="224" t="s">
        <v>257</v>
      </c>
      <c r="E589" s="224" t="str">
        <f>VLOOKUP($B589,'FRS geographical categories'!$A$2:$C$45,2,FALSE)</f>
        <v>Significantly Rural</v>
      </c>
      <c r="F589" s="224" t="str">
        <f>VLOOKUP($B589,'FRS geographical categories'!$A$2:$C$45,3,FALSE)</f>
        <v>Non-metropolitan</v>
      </c>
      <c r="G589" s="98">
        <v>0</v>
      </c>
    </row>
    <row r="590" spans="1:7" ht="15.5" x14ac:dyDescent="0.35">
      <c r="A590" s="224" t="s">
        <v>54</v>
      </c>
      <c r="B590" s="224" t="s">
        <v>20</v>
      </c>
      <c r="C590" s="224" t="s">
        <v>102</v>
      </c>
      <c r="D590" s="224" t="s">
        <v>257</v>
      </c>
      <c r="E590" s="224" t="str">
        <f>VLOOKUP($B590,'FRS geographical categories'!$A$2:$C$45,2,FALSE)</f>
        <v>Predominantly Rural</v>
      </c>
      <c r="F590" s="224" t="str">
        <f>VLOOKUP($B590,'FRS geographical categories'!$A$2:$C$45,3,FALSE)</f>
        <v>Non-metropolitan</v>
      </c>
      <c r="G590" s="98">
        <v>0</v>
      </c>
    </row>
    <row r="591" spans="1:7" ht="15.5" x14ac:dyDescent="0.35">
      <c r="A591" s="224" t="s">
        <v>54</v>
      </c>
      <c r="B591" s="224" t="s">
        <v>20</v>
      </c>
      <c r="C591" s="224" t="s">
        <v>105</v>
      </c>
      <c r="D591" s="224" t="s">
        <v>257</v>
      </c>
      <c r="E591" s="224" t="str">
        <f>VLOOKUP($B591,'FRS geographical categories'!$A$2:$C$45,2,FALSE)</f>
        <v>Predominantly Rural</v>
      </c>
      <c r="F591" s="224" t="str">
        <f>VLOOKUP($B591,'FRS geographical categories'!$A$2:$C$45,3,FALSE)</f>
        <v>Non-metropolitan</v>
      </c>
      <c r="G591" s="98">
        <v>0</v>
      </c>
    </row>
    <row r="592" spans="1:7" ht="15.5" x14ac:dyDescent="0.35">
      <c r="A592" s="224" t="s">
        <v>54</v>
      </c>
      <c r="B592" s="224" t="s">
        <v>20</v>
      </c>
      <c r="C592" s="224" t="s">
        <v>106</v>
      </c>
      <c r="D592" s="224" t="s">
        <v>257</v>
      </c>
      <c r="E592" s="224" t="str">
        <f>VLOOKUP($B592,'FRS geographical categories'!$A$2:$C$45,2,FALSE)</f>
        <v>Predominantly Rural</v>
      </c>
      <c r="F592" s="224" t="str">
        <f>VLOOKUP($B592,'FRS geographical categories'!$A$2:$C$45,3,FALSE)</f>
        <v>Non-metropolitan</v>
      </c>
      <c r="G592" s="98">
        <v>117</v>
      </c>
    </row>
    <row r="593" spans="1:7" ht="15.5" x14ac:dyDescent="0.35">
      <c r="A593" s="224" t="s">
        <v>54</v>
      </c>
      <c r="B593" s="224" t="s">
        <v>20</v>
      </c>
      <c r="C593" s="224" t="s">
        <v>107</v>
      </c>
      <c r="D593" s="224" t="s">
        <v>257</v>
      </c>
      <c r="E593" s="224" t="str">
        <f>VLOOKUP($B593,'FRS geographical categories'!$A$2:$C$45,2,FALSE)</f>
        <v>Predominantly Rural</v>
      </c>
      <c r="F593" s="224" t="str">
        <f>VLOOKUP($B593,'FRS geographical categories'!$A$2:$C$45,3,FALSE)</f>
        <v>Non-metropolitan</v>
      </c>
      <c r="G593" s="98">
        <v>0</v>
      </c>
    </row>
    <row r="594" spans="1:7" ht="15.5" x14ac:dyDescent="0.35">
      <c r="A594" s="224" t="s">
        <v>54</v>
      </c>
      <c r="B594" s="224" t="s">
        <v>20</v>
      </c>
      <c r="C594" s="224" t="s">
        <v>108</v>
      </c>
      <c r="D594" s="224" t="s">
        <v>257</v>
      </c>
      <c r="E594" s="224" t="str">
        <f>VLOOKUP($B594,'FRS geographical categories'!$A$2:$C$45,2,FALSE)</f>
        <v>Predominantly Rural</v>
      </c>
      <c r="F594" s="224" t="str">
        <f>VLOOKUP($B594,'FRS geographical categories'!$A$2:$C$45,3,FALSE)</f>
        <v>Non-metropolitan</v>
      </c>
      <c r="G594" s="98">
        <v>8651</v>
      </c>
    </row>
    <row r="595" spans="1:7" ht="15.5" x14ac:dyDescent="0.35">
      <c r="A595" s="224" t="s">
        <v>54</v>
      </c>
      <c r="B595" s="224" t="s">
        <v>20</v>
      </c>
      <c r="C595" s="224" t="s">
        <v>109</v>
      </c>
      <c r="D595" s="224" t="s">
        <v>257</v>
      </c>
      <c r="E595" s="224" t="str">
        <f>VLOOKUP($B595,'FRS geographical categories'!$A$2:$C$45,2,FALSE)</f>
        <v>Predominantly Rural</v>
      </c>
      <c r="F595" s="224" t="str">
        <f>VLOOKUP($B595,'FRS geographical categories'!$A$2:$C$45,3,FALSE)</f>
        <v>Non-metropolitan</v>
      </c>
      <c r="G595" s="98">
        <v>0</v>
      </c>
    </row>
    <row r="596" spans="1:7" ht="15.5" x14ac:dyDescent="0.35">
      <c r="A596" s="224" t="s">
        <v>54</v>
      </c>
      <c r="B596" s="224" t="s">
        <v>21</v>
      </c>
      <c r="C596" s="224" t="s">
        <v>102</v>
      </c>
      <c r="D596" s="224" t="s">
        <v>257</v>
      </c>
      <c r="E596" s="224" t="str">
        <f>VLOOKUP($B596,'FRS geographical categories'!$A$2:$C$45,2,FALSE)</f>
        <v>Significantly Rural</v>
      </c>
      <c r="F596" s="224" t="str">
        <f>VLOOKUP($B596,'FRS geographical categories'!$A$2:$C$45,3,FALSE)</f>
        <v>Non-metropolitan</v>
      </c>
      <c r="G596" s="98">
        <v>0</v>
      </c>
    </row>
    <row r="597" spans="1:7" ht="15.5" x14ac:dyDescent="0.35">
      <c r="A597" s="224" t="s">
        <v>54</v>
      </c>
      <c r="B597" s="224" t="s">
        <v>21</v>
      </c>
      <c r="C597" s="224" t="s">
        <v>105</v>
      </c>
      <c r="D597" s="224" t="s">
        <v>257</v>
      </c>
      <c r="E597" s="224" t="str">
        <f>VLOOKUP($B597,'FRS geographical categories'!$A$2:$C$45,2,FALSE)</f>
        <v>Significantly Rural</v>
      </c>
      <c r="F597" s="224" t="str">
        <f>VLOOKUP($B597,'FRS geographical categories'!$A$2:$C$45,3,FALSE)</f>
        <v>Non-metropolitan</v>
      </c>
      <c r="G597" s="98">
        <v>0</v>
      </c>
    </row>
    <row r="598" spans="1:7" ht="15.5" x14ac:dyDescent="0.35">
      <c r="A598" s="224" t="s">
        <v>54</v>
      </c>
      <c r="B598" s="224" t="s">
        <v>21</v>
      </c>
      <c r="C598" s="224" t="s">
        <v>106</v>
      </c>
      <c r="D598" s="224" t="s">
        <v>257</v>
      </c>
      <c r="E598" s="224" t="str">
        <f>VLOOKUP($B598,'FRS geographical categories'!$A$2:$C$45,2,FALSE)</f>
        <v>Significantly Rural</v>
      </c>
      <c r="F598" s="224" t="str">
        <f>VLOOKUP($B598,'FRS geographical categories'!$A$2:$C$45,3,FALSE)</f>
        <v>Non-metropolitan</v>
      </c>
      <c r="G598" s="98">
        <v>266</v>
      </c>
    </row>
    <row r="599" spans="1:7" ht="15.5" x14ac:dyDescent="0.35">
      <c r="A599" s="224" t="s">
        <v>54</v>
      </c>
      <c r="B599" s="224" t="s">
        <v>21</v>
      </c>
      <c r="C599" s="224" t="s">
        <v>107</v>
      </c>
      <c r="D599" s="224" t="s">
        <v>257</v>
      </c>
      <c r="E599" s="224" t="str">
        <f>VLOOKUP($B599,'FRS geographical categories'!$A$2:$C$45,2,FALSE)</f>
        <v>Significantly Rural</v>
      </c>
      <c r="F599" s="224" t="str">
        <f>VLOOKUP($B599,'FRS geographical categories'!$A$2:$C$45,3,FALSE)</f>
        <v>Non-metropolitan</v>
      </c>
      <c r="G599" s="98">
        <v>0</v>
      </c>
    </row>
    <row r="600" spans="1:7" ht="15.5" x14ac:dyDescent="0.35">
      <c r="A600" s="224" t="s">
        <v>54</v>
      </c>
      <c r="B600" s="224" t="s">
        <v>21</v>
      </c>
      <c r="C600" s="224" t="s">
        <v>108</v>
      </c>
      <c r="D600" s="224" t="s">
        <v>257</v>
      </c>
      <c r="E600" s="224" t="str">
        <f>VLOOKUP($B600,'FRS geographical categories'!$A$2:$C$45,2,FALSE)</f>
        <v>Significantly Rural</v>
      </c>
      <c r="F600" s="224" t="str">
        <f>VLOOKUP($B600,'FRS geographical categories'!$A$2:$C$45,3,FALSE)</f>
        <v>Non-metropolitan</v>
      </c>
      <c r="G600" s="98">
        <v>5663</v>
      </c>
    </row>
    <row r="601" spans="1:7" ht="15.5" x14ac:dyDescent="0.35">
      <c r="A601" s="224" t="s">
        <v>54</v>
      </c>
      <c r="B601" s="224" t="s">
        <v>21</v>
      </c>
      <c r="C601" s="224" t="s">
        <v>109</v>
      </c>
      <c r="D601" s="224" t="s">
        <v>257</v>
      </c>
      <c r="E601" s="224" t="str">
        <f>VLOOKUP($B601,'FRS geographical categories'!$A$2:$C$45,2,FALSE)</f>
        <v>Significantly Rural</v>
      </c>
      <c r="F601" s="224" t="str">
        <f>VLOOKUP($B601,'FRS geographical categories'!$A$2:$C$45,3,FALSE)</f>
        <v>Non-metropolitan</v>
      </c>
      <c r="G601" s="98">
        <v>216</v>
      </c>
    </row>
    <row r="602" spans="1:7" ht="15.5" x14ac:dyDescent="0.35">
      <c r="A602" s="224" t="s">
        <v>54</v>
      </c>
      <c r="B602" s="224" t="s">
        <v>22</v>
      </c>
      <c r="C602" s="224" t="s">
        <v>102</v>
      </c>
      <c r="D602" s="224" t="s">
        <v>257</v>
      </c>
      <c r="E602" s="224" t="str">
        <f>VLOOKUP($B602,'FRS geographical categories'!$A$2:$C$45,2,FALSE)</f>
        <v>Predominantly Rural</v>
      </c>
      <c r="F602" s="224" t="str">
        <f>VLOOKUP($B602,'FRS geographical categories'!$A$2:$C$45,3,FALSE)</f>
        <v>Non-metropolitan</v>
      </c>
      <c r="G602" s="98">
        <v>0</v>
      </c>
    </row>
    <row r="603" spans="1:7" ht="15.5" x14ac:dyDescent="0.35">
      <c r="A603" s="224" t="s">
        <v>54</v>
      </c>
      <c r="B603" s="224" t="s">
        <v>22</v>
      </c>
      <c r="C603" s="224" t="s">
        <v>105</v>
      </c>
      <c r="D603" s="224" t="s">
        <v>257</v>
      </c>
      <c r="E603" s="224" t="str">
        <f>VLOOKUP($B603,'FRS geographical categories'!$A$2:$C$45,2,FALSE)</f>
        <v>Predominantly Rural</v>
      </c>
      <c r="F603" s="224" t="str">
        <f>VLOOKUP($B603,'FRS geographical categories'!$A$2:$C$45,3,FALSE)</f>
        <v>Non-metropolitan</v>
      </c>
      <c r="G603" s="98">
        <v>0</v>
      </c>
    </row>
    <row r="604" spans="1:7" ht="15.5" x14ac:dyDescent="0.35">
      <c r="A604" s="224" t="s">
        <v>54</v>
      </c>
      <c r="B604" s="224" t="s">
        <v>22</v>
      </c>
      <c r="C604" s="224" t="s">
        <v>106</v>
      </c>
      <c r="D604" s="224" t="s">
        <v>257</v>
      </c>
      <c r="E604" s="224" t="str">
        <f>VLOOKUP($B604,'FRS geographical categories'!$A$2:$C$45,2,FALSE)</f>
        <v>Predominantly Rural</v>
      </c>
      <c r="F604" s="224" t="str">
        <f>VLOOKUP($B604,'FRS geographical categories'!$A$2:$C$45,3,FALSE)</f>
        <v>Non-metropolitan</v>
      </c>
      <c r="G604" s="98">
        <v>4608</v>
      </c>
    </row>
    <row r="605" spans="1:7" ht="15.5" x14ac:dyDescent="0.35">
      <c r="A605" s="224" t="s">
        <v>54</v>
      </c>
      <c r="B605" s="224" t="s">
        <v>22</v>
      </c>
      <c r="C605" s="224" t="s">
        <v>107</v>
      </c>
      <c r="D605" s="224" t="s">
        <v>257</v>
      </c>
      <c r="E605" s="224" t="str">
        <f>VLOOKUP($B605,'FRS geographical categories'!$A$2:$C$45,2,FALSE)</f>
        <v>Predominantly Rural</v>
      </c>
      <c r="F605" s="224" t="str">
        <f>VLOOKUP($B605,'FRS geographical categories'!$A$2:$C$45,3,FALSE)</f>
        <v>Non-metropolitan</v>
      </c>
      <c r="G605" s="98">
        <v>0</v>
      </c>
    </row>
    <row r="606" spans="1:7" ht="15.5" x14ac:dyDescent="0.35">
      <c r="A606" s="224" t="s">
        <v>54</v>
      </c>
      <c r="B606" s="224" t="s">
        <v>22</v>
      </c>
      <c r="C606" s="224" t="s">
        <v>108</v>
      </c>
      <c r="D606" s="224" t="s">
        <v>257</v>
      </c>
      <c r="E606" s="224" t="str">
        <f>VLOOKUP($B606,'FRS geographical categories'!$A$2:$C$45,2,FALSE)</f>
        <v>Predominantly Rural</v>
      </c>
      <c r="F606" s="224" t="str">
        <f>VLOOKUP($B606,'FRS geographical categories'!$A$2:$C$45,3,FALSE)</f>
        <v>Non-metropolitan</v>
      </c>
      <c r="G606" s="98">
        <v>267</v>
      </c>
    </row>
    <row r="607" spans="1:7" ht="15.5" x14ac:dyDescent="0.35">
      <c r="A607" s="224" t="s">
        <v>54</v>
      </c>
      <c r="B607" s="224" t="s">
        <v>22</v>
      </c>
      <c r="C607" s="224" t="s">
        <v>109</v>
      </c>
      <c r="D607" s="224" t="s">
        <v>257</v>
      </c>
      <c r="E607" s="224" t="str">
        <f>VLOOKUP($B607,'FRS geographical categories'!$A$2:$C$45,2,FALSE)</f>
        <v>Predominantly Rural</v>
      </c>
      <c r="F607" s="224" t="str">
        <f>VLOOKUP($B607,'FRS geographical categories'!$A$2:$C$45,3,FALSE)</f>
        <v>Non-metropolitan</v>
      </c>
      <c r="G607" s="98">
        <v>0</v>
      </c>
    </row>
    <row r="608" spans="1:7" ht="15.5" x14ac:dyDescent="0.35">
      <c r="A608" s="224" t="s">
        <v>54</v>
      </c>
      <c r="B608" s="224" t="s">
        <v>23</v>
      </c>
      <c r="C608" s="224" t="s">
        <v>102</v>
      </c>
      <c r="D608" s="224" t="s">
        <v>257</v>
      </c>
      <c r="E608" s="224" t="str">
        <f>VLOOKUP($B608,'FRS geographical categories'!$A$2:$C$45,2,FALSE)</f>
        <v>Significantly Rural</v>
      </c>
      <c r="F608" s="224" t="str">
        <f>VLOOKUP($B608,'FRS geographical categories'!$A$2:$C$45,3,FALSE)</f>
        <v>Non-metropolitan</v>
      </c>
      <c r="G608" s="98">
        <v>3444</v>
      </c>
    </row>
    <row r="609" spans="1:7" ht="15.5" x14ac:dyDescent="0.35">
      <c r="A609" s="224" t="s">
        <v>54</v>
      </c>
      <c r="B609" s="224" t="s">
        <v>23</v>
      </c>
      <c r="C609" s="224" t="s">
        <v>105</v>
      </c>
      <c r="D609" s="224" t="s">
        <v>257</v>
      </c>
      <c r="E609" s="224" t="str">
        <f>VLOOKUP($B609,'FRS geographical categories'!$A$2:$C$45,2,FALSE)</f>
        <v>Significantly Rural</v>
      </c>
      <c r="F609" s="224" t="str">
        <f>VLOOKUP($B609,'FRS geographical categories'!$A$2:$C$45,3,FALSE)</f>
        <v>Non-metropolitan</v>
      </c>
      <c r="G609" s="98">
        <v>0</v>
      </c>
    </row>
    <row r="610" spans="1:7" ht="15.5" x14ac:dyDescent="0.35">
      <c r="A610" s="224" t="s">
        <v>54</v>
      </c>
      <c r="B610" s="224" t="s">
        <v>23</v>
      </c>
      <c r="C610" s="224" t="s">
        <v>106</v>
      </c>
      <c r="D610" s="224" t="s">
        <v>257</v>
      </c>
      <c r="E610" s="224" t="str">
        <f>VLOOKUP($B610,'FRS geographical categories'!$A$2:$C$45,2,FALSE)</f>
        <v>Significantly Rural</v>
      </c>
      <c r="F610" s="224" t="str">
        <f>VLOOKUP($B610,'FRS geographical categories'!$A$2:$C$45,3,FALSE)</f>
        <v>Non-metropolitan</v>
      </c>
      <c r="G610" s="98">
        <v>7180</v>
      </c>
    </row>
    <row r="611" spans="1:7" ht="15.5" x14ac:dyDescent="0.35">
      <c r="A611" s="224" t="s">
        <v>54</v>
      </c>
      <c r="B611" s="224" t="s">
        <v>23</v>
      </c>
      <c r="C611" s="224" t="s">
        <v>107</v>
      </c>
      <c r="D611" s="224" t="s">
        <v>257</v>
      </c>
      <c r="E611" s="224" t="str">
        <f>VLOOKUP($B611,'FRS geographical categories'!$A$2:$C$45,2,FALSE)</f>
        <v>Significantly Rural</v>
      </c>
      <c r="F611" s="224" t="str">
        <f>VLOOKUP($B611,'FRS geographical categories'!$A$2:$C$45,3,FALSE)</f>
        <v>Non-metropolitan</v>
      </c>
      <c r="G611" s="98">
        <v>0</v>
      </c>
    </row>
    <row r="612" spans="1:7" ht="15.5" x14ac:dyDescent="0.35">
      <c r="A612" s="224" t="s">
        <v>54</v>
      </c>
      <c r="B612" s="224" t="s">
        <v>23</v>
      </c>
      <c r="C612" s="224" t="s">
        <v>108</v>
      </c>
      <c r="D612" s="224" t="s">
        <v>257</v>
      </c>
      <c r="E612" s="224" t="str">
        <f>VLOOKUP($B612,'FRS geographical categories'!$A$2:$C$45,2,FALSE)</f>
        <v>Significantly Rural</v>
      </c>
      <c r="F612" s="224" t="str">
        <f>VLOOKUP($B612,'FRS geographical categories'!$A$2:$C$45,3,FALSE)</f>
        <v>Non-metropolitan</v>
      </c>
      <c r="G612" s="98">
        <v>0</v>
      </c>
    </row>
    <row r="613" spans="1:7" ht="15.5" x14ac:dyDescent="0.35">
      <c r="A613" s="224" t="s">
        <v>54</v>
      </c>
      <c r="B613" s="224" t="s">
        <v>23</v>
      </c>
      <c r="C613" s="224" t="s">
        <v>109</v>
      </c>
      <c r="D613" s="224" t="s">
        <v>257</v>
      </c>
      <c r="E613" s="224" t="str">
        <f>VLOOKUP($B613,'FRS geographical categories'!$A$2:$C$45,2,FALSE)</f>
        <v>Significantly Rural</v>
      </c>
      <c r="F613" s="224" t="str">
        <f>VLOOKUP($B613,'FRS geographical categories'!$A$2:$C$45,3,FALSE)</f>
        <v>Non-metropolitan</v>
      </c>
      <c r="G613" s="98">
        <v>0</v>
      </c>
    </row>
    <row r="614" spans="1:7" ht="15.5" x14ac:dyDescent="0.35">
      <c r="A614" s="224" t="s">
        <v>54</v>
      </c>
      <c r="B614" s="224" t="s">
        <v>24</v>
      </c>
      <c r="C614" s="224" t="s">
        <v>102</v>
      </c>
      <c r="D614" s="224" t="s">
        <v>257</v>
      </c>
      <c r="E614" s="224" t="str">
        <f>VLOOKUP($B614,'FRS geographical categories'!$A$2:$C$45,2,FALSE)</f>
        <v>Significantly Rural</v>
      </c>
      <c r="F614" s="224" t="str">
        <f>VLOOKUP($B614,'FRS geographical categories'!$A$2:$C$45,3,FALSE)</f>
        <v>Non-metropolitan</v>
      </c>
      <c r="G614" s="98">
        <v>0</v>
      </c>
    </row>
    <row r="615" spans="1:7" ht="15.5" x14ac:dyDescent="0.35">
      <c r="A615" s="224" t="s">
        <v>54</v>
      </c>
      <c r="B615" s="224" t="s">
        <v>24</v>
      </c>
      <c r="C615" s="224" t="s">
        <v>105</v>
      </c>
      <c r="D615" s="224" t="s">
        <v>257</v>
      </c>
      <c r="E615" s="224" t="str">
        <f>VLOOKUP($B615,'FRS geographical categories'!$A$2:$C$45,2,FALSE)</f>
        <v>Significantly Rural</v>
      </c>
      <c r="F615" s="224" t="str">
        <f>VLOOKUP($B615,'FRS geographical categories'!$A$2:$C$45,3,FALSE)</f>
        <v>Non-metropolitan</v>
      </c>
      <c r="G615" s="98">
        <v>0</v>
      </c>
    </row>
    <row r="616" spans="1:7" ht="15.5" x14ac:dyDescent="0.35">
      <c r="A616" s="224" t="s">
        <v>54</v>
      </c>
      <c r="B616" s="224" t="s">
        <v>24</v>
      </c>
      <c r="C616" s="224" t="s">
        <v>106</v>
      </c>
      <c r="D616" s="224" t="s">
        <v>257</v>
      </c>
      <c r="E616" s="224" t="str">
        <f>VLOOKUP($B616,'FRS geographical categories'!$A$2:$C$45,2,FALSE)</f>
        <v>Significantly Rural</v>
      </c>
      <c r="F616" s="224" t="str">
        <f>VLOOKUP($B616,'FRS geographical categories'!$A$2:$C$45,3,FALSE)</f>
        <v>Non-metropolitan</v>
      </c>
      <c r="G616" s="98">
        <v>284</v>
      </c>
    </row>
    <row r="617" spans="1:7" ht="15.5" x14ac:dyDescent="0.35">
      <c r="A617" s="224" t="s">
        <v>54</v>
      </c>
      <c r="B617" s="224" t="s">
        <v>24</v>
      </c>
      <c r="C617" s="224" t="s">
        <v>107</v>
      </c>
      <c r="D617" s="224" t="s">
        <v>257</v>
      </c>
      <c r="E617" s="224" t="str">
        <f>VLOOKUP($B617,'FRS geographical categories'!$A$2:$C$45,2,FALSE)</f>
        <v>Significantly Rural</v>
      </c>
      <c r="F617" s="224" t="str">
        <f>VLOOKUP($B617,'FRS geographical categories'!$A$2:$C$45,3,FALSE)</f>
        <v>Non-metropolitan</v>
      </c>
      <c r="G617" s="98">
        <v>33</v>
      </c>
    </row>
    <row r="618" spans="1:7" ht="15.5" x14ac:dyDescent="0.35">
      <c r="A618" s="224" t="s">
        <v>54</v>
      </c>
      <c r="B618" s="224" t="s">
        <v>24</v>
      </c>
      <c r="C618" s="224" t="s">
        <v>108</v>
      </c>
      <c r="D618" s="224" t="s">
        <v>257</v>
      </c>
      <c r="E618" s="224" t="str">
        <f>VLOOKUP($B618,'FRS geographical categories'!$A$2:$C$45,2,FALSE)</f>
        <v>Significantly Rural</v>
      </c>
      <c r="F618" s="224" t="str">
        <f>VLOOKUP($B618,'FRS geographical categories'!$A$2:$C$45,3,FALSE)</f>
        <v>Non-metropolitan</v>
      </c>
      <c r="G618" s="98">
        <v>4934</v>
      </c>
    </row>
    <row r="619" spans="1:7" ht="15.5" x14ac:dyDescent="0.35">
      <c r="A619" s="224" t="s">
        <v>54</v>
      </c>
      <c r="B619" s="224" t="s">
        <v>24</v>
      </c>
      <c r="C619" s="224" t="s">
        <v>109</v>
      </c>
      <c r="D619" s="224" t="s">
        <v>257</v>
      </c>
      <c r="E619" s="224" t="str">
        <f>VLOOKUP($B619,'FRS geographical categories'!$A$2:$C$45,2,FALSE)</f>
        <v>Significantly Rural</v>
      </c>
      <c r="F619" s="224" t="str">
        <f>VLOOKUP($B619,'FRS geographical categories'!$A$2:$C$45,3,FALSE)</f>
        <v>Non-metropolitan</v>
      </c>
      <c r="G619" s="98">
        <v>0</v>
      </c>
    </row>
    <row r="620" spans="1:7" ht="15.5" x14ac:dyDescent="0.35">
      <c r="A620" s="224" t="s">
        <v>54</v>
      </c>
      <c r="B620" s="224" t="s">
        <v>25</v>
      </c>
      <c r="C620" s="224" t="s">
        <v>102</v>
      </c>
      <c r="D620" s="224" t="s">
        <v>257</v>
      </c>
      <c r="E620" s="224" t="str">
        <f>VLOOKUP($B620,'FRS geographical categories'!$A$2:$C$45,2,FALSE)</f>
        <v>Significantly Rural</v>
      </c>
      <c r="F620" s="224" t="str">
        <f>VLOOKUP($B620,'FRS geographical categories'!$A$2:$C$45,3,FALSE)</f>
        <v>Non-metropolitan</v>
      </c>
      <c r="G620" s="98">
        <v>0</v>
      </c>
    </row>
    <row r="621" spans="1:7" ht="15.5" x14ac:dyDescent="0.35">
      <c r="A621" s="224" t="s">
        <v>54</v>
      </c>
      <c r="B621" s="224" t="s">
        <v>25</v>
      </c>
      <c r="C621" s="224" t="s">
        <v>105</v>
      </c>
      <c r="D621" s="224" t="s">
        <v>257</v>
      </c>
      <c r="E621" s="224" t="str">
        <f>VLOOKUP($B621,'FRS geographical categories'!$A$2:$C$45,2,FALSE)</f>
        <v>Significantly Rural</v>
      </c>
      <c r="F621" s="224" t="str">
        <f>VLOOKUP($B621,'FRS geographical categories'!$A$2:$C$45,3,FALSE)</f>
        <v>Non-metropolitan</v>
      </c>
      <c r="G621" s="98">
        <v>0</v>
      </c>
    </row>
    <row r="622" spans="1:7" ht="15.5" x14ac:dyDescent="0.35">
      <c r="A622" s="224" t="s">
        <v>54</v>
      </c>
      <c r="B622" s="224" t="s">
        <v>25</v>
      </c>
      <c r="C622" s="224" t="s">
        <v>106</v>
      </c>
      <c r="D622" s="224" t="s">
        <v>257</v>
      </c>
      <c r="E622" s="224" t="str">
        <f>VLOOKUP($B622,'FRS geographical categories'!$A$2:$C$45,2,FALSE)</f>
        <v>Significantly Rural</v>
      </c>
      <c r="F622" s="224" t="str">
        <f>VLOOKUP($B622,'FRS geographical categories'!$A$2:$C$45,3,FALSE)</f>
        <v>Non-metropolitan</v>
      </c>
      <c r="G622" s="98">
        <v>1147</v>
      </c>
    </row>
    <row r="623" spans="1:7" ht="15.5" x14ac:dyDescent="0.35">
      <c r="A623" s="224" t="s">
        <v>54</v>
      </c>
      <c r="B623" s="224" t="s">
        <v>25</v>
      </c>
      <c r="C623" s="224" t="s">
        <v>107</v>
      </c>
      <c r="D623" s="224" t="s">
        <v>257</v>
      </c>
      <c r="E623" s="224" t="str">
        <f>VLOOKUP($B623,'FRS geographical categories'!$A$2:$C$45,2,FALSE)</f>
        <v>Significantly Rural</v>
      </c>
      <c r="F623" s="224" t="str">
        <f>VLOOKUP($B623,'FRS geographical categories'!$A$2:$C$45,3,FALSE)</f>
        <v>Non-metropolitan</v>
      </c>
      <c r="G623" s="98">
        <v>0</v>
      </c>
    </row>
    <row r="624" spans="1:7" ht="15.5" x14ac:dyDescent="0.35">
      <c r="A624" s="224" t="s">
        <v>54</v>
      </c>
      <c r="B624" s="224" t="s">
        <v>25</v>
      </c>
      <c r="C624" s="224" t="s">
        <v>108</v>
      </c>
      <c r="D624" s="224" t="s">
        <v>257</v>
      </c>
      <c r="E624" s="224" t="str">
        <f>VLOOKUP($B624,'FRS geographical categories'!$A$2:$C$45,2,FALSE)</f>
        <v>Significantly Rural</v>
      </c>
      <c r="F624" s="224" t="str">
        <f>VLOOKUP($B624,'FRS geographical categories'!$A$2:$C$45,3,FALSE)</f>
        <v>Non-metropolitan</v>
      </c>
      <c r="G624" s="98">
        <v>1513</v>
      </c>
    </row>
    <row r="625" spans="1:7" ht="15.5" x14ac:dyDescent="0.35">
      <c r="A625" s="224" t="s">
        <v>54</v>
      </c>
      <c r="B625" s="224" t="s">
        <v>25</v>
      </c>
      <c r="C625" s="224" t="s">
        <v>109</v>
      </c>
      <c r="D625" s="224" t="s">
        <v>257</v>
      </c>
      <c r="E625" s="224" t="str">
        <f>VLOOKUP($B625,'FRS geographical categories'!$A$2:$C$45,2,FALSE)</f>
        <v>Significantly Rural</v>
      </c>
      <c r="F625" s="224" t="str">
        <f>VLOOKUP($B625,'FRS geographical categories'!$A$2:$C$45,3,FALSE)</f>
        <v>Non-metropolitan</v>
      </c>
      <c r="G625" s="98">
        <v>0</v>
      </c>
    </row>
    <row r="626" spans="1:7" ht="15.5" x14ac:dyDescent="0.35">
      <c r="A626" s="224" t="s">
        <v>54</v>
      </c>
      <c r="B626" s="224" t="s">
        <v>26</v>
      </c>
      <c r="C626" s="224" t="s">
        <v>102</v>
      </c>
      <c r="D626" s="224" t="s">
        <v>257</v>
      </c>
      <c r="E626" s="224" t="str">
        <f>VLOOKUP($B626,'FRS geographical categories'!$A$2:$C$45,2,FALSE)</f>
        <v>Predominantly Urban</v>
      </c>
      <c r="F626" s="224" t="str">
        <f>VLOOKUP($B626,'FRS geographical categories'!$A$2:$C$45,3,FALSE)</f>
        <v>Metropolitan</v>
      </c>
      <c r="G626" s="98">
        <v>0</v>
      </c>
    </row>
    <row r="627" spans="1:7" ht="15.5" x14ac:dyDescent="0.35">
      <c r="A627" s="224" t="s">
        <v>54</v>
      </c>
      <c r="B627" s="224" t="s">
        <v>26</v>
      </c>
      <c r="C627" s="224" t="s">
        <v>105</v>
      </c>
      <c r="D627" s="224" t="s">
        <v>257</v>
      </c>
      <c r="E627" s="224" t="str">
        <f>VLOOKUP($B627,'FRS geographical categories'!$A$2:$C$45,2,FALSE)</f>
        <v>Predominantly Urban</v>
      </c>
      <c r="F627" s="224" t="str">
        <f>VLOOKUP($B627,'FRS geographical categories'!$A$2:$C$45,3,FALSE)</f>
        <v>Metropolitan</v>
      </c>
      <c r="G627" s="98">
        <v>0</v>
      </c>
    </row>
    <row r="628" spans="1:7" ht="15.5" x14ac:dyDescent="0.35">
      <c r="A628" s="224" t="s">
        <v>54</v>
      </c>
      <c r="B628" s="224" t="s">
        <v>26</v>
      </c>
      <c r="C628" s="224" t="s">
        <v>106</v>
      </c>
      <c r="D628" s="224" t="s">
        <v>257</v>
      </c>
      <c r="E628" s="224" t="str">
        <f>VLOOKUP($B628,'FRS geographical categories'!$A$2:$C$45,2,FALSE)</f>
        <v>Predominantly Urban</v>
      </c>
      <c r="F628" s="224" t="str">
        <f>VLOOKUP($B628,'FRS geographical categories'!$A$2:$C$45,3,FALSE)</f>
        <v>Metropolitan</v>
      </c>
      <c r="G628" s="98">
        <v>78806</v>
      </c>
    </row>
    <row r="629" spans="1:7" ht="15.5" x14ac:dyDescent="0.35">
      <c r="A629" s="224" t="s">
        <v>54</v>
      </c>
      <c r="B629" s="224" t="s">
        <v>26</v>
      </c>
      <c r="C629" s="224" t="s">
        <v>107</v>
      </c>
      <c r="D629" s="224" t="s">
        <v>257</v>
      </c>
      <c r="E629" s="224" t="str">
        <f>VLOOKUP($B629,'FRS geographical categories'!$A$2:$C$45,2,FALSE)</f>
        <v>Predominantly Urban</v>
      </c>
      <c r="F629" s="224" t="str">
        <f>VLOOKUP($B629,'FRS geographical categories'!$A$2:$C$45,3,FALSE)</f>
        <v>Metropolitan</v>
      </c>
      <c r="G629" s="98">
        <v>0</v>
      </c>
    </row>
    <row r="630" spans="1:7" ht="15.5" x14ac:dyDescent="0.35">
      <c r="A630" s="224" t="s">
        <v>54</v>
      </c>
      <c r="B630" s="224" t="s">
        <v>26</v>
      </c>
      <c r="C630" s="224" t="s">
        <v>108</v>
      </c>
      <c r="D630" s="224" t="s">
        <v>257</v>
      </c>
      <c r="E630" s="224" t="str">
        <f>VLOOKUP($B630,'FRS geographical categories'!$A$2:$C$45,2,FALSE)</f>
        <v>Predominantly Urban</v>
      </c>
      <c r="F630" s="224" t="str">
        <f>VLOOKUP($B630,'FRS geographical categories'!$A$2:$C$45,3,FALSE)</f>
        <v>Metropolitan</v>
      </c>
      <c r="G630" s="98">
        <v>0</v>
      </c>
    </row>
    <row r="631" spans="1:7" ht="15.5" x14ac:dyDescent="0.35">
      <c r="A631" s="224" t="s">
        <v>54</v>
      </c>
      <c r="B631" s="224" t="s">
        <v>26</v>
      </c>
      <c r="C631" s="224" t="s">
        <v>109</v>
      </c>
      <c r="D631" s="224" t="s">
        <v>257</v>
      </c>
      <c r="E631" s="224" t="str">
        <f>VLOOKUP($B631,'FRS geographical categories'!$A$2:$C$45,2,FALSE)</f>
        <v>Predominantly Urban</v>
      </c>
      <c r="F631" s="224" t="str">
        <f>VLOOKUP($B631,'FRS geographical categories'!$A$2:$C$45,3,FALSE)</f>
        <v>Metropolitan</v>
      </c>
      <c r="G631" s="98">
        <v>0</v>
      </c>
    </row>
    <row r="632" spans="1:7" ht="15.5" x14ac:dyDescent="0.35">
      <c r="A632" s="224" t="s">
        <v>54</v>
      </c>
      <c r="B632" s="224" t="s">
        <v>27</v>
      </c>
      <c r="C632" s="224" t="s">
        <v>102</v>
      </c>
      <c r="D632" s="224" t="s">
        <v>257</v>
      </c>
      <c r="E632" s="224" t="str">
        <f>VLOOKUP($B632,'FRS geographical categories'!$A$2:$C$45,2,FALSE)</f>
        <v>Predominantly Urban</v>
      </c>
      <c r="F632" s="224" t="str">
        <f>VLOOKUP($B632,'FRS geographical categories'!$A$2:$C$45,3,FALSE)</f>
        <v>Metropolitan</v>
      </c>
      <c r="G632" s="98">
        <v>3159</v>
      </c>
    </row>
    <row r="633" spans="1:7" ht="15.5" x14ac:dyDescent="0.35">
      <c r="A633" s="224" t="s">
        <v>54</v>
      </c>
      <c r="B633" s="224" t="s">
        <v>27</v>
      </c>
      <c r="C633" s="224" t="s">
        <v>105</v>
      </c>
      <c r="D633" s="224" t="s">
        <v>257</v>
      </c>
      <c r="E633" s="224" t="str">
        <f>VLOOKUP($B633,'FRS geographical categories'!$A$2:$C$45,2,FALSE)</f>
        <v>Predominantly Urban</v>
      </c>
      <c r="F633" s="224" t="str">
        <f>VLOOKUP($B633,'FRS geographical categories'!$A$2:$C$45,3,FALSE)</f>
        <v>Metropolitan</v>
      </c>
      <c r="G633" s="98">
        <v>0</v>
      </c>
    </row>
    <row r="634" spans="1:7" ht="15.5" x14ac:dyDescent="0.35">
      <c r="A634" s="224" t="s">
        <v>54</v>
      </c>
      <c r="B634" s="224" t="s">
        <v>27</v>
      </c>
      <c r="C634" s="224" t="s">
        <v>106</v>
      </c>
      <c r="D634" s="224" t="s">
        <v>257</v>
      </c>
      <c r="E634" s="224" t="str">
        <f>VLOOKUP($B634,'FRS geographical categories'!$A$2:$C$45,2,FALSE)</f>
        <v>Predominantly Urban</v>
      </c>
      <c r="F634" s="224" t="str">
        <f>VLOOKUP($B634,'FRS geographical categories'!$A$2:$C$45,3,FALSE)</f>
        <v>Metropolitan</v>
      </c>
      <c r="G634" s="98">
        <v>5023</v>
      </c>
    </row>
    <row r="635" spans="1:7" ht="15.5" x14ac:dyDescent="0.35">
      <c r="A635" s="224" t="s">
        <v>54</v>
      </c>
      <c r="B635" s="224" t="s">
        <v>27</v>
      </c>
      <c r="C635" s="224" t="s">
        <v>107</v>
      </c>
      <c r="D635" s="224" t="s">
        <v>257</v>
      </c>
      <c r="E635" s="224" t="str">
        <f>VLOOKUP($B635,'FRS geographical categories'!$A$2:$C$45,2,FALSE)</f>
        <v>Predominantly Urban</v>
      </c>
      <c r="F635" s="224" t="str">
        <f>VLOOKUP($B635,'FRS geographical categories'!$A$2:$C$45,3,FALSE)</f>
        <v>Metropolitan</v>
      </c>
      <c r="G635" s="98">
        <v>0</v>
      </c>
    </row>
    <row r="636" spans="1:7" ht="15.5" x14ac:dyDescent="0.35">
      <c r="A636" s="224" t="s">
        <v>54</v>
      </c>
      <c r="B636" s="224" t="s">
        <v>27</v>
      </c>
      <c r="C636" s="224" t="s">
        <v>108</v>
      </c>
      <c r="D636" s="224" t="s">
        <v>257</v>
      </c>
      <c r="E636" s="224" t="str">
        <f>VLOOKUP($B636,'FRS geographical categories'!$A$2:$C$45,2,FALSE)</f>
        <v>Predominantly Urban</v>
      </c>
      <c r="F636" s="224" t="str">
        <f>VLOOKUP($B636,'FRS geographical categories'!$A$2:$C$45,3,FALSE)</f>
        <v>Metropolitan</v>
      </c>
      <c r="G636" s="98">
        <v>153</v>
      </c>
    </row>
    <row r="637" spans="1:7" ht="15.5" x14ac:dyDescent="0.35">
      <c r="A637" s="224" t="s">
        <v>54</v>
      </c>
      <c r="B637" s="224" t="s">
        <v>27</v>
      </c>
      <c r="C637" s="224" t="s">
        <v>109</v>
      </c>
      <c r="D637" s="224" t="s">
        <v>257</v>
      </c>
      <c r="E637" s="224" t="str">
        <f>VLOOKUP($B637,'FRS geographical categories'!$A$2:$C$45,2,FALSE)</f>
        <v>Predominantly Urban</v>
      </c>
      <c r="F637" s="224" t="str">
        <f>VLOOKUP($B637,'FRS geographical categories'!$A$2:$C$45,3,FALSE)</f>
        <v>Metropolitan</v>
      </c>
      <c r="G637" s="98">
        <v>0</v>
      </c>
    </row>
    <row r="638" spans="1:7" ht="15.5" x14ac:dyDescent="0.35">
      <c r="A638" s="224" t="s">
        <v>54</v>
      </c>
      <c r="B638" s="224" t="s">
        <v>93</v>
      </c>
      <c r="C638" s="224" t="s">
        <v>102</v>
      </c>
      <c r="D638" s="224" t="s">
        <v>257</v>
      </c>
      <c r="E638" s="224" t="str">
        <f>VLOOKUP($B638,'FRS geographical categories'!$A$2:$C$45,2,FALSE)</f>
        <v>Significantly Rural</v>
      </c>
      <c r="F638" s="224" t="str">
        <f>VLOOKUP($B638,'FRS geographical categories'!$A$2:$C$45,3,FALSE)</f>
        <v>Non-metropolitan</v>
      </c>
      <c r="G638" s="98">
        <v>0</v>
      </c>
    </row>
    <row r="639" spans="1:7" ht="15.5" x14ac:dyDescent="0.35">
      <c r="A639" s="224" t="s">
        <v>54</v>
      </c>
      <c r="B639" s="224" t="s">
        <v>93</v>
      </c>
      <c r="C639" s="224" t="s">
        <v>105</v>
      </c>
      <c r="D639" s="224" t="s">
        <v>257</v>
      </c>
      <c r="E639" s="224" t="str">
        <f>VLOOKUP($B639,'FRS geographical categories'!$A$2:$C$45,2,FALSE)</f>
        <v>Significantly Rural</v>
      </c>
      <c r="F639" s="224" t="str">
        <f>VLOOKUP($B639,'FRS geographical categories'!$A$2:$C$45,3,FALSE)</f>
        <v>Non-metropolitan</v>
      </c>
      <c r="G639" s="98">
        <v>0</v>
      </c>
    </row>
    <row r="640" spans="1:7" ht="15.5" x14ac:dyDescent="0.35">
      <c r="A640" s="224" t="s">
        <v>54</v>
      </c>
      <c r="B640" s="224" t="s">
        <v>93</v>
      </c>
      <c r="C640" s="224" t="s">
        <v>106</v>
      </c>
      <c r="D640" s="224" t="s">
        <v>257</v>
      </c>
      <c r="E640" s="224" t="str">
        <f>VLOOKUP($B640,'FRS geographical categories'!$A$2:$C$45,2,FALSE)</f>
        <v>Significantly Rural</v>
      </c>
      <c r="F640" s="224" t="str">
        <f>VLOOKUP($B640,'FRS geographical categories'!$A$2:$C$45,3,FALSE)</f>
        <v>Non-metropolitan</v>
      </c>
      <c r="G640" s="98">
        <v>5839</v>
      </c>
    </row>
    <row r="641" spans="1:7" ht="15.5" x14ac:dyDescent="0.35">
      <c r="A641" s="224" t="s">
        <v>54</v>
      </c>
      <c r="B641" s="224" t="s">
        <v>93</v>
      </c>
      <c r="C641" s="224" t="s">
        <v>107</v>
      </c>
      <c r="D641" s="224" t="s">
        <v>257</v>
      </c>
      <c r="E641" s="224" t="str">
        <f>VLOOKUP($B641,'FRS geographical categories'!$A$2:$C$45,2,FALSE)</f>
        <v>Significantly Rural</v>
      </c>
      <c r="F641" s="224" t="str">
        <f>VLOOKUP($B641,'FRS geographical categories'!$A$2:$C$45,3,FALSE)</f>
        <v>Non-metropolitan</v>
      </c>
      <c r="G641" s="98">
        <v>15</v>
      </c>
    </row>
    <row r="642" spans="1:7" ht="15.5" x14ac:dyDescent="0.35">
      <c r="A642" s="224" t="s">
        <v>54</v>
      </c>
      <c r="B642" s="224" t="s">
        <v>93</v>
      </c>
      <c r="C642" s="224" t="s">
        <v>108</v>
      </c>
      <c r="D642" s="224" t="s">
        <v>257</v>
      </c>
      <c r="E642" s="224" t="str">
        <f>VLOOKUP($B642,'FRS geographical categories'!$A$2:$C$45,2,FALSE)</f>
        <v>Significantly Rural</v>
      </c>
      <c r="F642" s="224" t="str">
        <f>VLOOKUP($B642,'FRS geographical categories'!$A$2:$C$45,3,FALSE)</f>
        <v>Non-metropolitan</v>
      </c>
      <c r="G642" s="98">
        <v>3957</v>
      </c>
    </row>
    <row r="643" spans="1:7" ht="15.5" x14ac:dyDescent="0.35">
      <c r="A643" s="224" t="s">
        <v>54</v>
      </c>
      <c r="B643" s="224" t="s">
        <v>93</v>
      </c>
      <c r="C643" s="224" t="s">
        <v>109</v>
      </c>
      <c r="D643" s="224" t="s">
        <v>257</v>
      </c>
      <c r="E643" s="224" t="str">
        <f>VLOOKUP($B643,'FRS geographical categories'!$A$2:$C$45,2,FALSE)</f>
        <v>Significantly Rural</v>
      </c>
      <c r="F643" s="224" t="str">
        <f>VLOOKUP($B643,'FRS geographical categories'!$A$2:$C$45,3,FALSE)</f>
        <v>Non-metropolitan</v>
      </c>
      <c r="G643" s="98">
        <v>0</v>
      </c>
    </row>
    <row r="644" spans="1:7" ht="15.5" x14ac:dyDescent="0.35">
      <c r="A644" s="224" t="s">
        <v>54</v>
      </c>
      <c r="B644" s="224" t="s">
        <v>28</v>
      </c>
      <c r="C644" s="224" t="s">
        <v>102</v>
      </c>
      <c r="D644" s="224" t="s">
        <v>257</v>
      </c>
      <c r="E644" s="224" t="str">
        <f>VLOOKUP($B644,'FRS geographical categories'!$A$2:$C$45,2,FALSE)</f>
        <v>Significantly Rural</v>
      </c>
      <c r="F644" s="224" t="str">
        <f>VLOOKUP($B644,'FRS geographical categories'!$A$2:$C$45,3,FALSE)</f>
        <v>Non-metropolitan</v>
      </c>
      <c r="G644" s="98">
        <v>0</v>
      </c>
    </row>
    <row r="645" spans="1:7" ht="15.5" x14ac:dyDescent="0.35">
      <c r="A645" s="224" t="s">
        <v>54</v>
      </c>
      <c r="B645" s="224" t="s">
        <v>28</v>
      </c>
      <c r="C645" s="224" t="s">
        <v>105</v>
      </c>
      <c r="D645" s="224" t="s">
        <v>257</v>
      </c>
      <c r="E645" s="224" t="str">
        <f>VLOOKUP($B645,'FRS geographical categories'!$A$2:$C$45,2,FALSE)</f>
        <v>Significantly Rural</v>
      </c>
      <c r="F645" s="224" t="str">
        <f>VLOOKUP($B645,'FRS geographical categories'!$A$2:$C$45,3,FALSE)</f>
        <v>Non-metropolitan</v>
      </c>
      <c r="G645" s="98">
        <v>0</v>
      </c>
    </row>
    <row r="646" spans="1:7" ht="15.5" x14ac:dyDescent="0.35">
      <c r="A646" s="224" t="s">
        <v>54</v>
      </c>
      <c r="B646" s="224" t="s">
        <v>28</v>
      </c>
      <c r="C646" s="224" t="s">
        <v>106</v>
      </c>
      <c r="D646" s="224" t="s">
        <v>257</v>
      </c>
      <c r="E646" s="224" t="str">
        <f>VLOOKUP($B646,'FRS geographical categories'!$A$2:$C$45,2,FALSE)</f>
        <v>Significantly Rural</v>
      </c>
      <c r="F646" s="224" t="str">
        <f>VLOOKUP($B646,'FRS geographical categories'!$A$2:$C$45,3,FALSE)</f>
        <v>Non-metropolitan</v>
      </c>
      <c r="G646" s="98">
        <v>1264</v>
      </c>
    </row>
    <row r="647" spans="1:7" ht="15.5" x14ac:dyDescent="0.35">
      <c r="A647" s="224" t="s">
        <v>54</v>
      </c>
      <c r="B647" s="224" t="s">
        <v>28</v>
      </c>
      <c r="C647" s="224" t="s">
        <v>107</v>
      </c>
      <c r="D647" s="224" t="s">
        <v>257</v>
      </c>
      <c r="E647" s="224" t="str">
        <f>VLOOKUP($B647,'FRS geographical categories'!$A$2:$C$45,2,FALSE)</f>
        <v>Significantly Rural</v>
      </c>
      <c r="F647" s="224" t="str">
        <f>VLOOKUP($B647,'FRS geographical categories'!$A$2:$C$45,3,FALSE)</f>
        <v>Non-metropolitan</v>
      </c>
      <c r="G647" s="98">
        <v>0</v>
      </c>
    </row>
    <row r="648" spans="1:7" ht="15.5" x14ac:dyDescent="0.35">
      <c r="A648" s="224" t="s">
        <v>54</v>
      </c>
      <c r="B648" s="224" t="s">
        <v>28</v>
      </c>
      <c r="C648" s="224" t="s">
        <v>108</v>
      </c>
      <c r="D648" s="224" t="s">
        <v>257</v>
      </c>
      <c r="E648" s="224" t="str">
        <f>VLOOKUP($B648,'FRS geographical categories'!$A$2:$C$45,2,FALSE)</f>
        <v>Significantly Rural</v>
      </c>
      <c r="F648" s="224" t="str">
        <f>VLOOKUP($B648,'FRS geographical categories'!$A$2:$C$45,3,FALSE)</f>
        <v>Non-metropolitan</v>
      </c>
      <c r="G648" s="98">
        <v>1832</v>
      </c>
    </row>
    <row r="649" spans="1:7" ht="15.5" x14ac:dyDescent="0.35">
      <c r="A649" s="224" t="s">
        <v>54</v>
      </c>
      <c r="B649" s="224" t="s">
        <v>28</v>
      </c>
      <c r="C649" s="224" t="s">
        <v>109</v>
      </c>
      <c r="D649" s="224" t="s">
        <v>257</v>
      </c>
      <c r="E649" s="224" t="str">
        <f>VLOOKUP($B649,'FRS geographical categories'!$A$2:$C$45,2,FALSE)</f>
        <v>Significantly Rural</v>
      </c>
      <c r="F649" s="224" t="str">
        <f>VLOOKUP($B649,'FRS geographical categories'!$A$2:$C$45,3,FALSE)</f>
        <v>Non-metropolitan</v>
      </c>
      <c r="G649" s="98">
        <v>0</v>
      </c>
    </row>
    <row r="650" spans="1:7" ht="15.5" x14ac:dyDescent="0.35">
      <c r="A650" s="224" t="s">
        <v>54</v>
      </c>
      <c r="B650" s="224" t="s">
        <v>29</v>
      </c>
      <c r="C650" s="224" t="s">
        <v>102</v>
      </c>
      <c r="D650" s="224" t="s">
        <v>257</v>
      </c>
      <c r="E650" s="224" t="str">
        <f>VLOOKUP($B650,'FRS geographical categories'!$A$2:$C$45,2,FALSE)</f>
        <v>Predominantly Urban</v>
      </c>
      <c r="F650" s="224" t="str">
        <f>VLOOKUP($B650,'FRS geographical categories'!$A$2:$C$45,3,FALSE)</f>
        <v>Non-metropolitan</v>
      </c>
      <c r="G650" s="98">
        <v>0</v>
      </c>
    </row>
    <row r="651" spans="1:7" ht="15.5" x14ac:dyDescent="0.35">
      <c r="A651" s="224" t="s">
        <v>54</v>
      </c>
      <c r="B651" s="224" t="s">
        <v>29</v>
      </c>
      <c r="C651" s="224" t="s">
        <v>105</v>
      </c>
      <c r="D651" s="224" t="s">
        <v>257</v>
      </c>
      <c r="E651" s="224" t="str">
        <f>VLOOKUP($B651,'FRS geographical categories'!$A$2:$C$45,2,FALSE)</f>
        <v>Predominantly Urban</v>
      </c>
      <c r="F651" s="224" t="str">
        <f>VLOOKUP($B651,'FRS geographical categories'!$A$2:$C$45,3,FALSE)</f>
        <v>Non-metropolitan</v>
      </c>
      <c r="G651" s="98">
        <v>0</v>
      </c>
    </row>
    <row r="652" spans="1:7" ht="15.5" x14ac:dyDescent="0.35">
      <c r="A652" s="224" t="s">
        <v>54</v>
      </c>
      <c r="B652" s="224" t="s">
        <v>29</v>
      </c>
      <c r="C652" s="224" t="s">
        <v>106</v>
      </c>
      <c r="D652" s="224" t="s">
        <v>257</v>
      </c>
      <c r="E652" s="224" t="str">
        <f>VLOOKUP($B652,'FRS geographical categories'!$A$2:$C$45,2,FALSE)</f>
        <v>Predominantly Urban</v>
      </c>
      <c r="F652" s="224" t="str">
        <f>VLOOKUP($B652,'FRS geographical categories'!$A$2:$C$45,3,FALSE)</f>
        <v>Non-metropolitan</v>
      </c>
      <c r="G652" s="98">
        <v>2942</v>
      </c>
    </row>
    <row r="653" spans="1:7" ht="15.5" x14ac:dyDescent="0.35">
      <c r="A653" s="224" t="s">
        <v>54</v>
      </c>
      <c r="B653" s="224" t="s">
        <v>29</v>
      </c>
      <c r="C653" s="224" t="s">
        <v>107</v>
      </c>
      <c r="D653" s="224" t="s">
        <v>257</v>
      </c>
      <c r="E653" s="224" t="str">
        <f>VLOOKUP($B653,'FRS geographical categories'!$A$2:$C$45,2,FALSE)</f>
        <v>Predominantly Urban</v>
      </c>
      <c r="F653" s="224" t="str">
        <f>VLOOKUP($B653,'FRS geographical categories'!$A$2:$C$45,3,FALSE)</f>
        <v>Non-metropolitan</v>
      </c>
      <c r="G653" s="98">
        <v>0</v>
      </c>
    </row>
    <row r="654" spans="1:7" ht="15.5" x14ac:dyDescent="0.35">
      <c r="A654" s="224" t="s">
        <v>54</v>
      </c>
      <c r="B654" s="224" t="s">
        <v>29</v>
      </c>
      <c r="C654" s="224" t="s">
        <v>108</v>
      </c>
      <c r="D654" s="224" t="s">
        <v>257</v>
      </c>
      <c r="E654" s="224" t="str">
        <f>VLOOKUP($B654,'FRS geographical categories'!$A$2:$C$45,2,FALSE)</f>
        <v>Predominantly Urban</v>
      </c>
      <c r="F654" s="224" t="str">
        <f>VLOOKUP($B654,'FRS geographical categories'!$A$2:$C$45,3,FALSE)</f>
        <v>Non-metropolitan</v>
      </c>
      <c r="G654" s="98">
        <v>2483</v>
      </c>
    </row>
    <row r="655" spans="1:7" ht="15.5" x14ac:dyDescent="0.35">
      <c r="A655" s="224" t="s">
        <v>54</v>
      </c>
      <c r="B655" s="224" t="s">
        <v>29</v>
      </c>
      <c r="C655" s="224" t="s">
        <v>109</v>
      </c>
      <c r="D655" s="224" t="s">
        <v>257</v>
      </c>
      <c r="E655" s="224" t="str">
        <f>VLOOKUP($B655,'FRS geographical categories'!$A$2:$C$45,2,FALSE)</f>
        <v>Predominantly Urban</v>
      </c>
      <c r="F655" s="224" t="str">
        <f>VLOOKUP($B655,'FRS geographical categories'!$A$2:$C$45,3,FALSE)</f>
        <v>Non-metropolitan</v>
      </c>
      <c r="G655" s="98">
        <v>0</v>
      </c>
    </row>
    <row r="656" spans="1:7" ht="15.5" x14ac:dyDescent="0.35">
      <c r="A656" s="224" t="s">
        <v>54</v>
      </c>
      <c r="B656" s="224" t="s">
        <v>30</v>
      </c>
      <c r="C656" s="224" t="s">
        <v>102</v>
      </c>
      <c r="D656" s="224" t="s">
        <v>257</v>
      </c>
      <c r="E656" s="224" t="str">
        <f>VLOOKUP($B656,'FRS geographical categories'!$A$2:$C$45,2,FALSE)</f>
        <v>Significantly Rural</v>
      </c>
      <c r="F656" s="224" t="str">
        <f>VLOOKUP($B656,'FRS geographical categories'!$A$2:$C$45,3,FALSE)</f>
        <v>Non-metropolitan</v>
      </c>
      <c r="G656" s="98">
        <v>2135</v>
      </c>
    </row>
    <row r="657" spans="1:7" ht="15.5" x14ac:dyDescent="0.35">
      <c r="A657" s="224" t="s">
        <v>54</v>
      </c>
      <c r="B657" s="224" t="s">
        <v>30</v>
      </c>
      <c r="C657" s="224" t="s">
        <v>105</v>
      </c>
      <c r="D657" s="224" t="s">
        <v>257</v>
      </c>
      <c r="E657" s="224" t="str">
        <f>VLOOKUP($B657,'FRS geographical categories'!$A$2:$C$45,2,FALSE)</f>
        <v>Significantly Rural</v>
      </c>
      <c r="F657" s="224" t="str">
        <f>VLOOKUP($B657,'FRS geographical categories'!$A$2:$C$45,3,FALSE)</f>
        <v>Non-metropolitan</v>
      </c>
      <c r="G657" s="98">
        <v>0</v>
      </c>
    </row>
    <row r="658" spans="1:7" ht="15.5" x14ac:dyDescent="0.35">
      <c r="A658" s="224" t="s">
        <v>54</v>
      </c>
      <c r="B658" s="224" t="s">
        <v>30</v>
      </c>
      <c r="C658" s="224" t="s">
        <v>106</v>
      </c>
      <c r="D658" s="224" t="s">
        <v>257</v>
      </c>
      <c r="E658" s="224" t="str">
        <f>VLOOKUP($B658,'FRS geographical categories'!$A$2:$C$45,2,FALSE)</f>
        <v>Significantly Rural</v>
      </c>
      <c r="F658" s="224" t="str">
        <f>VLOOKUP($B658,'FRS geographical categories'!$A$2:$C$45,3,FALSE)</f>
        <v>Non-metropolitan</v>
      </c>
      <c r="G658" s="98">
        <v>8215</v>
      </c>
    </row>
    <row r="659" spans="1:7" ht="15.5" x14ac:dyDescent="0.35">
      <c r="A659" s="224" t="s">
        <v>54</v>
      </c>
      <c r="B659" s="224" t="s">
        <v>30</v>
      </c>
      <c r="C659" s="224" t="s">
        <v>107</v>
      </c>
      <c r="D659" s="224" t="s">
        <v>257</v>
      </c>
      <c r="E659" s="224" t="str">
        <f>VLOOKUP($B659,'FRS geographical categories'!$A$2:$C$45,2,FALSE)</f>
        <v>Significantly Rural</v>
      </c>
      <c r="F659" s="224" t="str">
        <f>VLOOKUP($B659,'FRS geographical categories'!$A$2:$C$45,3,FALSE)</f>
        <v>Non-metropolitan</v>
      </c>
      <c r="G659" s="98">
        <v>0</v>
      </c>
    </row>
    <row r="660" spans="1:7" ht="15.5" x14ac:dyDescent="0.35">
      <c r="A660" s="224" t="s">
        <v>54</v>
      </c>
      <c r="B660" s="224" t="s">
        <v>30</v>
      </c>
      <c r="C660" s="224" t="s">
        <v>108</v>
      </c>
      <c r="D660" s="224" t="s">
        <v>257</v>
      </c>
      <c r="E660" s="224" t="str">
        <f>VLOOKUP($B660,'FRS geographical categories'!$A$2:$C$45,2,FALSE)</f>
        <v>Significantly Rural</v>
      </c>
      <c r="F660" s="224" t="str">
        <f>VLOOKUP($B660,'FRS geographical categories'!$A$2:$C$45,3,FALSE)</f>
        <v>Non-metropolitan</v>
      </c>
      <c r="G660" s="98">
        <v>0</v>
      </c>
    </row>
    <row r="661" spans="1:7" ht="15.5" x14ac:dyDescent="0.35">
      <c r="A661" s="224" t="s">
        <v>54</v>
      </c>
      <c r="B661" s="224" t="s">
        <v>30</v>
      </c>
      <c r="C661" s="224" t="s">
        <v>109</v>
      </c>
      <c r="D661" s="224" t="s">
        <v>257</v>
      </c>
      <c r="E661" s="224" t="str">
        <f>VLOOKUP($B661,'FRS geographical categories'!$A$2:$C$45,2,FALSE)</f>
        <v>Significantly Rural</v>
      </c>
      <c r="F661" s="224" t="str">
        <f>VLOOKUP($B661,'FRS geographical categories'!$A$2:$C$45,3,FALSE)</f>
        <v>Non-metropolitan</v>
      </c>
      <c r="G661" s="98">
        <v>0</v>
      </c>
    </row>
    <row r="662" spans="1:7" ht="15.5" x14ac:dyDescent="0.35">
      <c r="A662" s="224" t="s">
        <v>54</v>
      </c>
      <c r="B662" s="224" t="s">
        <v>31</v>
      </c>
      <c r="C662" s="224" t="s">
        <v>102</v>
      </c>
      <c r="D662" s="224" t="s">
        <v>257</v>
      </c>
      <c r="E662" s="224" t="str">
        <f>VLOOKUP($B662,'FRS geographical categories'!$A$2:$C$45,2,FALSE)</f>
        <v>Predominantly Rural</v>
      </c>
      <c r="F662" s="224" t="str">
        <f>VLOOKUP($B662,'FRS geographical categories'!$A$2:$C$45,3,FALSE)</f>
        <v>Non-metropolitan</v>
      </c>
      <c r="G662" s="98">
        <v>0</v>
      </c>
    </row>
    <row r="663" spans="1:7" ht="15.5" x14ac:dyDescent="0.35">
      <c r="A663" s="224" t="s">
        <v>54</v>
      </c>
      <c r="B663" s="224" t="s">
        <v>31</v>
      </c>
      <c r="C663" s="224" t="s">
        <v>105</v>
      </c>
      <c r="D663" s="224" t="s">
        <v>257</v>
      </c>
      <c r="E663" s="224" t="str">
        <f>VLOOKUP($B663,'FRS geographical categories'!$A$2:$C$45,2,FALSE)</f>
        <v>Predominantly Rural</v>
      </c>
      <c r="F663" s="224" t="str">
        <f>VLOOKUP($B663,'FRS geographical categories'!$A$2:$C$45,3,FALSE)</f>
        <v>Non-metropolitan</v>
      </c>
      <c r="G663" s="98">
        <v>0</v>
      </c>
    </row>
    <row r="664" spans="1:7" ht="15.5" x14ac:dyDescent="0.35">
      <c r="A664" s="224" t="s">
        <v>54</v>
      </c>
      <c r="B664" s="224" t="s">
        <v>31</v>
      </c>
      <c r="C664" s="224" t="s">
        <v>106</v>
      </c>
      <c r="D664" s="224" t="s">
        <v>257</v>
      </c>
      <c r="E664" s="224" t="str">
        <f>VLOOKUP($B664,'FRS geographical categories'!$A$2:$C$45,2,FALSE)</f>
        <v>Predominantly Rural</v>
      </c>
      <c r="F664" s="224" t="str">
        <f>VLOOKUP($B664,'FRS geographical categories'!$A$2:$C$45,3,FALSE)</f>
        <v>Non-metropolitan</v>
      </c>
      <c r="G664" s="98">
        <v>30</v>
      </c>
    </row>
    <row r="665" spans="1:7" ht="15.5" x14ac:dyDescent="0.35">
      <c r="A665" s="224" t="s">
        <v>54</v>
      </c>
      <c r="B665" s="224" t="s">
        <v>31</v>
      </c>
      <c r="C665" s="224" t="s">
        <v>107</v>
      </c>
      <c r="D665" s="224" t="s">
        <v>257</v>
      </c>
      <c r="E665" s="224" t="str">
        <f>VLOOKUP($B665,'FRS geographical categories'!$A$2:$C$45,2,FALSE)</f>
        <v>Predominantly Rural</v>
      </c>
      <c r="F665" s="224" t="str">
        <f>VLOOKUP($B665,'FRS geographical categories'!$A$2:$C$45,3,FALSE)</f>
        <v>Non-metropolitan</v>
      </c>
      <c r="G665" s="98">
        <v>0</v>
      </c>
    </row>
    <row r="666" spans="1:7" ht="15.5" x14ac:dyDescent="0.35">
      <c r="A666" s="224" t="s">
        <v>54</v>
      </c>
      <c r="B666" s="224" t="s">
        <v>31</v>
      </c>
      <c r="C666" s="224" t="s">
        <v>108</v>
      </c>
      <c r="D666" s="224" t="s">
        <v>257</v>
      </c>
      <c r="E666" s="224" t="str">
        <f>VLOOKUP($B666,'FRS geographical categories'!$A$2:$C$45,2,FALSE)</f>
        <v>Predominantly Rural</v>
      </c>
      <c r="F666" s="224" t="str">
        <f>VLOOKUP($B666,'FRS geographical categories'!$A$2:$C$45,3,FALSE)</f>
        <v>Non-metropolitan</v>
      </c>
      <c r="G666" s="98">
        <v>0</v>
      </c>
    </row>
    <row r="667" spans="1:7" ht="15.5" x14ac:dyDescent="0.35">
      <c r="A667" s="224" t="s">
        <v>54</v>
      </c>
      <c r="B667" s="224" t="s">
        <v>31</v>
      </c>
      <c r="C667" s="224" t="s">
        <v>109</v>
      </c>
      <c r="D667" s="224" t="s">
        <v>257</v>
      </c>
      <c r="E667" s="224" t="str">
        <f>VLOOKUP($B667,'FRS geographical categories'!$A$2:$C$45,2,FALSE)</f>
        <v>Predominantly Rural</v>
      </c>
      <c r="F667" s="224" t="str">
        <f>VLOOKUP($B667,'FRS geographical categories'!$A$2:$C$45,3,FALSE)</f>
        <v>Non-metropolitan</v>
      </c>
      <c r="G667" s="98">
        <v>0</v>
      </c>
    </row>
    <row r="668" spans="1:7" ht="15.5" x14ac:dyDescent="0.35">
      <c r="A668" s="224" t="s">
        <v>54</v>
      </c>
      <c r="B668" s="224" t="s">
        <v>32</v>
      </c>
      <c r="C668" s="224" t="s">
        <v>102</v>
      </c>
      <c r="D668" s="224" t="s">
        <v>257</v>
      </c>
      <c r="E668" s="224" t="str">
        <f>VLOOKUP($B668,'FRS geographical categories'!$A$2:$C$45,2,FALSE)</f>
        <v>Significantly Rural</v>
      </c>
      <c r="F668" s="224" t="str">
        <f>VLOOKUP($B668,'FRS geographical categories'!$A$2:$C$45,3,FALSE)</f>
        <v>Non-metropolitan</v>
      </c>
      <c r="G668" s="98">
        <v>10099</v>
      </c>
    </row>
    <row r="669" spans="1:7" ht="15.5" x14ac:dyDescent="0.35">
      <c r="A669" s="224" t="s">
        <v>54</v>
      </c>
      <c r="B669" s="224" t="s">
        <v>32</v>
      </c>
      <c r="C669" s="224" t="s">
        <v>105</v>
      </c>
      <c r="D669" s="224" t="s">
        <v>257</v>
      </c>
      <c r="E669" s="224" t="str">
        <f>VLOOKUP($B669,'FRS geographical categories'!$A$2:$C$45,2,FALSE)</f>
        <v>Significantly Rural</v>
      </c>
      <c r="F669" s="224" t="str">
        <f>VLOOKUP($B669,'FRS geographical categories'!$A$2:$C$45,3,FALSE)</f>
        <v>Non-metropolitan</v>
      </c>
      <c r="G669" s="98">
        <v>0</v>
      </c>
    </row>
    <row r="670" spans="1:7" ht="15.5" x14ac:dyDescent="0.35">
      <c r="A670" s="224" t="s">
        <v>54</v>
      </c>
      <c r="B670" s="224" t="s">
        <v>32</v>
      </c>
      <c r="C670" s="224" t="s">
        <v>106</v>
      </c>
      <c r="D670" s="224" t="s">
        <v>257</v>
      </c>
      <c r="E670" s="224" t="str">
        <f>VLOOKUP($B670,'FRS geographical categories'!$A$2:$C$45,2,FALSE)</f>
        <v>Significantly Rural</v>
      </c>
      <c r="F670" s="224" t="str">
        <f>VLOOKUP($B670,'FRS geographical categories'!$A$2:$C$45,3,FALSE)</f>
        <v>Non-metropolitan</v>
      </c>
      <c r="G670" s="98">
        <v>630</v>
      </c>
    </row>
    <row r="671" spans="1:7" ht="15.5" x14ac:dyDescent="0.35">
      <c r="A671" s="224" t="s">
        <v>54</v>
      </c>
      <c r="B671" s="224" t="s">
        <v>32</v>
      </c>
      <c r="C671" s="224" t="s">
        <v>107</v>
      </c>
      <c r="D671" s="224" t="s">
        <v>257</v>
      </c>
      <c r="E671" s="224" t="str">
        <f>VLOOKUP($B671,'FRS geographical categories'!$A$2:$C$45,2,FALSE)</f>
        <v>Significantly Rural</v>
      </c>
      <c r="F671" s="224" t="str">
        <f>VLOOKUP($B671,'FRS geographical categories'!$A$2:$C$45,3,FALSE)</f>
        <v>Non-metropolitan</v>
      </c>
      <c r="G671" s="98">
        <v>0</v>
      </c>
    </row>
    <row r="672" spans="1:7" ht="15.5" x14ac:dyDescent="0.35">
      <c r="A672" s="224" t="s">
        <v>54</v>
      </c>
      <c r="B672" s="224" t="s">
        <v>32</v>
      </c>
      <c r="C672" s="224" t="s">
        <v>108</v>
      </c>
      <c r="D672" s="224" t="s">
        <v>257</v>
      </c>
      <c r="E672" s="224" t="str">
        <f>VLOOKUP($B672,'FRS geographical categories'!$A$2:$C$45,2,FALSE)</f>
        <v>Significantly Rural</v>
      </c>
      <c r="F672" s="224" t="str">
        <f>VLOOKUP($B672,'FRS geographical categories'!$A$2:$C$45,3,FALSE)</f>
        <v>Non-metropolitan</v>
      </c>
      <c r="G672" s="98">
        <v>0</v>
      </c>
    </row>
    <row r="673" spans="1:7" ht="15.5" x14ac:dyDescent="0.35">
      <c r="A673" s="224" t="s">
        <v>54</v>
      </c>
      <c r="B673" s="224" t="s">
        <v>32</v>
      </c>
      <c r="C673" s="224" t="s">
        <v>109</v>
      </c>
      <c r="D673" s="224" t="s">
        <v>257</v>
      </c>
      <c r="E673" s="224" t="str">
        <f>VLOOKUP($B673,'FRS geographical categories'!$A$2:$C$45,2,FALSE)</f>
        <v>Significantly Rural</v>
      </c>
      <c r="F673" s="224" t="str">
        <f>VLOOKUP($B673,'FRS geographical categories'!$A$2:$C$45,3,FALSE)</f>
        <v>Non-metropolitan</v>
      </c>
      <c r="G673" s="98">
        <v>0</v>
      </c>
    </row>
    <row r="674" spans="1:7" ht="15.5" x14ac:dyDescent="0.35">
      <c r="A674" s="224" t="s">
        <v>54</v>
      </c>
      <c r="B674" s="224" t="s">
        <v>33</v>
      </c>
      <c r="C674" s="224" t="s">
        <v>102</v>
      </c>
      <c r="D674" s="224" t="s">
        <v>257</v>
      </c>
      <c r="E674" s="224" t="str">
        <f>VLOOKUP($B674,'FRS geographical categories'!$A$2:$C$45,2,FALSE)</f>
        <v>Predominantly Urban</v>
      </c>
      <c r="F674" s="224" t="str">
        <f>VLOOKUP($B674,'FRS geographical categories'!$A$2:$C$45,3,FALSE)</f>
        <v>Non-metropolitan</v>
      </c>
      <c r="G674" s="98">
        <v>10545</v>
      </c>
    </row>
    <row r="675" spans="1:7" ht="15.5" x14ac:dyDescent="0.35">
      <c r="A675" s="224" t="s">
        <v>54</v>
      </c>
      <c r="B675" s="224" t="s">
        <v>33</v>
      </c>
      <c r="C675" s="224" t="s">
        <v>105</v>
      </c>
      <c r="D675" s="224" t="s">
        <v>257</v>
      </c>
      <c r="E675" s="224" t="str">
        <f>VLOOKUP($B675,'FRS geographical categories'!$A$2:$C$45,2,FALSE)</f>
        <v>Predominantly Urban</v>
      </c>
      <c r="F675" s="224" t="str">
        <f>VLOOKUP($B675,'FRS geographical categories'!$A$2:$C$45,3,FALSE)</f>
        <v>Non-metropolitan</v>
      </c>
      <c r="G675" s="98">
        <v>0</v>
      </c>
    </row>
    <row r="676" spans="1:7" ht="15.5" x14ac:dyDescent="0.35">
      <c r="A676" s="224" t="s">
        <v>54</v>
      </c>
      <c r="B676" s="224" t="s">
        <v>33</v>
      </c>
      <c r="C676" s="224" t="s">
        <v>106</v>
      </c>
      <c r="D676" s="224" t="s">
        <v>257</v>
      </c>
      <c r="E676" s="224" t="str">
        <f>VLOOKUP($B676,'FRS geographical categories'!$A$2:$C$45,2,FALSE)</f>
        <v>Predominantly Urban</v>
      </c>
      <c r="F676" s="224" t="str">
        <f>VLOOKUP($B676,'FRS geographical categories'!$A$2:$C$45,3,FALSE)</f>
        <v>Non-metropolitan</v>
      </c>
      <c r="G676" s="98">
        <v>898</v>
      </c>
    </row>
    <row r="677" spans="1:7" ht="15.5" x14ac:dyDescent="0.35">
      <c r="A677" s="224" t="s">
        <v>54</v>
      </c>
      <c r="B677" s="224" t="s">
        <v>33</v>
      </c>
      <c r="C677" s="224" t="s">
        <v>107</v>
      </c>
      <c r="D677" s="224" t="s">
        <v>257</v>
      </c>
      <c r="E677" s="224" t="str">
        <f>VLOOKUP($B677,'FRS geographical categories'!$A$2:$C$45,2,FALSE)</f>
        <v>Predominantly Urban</v>
      </c>
      <c r="F677" s="224" t="str">
        <f>VLOOKUP($B677,'FRS geographical categories'!$A$2:$C$45,3,FALSE)</f>
        <v>Non-metropolitan</v>
      </c>
      <c r="G677" s="98">
        <v>0</v>
      </c>
    </row>
    <row r="678" spans="1:7" ht="15.5" x14ac:dyDescent="0.35">
      <c r="A678" s="224" t="s">
        <v>54</v>
      </c>
      <c r="B678" s="224" t="s">
        <v>33</v>
      </c>
      <c r="C678" s="224" t="s">
        <v>108</v>
      </c>
      <c r="D678" s="224" t="s">
        <v>257</v>
      </c>
      <c r="E678" s="224" t="str">
        <f>VLOOKUP($B678,'FRS geographical categories'!$A$2:$C$45,2,FALSE)</f>
        <v>Predominantly Urban</v>
      </c>
      <c r="F678" s="224" t="str">
        <f>VLOOKUP($B678,'FRS geographical categories'!$A$2:$C$45,3,FALSE)</f>
        <v>Non-metropolitan</v>
      </c>
      <c r="G678" s="98">
        <v>0</v>
      </c>
    </row>
    <row r="679" spans="1:7" ht="15.5" x14ac:dyDescent="0.35">
      <c r="A679" s="224" t="s">
        <v>54</v>
      </c>
      <c r="B679" s="224" t="s">
        <v>33</v>
      </c>
      <c r="C679" s="224" t="s">
        <v>109</v>
      </c>
      <c r="D679" s="224" t="s">
        <v>257</v>
      </c>
      <c r="E679" s="224" t="str">
        <f>VLOOKUP($B679,'FRS geographical categories'!$A$2:$C$45,2,FALSE)</f>
        <v>Predominantly Urban</v>
      </c>
      <c r="F679" s="224" t="str">
        <f>VLOOKUP($B679,'FRS geographical categories'!$A$2:$C$45,3,FALSE)</f>
        <v>Non-metropolitan</v>
      </c>
      <c r="G679" s="98">
        <v>0</v>
      </c>
    </row>
    <row r="680" spans="1:7" ht="15.5" x14ac:dyDescent="0.35">
      <c r="A680" s="224" t="s">
        <v>54</v>
      </c>
      <c r="B680" s="224" t="s">
        <v>34</v>
      </c>
      <c r="C680" s="224" t="s">
        <v>102</v>
      </c>
      <c r="D680" s="224" t="s">
        <v>257</v>
      </c>
      <c r="E680" s="224" t="str">
        <f>VLOOKUP($B680,'FRS geographical categories'!$A$2:$C$45,2,FALSE)</f>
        <v>Significantly Rural</v>
      </c>
      <c r="F680" s="224" t="str">
        <f>VLOOKUP($B680,'FRS geographical categories'!$A$2:$C$45,3,FALSE)</f>
        <v>Non-metropolitan</v>
      </c>
      <c r="G680" s="98">
        <v>0</v>
      </c>
    </row>
    <row r="681" spans="1:7" ht="15.5" x14ac:dyDescent="0.35">
      <c r="A681" s="224" t="s">
        <v>54</v>
      </c>
      <c r="B681" s="224" t="s">
        <v>34</v>
      </c>
      <c r="C681" s="224" t="s">
        <v>105</v>
      </c>
      <c r="D681" s="224" t="s">
        <v>257</v>
      </c>
      <c r="E681" s="224" t="str">
        <f>VLOOKUP($B681,'FRS geographical categories'!$A$2:$C$45,2,FALSE)</f>
        <v>Significantly Rural</v>
      </c>
      <c r="F681" s="224" t="str">
        <f>VLOOKUP($B681,'FRS geographical categories'!$A$2:$C$45,3,FALSE)</f>
        <v>Non-metropolitan</v>
      </c>
      <c r="G681" s="98">
        <v>17</v>
      </c>
    </row>
    <row r="682" spans="1:7" ht="15.5" x14ac:dyDescent="0.35">
      <c r="A682" s="224" t="s">
        <v>54</v>
      </c>
      <c r="B682" s="224" t="s">
        <v>34</v>
      </c>
      <c r="C682" s="224" t="s">
        <v>106</v>
      </c>
      <c r="D682" s="224" t="s">
        <v>257</v>
      </c>
      <c r="E682" s="224" t="str">
        <f>VLOOKUP($B682,'FRS geographical categories'!$A$2:$C$45,2,FALSE)</f>
        <v>Significantly Rural</v>
      </c>
      <c r="F682" s="224" t="str">
        <f>VLOOKUP($B682,'FRS geographical categories'!$A$2:$C$45,3,FALSE)</f>
        <v>Non-metropolitan</v>
      </c>
      <c r="G682" s="98">
        <v>5369</v>
      </c>
    </row>
    <row r="683" spans="1:7" ht="15.5" x14ac:dyDescent="0.35">
      <c r="A683" s="224" t="s">
        <v>54</v>
      </c>
      <c r="B683" s="224" t="s">
        <v>34</v>
      </c>
      <c r="C683" s="224" t="s">
        <v>107</v>
      </c>
      <c r="D683" s="224" t="s">
        <v>257</v>
      </c>
      <c r="E683" s="224" t="str">
        <f>VLOOKUP($B683,'FRS geographical categories'!$A$2:$C$45,2,FALSE)</f>
        <v>Significantly Rural</v>
      </c>
      <c r="F683" s="224" t="str">
        <f>VLOOKUP($B683,'FRS geographical categories'!$A$2:$C$45,3,FALSE)</f>
        <v>Non-metropolitan</v>
      </c>
      <c r="G683" s="98">
        <v>0</v>
      </c>
    </row>
    <row r="684" spans="1:7" ht="15.5" x14ac:dyDescent="0.35">
      <c r="A684" s="224" t="s">
        <v>54</v>
      </c>
      <c r="B684" s="224" t="s">
        <v>34</v>
      </c>
      <c r="C684" s="224" t="s">
        <v>108</v>
      </c>
      <c r="D684" s="224" t="s">
        <v>257</v>
      </c>
      <c r="E684" s="224" t="str">
        <f>VLOOKUP($B684,'FRS geographical categories'!$A$2:$C$45,2,FALSE)</f>
        <v>Significantly Rural</v>
      </c>
      <c r="F684" s="224" t="str">
        <f>VLOOKUP($B684,'FRS geographical categories'!$A$2:$C$45,3,FALSE)</f>
        <v>Non-metropolitan</v>
      </c>
      <c r="G684" s="98">
        <v>4214</v>
      </c>
    </row>
    <row r="685" spans="1:7" ht="15.5" x14ac:dyDescent="0.35">
      <c r="A685" s="224" t="s">
        <v>54</v>
      </c>
      <c r="B685" s="224" t="s">
        <v>34</v>
      </c>
      <c r="C685" s="224" t="s">
        <v>109</v>
      </c>
      <c r="D685" s="224" t="s">
        <v>257</v>
      </c>
      <c r="E685" s="224" t="str">
        <f>VLOOKUP($B685,'FRS geographical categories'!$A$2:$C$45,2,FALSE)</f>
        <v>Significantly Rural</v>
      </c>
      <c r="F685" s="224" t="str">
        <f>VLOOKUP($B685,'FRS geographical categories'!$A$2:$C$45,3,FALSE)</f>
        <v>Non-metropolitan</v>
      </c>
      <c r="G685" s="98">
        <v>135</v>
      </c>
    </row>
    <row r="686" spans="1:7" ht="15.5" x14ac:dyDescent="0.35">
      <c r="A686" s="224" t="s">
        <v>54</v>
      </c>
      <c r="B686" s="224" t="s">
        <v>35</v>
      </c>
      <c r="C686" s="224" t="s">
        <v>102</v>
      </c>
      <c r="D686" s="224" t="s">
        <v>257</v>
      </c>
      <c r="E686" s="224" t="str">
        <f>VLOOKUP($B686,'FRS geographical categories'!$A$2:$C$45,2,FALSE)</f>
        <v>Predominantly Rural</v>
      </c>
      <c r="F686" s="224" t="str">
        <f>VLOOKUP($B686,'FRS geographical categories'!$A$2:$C$45,3,FALSE)</f>
        <v>Non-metropolitan</v>
      </c>
      <c r="G686" s="98">
        <v>1314</v>
      </c>
    </row>
    <row r="687" spans="1:7" ht="15.5" x14ac:dyDescent="0.35">
      <c r="A687" s="224" t="s">
        <v>54</v>
      </c>
      <c r="B687" s="224" t="s">
        <v>35</v>
      </c>
      <c r="C687" s="224" t="s">
        <v>105</v>
      </c>
      <c r="D687" s="224" t="s">
        <v>257</v>
      </c>
      <c r="E687" s="224" t="str">
        <f>VLOOKUP($B687,'FRS geographical categories'!$A$2:$C$45,2,FALSE)</f>
        <v>Predominantly Rural</v>
      </c>
      <c r="F687" s="224" t="str">
        <f>VLOOKUP($B687,'FRS geographical categories'!$A$2:$C$45,3,FALSE)</f>
        <v>Non-metropolitan</v>
      </c>
      <c r="G687" s="98">
        <v>0</v>
      </c>
    </row>
    <row r="688" spans="1:7" ht="15.5" x14ac:dyDescent="0.35">
      <c r="A688" s="224" t="s">
        <v>54</v>
      </c>
      <c r="B688" s="224" t="s">
        <v>35</v>
      </c>
      <c r="C688" s="224" t="s">
        <v>106</v>
      </c>
      <c r="D688" s="224" t="s">
        <v>257</v>
      </c>
      <c r="E688" s="224" t="str">
        <f>VLOOKUP($B688,'FRS geographical categories'!$A$2:$C$45,2,FALSE)</f>
        <v>Predominantly Rural</v>
      </c>
      <c r="F688" s="224" t="str">
        <f>VLOOKUP($B688,'FRS geographical categories'!$A$2:$C$45,3,FALSE)</f>
        <v>Non-metropolitan</v>
      </c>
      <c r="G688" s="98">
        <v>1316</v>
      </c>
    </row>
    <row r="689" spans="1:7" ht="15.5" x14ac:dyDescent="0.35">
      <c r="A689" s="224" t="s">
        <v>54</v>
      </c>
      <c r="B689" s="224" t="s">
        <v>35</v>
      </c>
      <c r="C689" s="224" t="s">
        <v>107</v>
      </c>
      <c r="D689" s="224" t="s">
        <v>257</v>
      </c>
      <c r="E689" s="224" t="str">
        <f>VLOOKUP($B689,'FRS geographical categories'!$A$2:$C$45,2,FALSE)</f>
        <v>Predominantly Rural</v>
      </c>
      <c r="F689" s="224" t="str">
        <f>VLOOKUP($B689,'FRS geographical categories'!$A$2:$C$45,3,FALSE)</f>
        <v>Non-metropolitan</v>
      </c>
      <c r="G689" s="98">
        <v>0</v>
      </c>
    </row>
    <row r="690" spans="1:7" ht="15.5" x14ac:dyDescent="0.35">
      <c r="A690" s="224" t="s">
        <v>54</v>
      </c>
      <c r="B690" s="224" t="s">
        <v>35</v>
      </c>
      <c r="C690" s="224" t="s">
        <v>108</v>
      </c>
      <c r="D690" s="224" t="s">
        <v>257</v>
      </c>
      <c r="E690" s="224" t="str">
        <f>VLOOKUP($B690,'FRS geographical categories'!$A$2:$C$45,2,FALSE)</f>
        <v>Predominantly Rural</v>
      </c>
      <c r="F690" s="224" t="str">
        <f>VLOOKUP($B690,'FRS geographical categories'!$A$2:$C$45,3,FALSE)</f>
        <v>Non-metropolitan</v>
      </c>
      <c r="G690" s="98">
        <v>0</v>
      </c>
    </row>
    <row r="691" spans="1:7" ht="15.5" x14ac:dyDescent="0.35">
      <c r="A691" s="224" t="s">
        <v>54</v>
      </c>
      <c r="B691" s="224" t="s">
        <v>35</v>
      </c>
      <c r="C691" s="224" t="s">
        <v>109</v>
      </c>
      <c r="D691" s="224" t="s">
        <v>257</v>
      </c>
      <c r="E691" s="224" t="str">
        <f>VLOOKUP($B691,'FRS geographical categories'!$A$2:$C$45,2,FALSE)</f>
        <v>Predominantly Rural</v>
      </c>
      <c r="F691" s="224" t="str">
        <f>VLOOKUP($B691,'FRS geographical categories'!$A$2:$C$45,3,FALSE)</f>
        <v>Non-metropolitan</v>
      </c>
      <c r="G691" s="98">
        <v>0</v>
      </c>
    </row>
    <row r="692" spans="1:7" ht="15.5" x14ac:dyDescent="0.35">
      <c r="A692" s="224" t="s">
        <v>54</v>
      </c>
      <c r="B692" s="224" t="s">
        <v>36</v>
      </c>
      <c r="C692" s="224" t="s">
        <v>102</v>
      </c>
      <c r="D692" s="224" t="s">
        <v>257</v>
      </c>
      <c r="E692" s="224" t="str">
        <f>VLOOKUP($B692,'FRS geographical categories'!$A$2:$C$45,2,FALSE)</f>
        <v>Predominantly Urban</v>
      </c>
      <c r="F692" s="224" t="str">
        <f>VLOOKUP($B692,'FRS geographical categories'!$A$2:$C$45,3,FALSE)</f>
        <v>Metropolitan</v>
      </c>
      <c r="G692" s="98">
        <v>7873</v>
      </c>
    </row>
    <row r="693" spans="1:7" ht="15.5" x14ac:dyDescent="0.35">
      <c r="A693" s="224" t="s">
        <v>54</v>
      </c>
      <c r="B693" s="224" t="s">
        <v>36</v>
      </c>
      <c r="C693" s="224" t="s">
        <v>105</v>
      </c>
      <c r="D693" s="224" t="s">
        <v>257</v>
      </c>
      <c r="E693" s="224" t="str">
        <f>VLOOKUP($B693,'FRS geographical categories'!$A$2:$C$45,2,FALSE)</f>
        <v>Predominantly Urban</v>
      </c>
      <c r="F693" s="224" t="str">
        <f>VLOOKUP($B693,'FRS geographical categories'!$A$2:$C$45,3,FALSE)</f>
        <v>Metropolitan</v>
      </c>
      <c r="G693" s="98">
        <v>0</v>
      </c>
    </row>
    <row r="694" spans="1:7" ht="15.5" x14ac:dyDescent="0.35">
      <c r="A694" s="224" t="s">
        <v>54</v>
      </c>
      <c r="B694" s="224" t="s">
        <v>36</v>
      </c>
      <c r="C694" s="224" t="s">
        <v>106</v>
      </c>
      <c r="D694" s="224" t="s">
        <v>257</v>
      </c>
      <c r="E694" s="224" t="str">
        <f>VLOOKUP($B694,'FRS geographical categories'!$A$2:$C$45,2,FALSE)</f>
        <v>Predominantly Urban</v>
      </c>
      <c r="F694" s="224" t="str">
        <f>VLOOKUP($B694,'FRS geographical categories'!$A$2:$C$45,3,FALSE)</f>
        <v>Metropolitan</v>
      </c>
      <c r="G694" s="98">
        <v>7152</v>
      </c>
    </row>
    <row r="695" spans="1:7" ht="15.5" x14ac:dyDescent="0.35">
      <c r="A695" s="224" t="s">
        <v>54</v>
      </c>
      <c r="B695" s="224" t="s">
        <v>36</v>
      </c>
      <c r="C695" s="224" t="s">
        <v>107</v>
      </c>
      <c r="D695" s="224" t="s">
        <v>257</v>
      </c>
      <c r="E695" s="224" t="str">
        <f>VLOOKUP($B695,'FRS geographical categories'!$A$2:$C$45,2,FALSE)</f>
        <v>Predominantly Urban</v>
      </c>
      <c r="F695" s="224" t="str">
        <f>VLOOKUP($B695,'FRS geographical categories'!$A$2:$C$45,3,FALSE)</f>
        <v>Metropolitan</v>
      </c>
      <c r="G695" s="98">
        <v>0</v>
      </c>
    </row>
    <row r="696" spans="1:7" ht="15.5" x14ac:dyDescent="0.35">
      <c r="A696" s="224" t="s">
        <v>54</v>
      </c>
      <c r="B696" s="224" t="s">
        <v>36</v>
      </c>
      <c r="C696" s="224" t="s">
        <v>108</v>
      </c>
      <c r="D696" s="224" t="s">
        <v>257</v>
      </c>
      <c r="E696" s="224" t="str">
        <f>VLOOKUP($B696,'FRS geographical categories'!$A$2:$C$45,2,FALSE)</f>
        <v>Predominantly Urban</v>
      </c>
      <c r="F696" s="224" t="str">
        <f>VLOOKUP($B696,'FRS geographical categories'!$A$2:$C$45,3,FALSE)</f>
        <v>Metropolitan</v>
      </c>
      <c r="G696" s="98">
        <v>0</v>
      </c>
    </row>
    <row r="697" spans="1:7" ht="15.5" x14ac:dyDescent="0.35">
      <c r="A697" s="224" t="s">
        <v>54</v>
      </c>
      <c r="B697" s="224" t="s">
        <v>36</v>
      </c>
      <c r="C697" s="224" t="s">
        <v>109</v>
      </c>
      <c r="D697" s="224" t="s">
        <v>257</v>
      </c>
      <c r="E697" s="224" t="str">
        <f>VLOOKUP($B697,'FRS geographical categories'!$A$2:$C$45,2,FALSE)</f>
        <v>Predominantly Urban</v>
      </c>
      <c r="F697" s="224" t="str">
        <f>VLOOKUP($B697,'FRS geographical categories'!$A$2:$C$45,3,FALSE)</f>
        <v>Metropolitan</v>
      </c>
      <c r="G697" s="98">
        <v>0</v>
      </c>
    </row>
    <row r="698" spans="1:7" ht="15.5" x14ac:dyDescent="0.35">
      <c r="A698" s="224" t="s">
        <v>54</v>
      </c>
      <c r="B698" s="224" t="s">
        <v>37</v>
      </c>
      <c r="C698" s="224" t="s">
        <v>102</v>
      </c>
      <c r="D698" s="224" t="s">
        <v>257</v>
      </c>
      <c r="E698" s="224" t="str">
        <f>VLOOKUP($B698,'FRS geographical categories'!$A$2:$C$45,2,FALSE)</f>
        <v>Predominantly Rural</v>
      </c>
      <c r="F698" s="224" t="str">
        <f>VLOOKUP($B698,'FRS geographical categories'!$A$2:$C$45,3,FALSE)</f>
        <v>Non-metropolitan</v>
      </c>
      <c r="G698" s="98">
        <v>657</v>
      </c>
    </row>
    <row r="699" spans="1:7" ht="15.5" x14ac:dyDescent="0.35">
      <c r="A699" s="224" t="s">
        <v>54</v>
      </c>
      <c r="B699" s="224" t="s">
        <v>37</v>
      </c>
      <c r="C699" s="224" t="s">
        <v>105</v>
      </c>
      <c r="D699" s="224" t="s">
        <v>257</v>
      </c>
      <c r="E699" s="224" t="str">
        <f>VLOOKUP($B699,'FRS geographical categories'!$A$2:$C$45,2,FALSE)</f>
        <v>Predominantly Rural</v>
      </c>
      <c r="F699" s="224" t="str">
        <f>VLOOKUP($B699,'FRS geographical categories'!$A$2:$C$45,3,FALSE)</f>
        <v>Non-metropolitan</v>
      </c>
      <c r="G699" s="98">
        <v>0</v>
      </c>
    </row>
    <row r="700" spans="1:7" ht="15.5" x14ac:dyDescent="0.35">
      <c r="A700" s="224" t="s">
        <v>54</v>
      </c>
      <c r="B700" s="224" t="s">
        <v>37</v>
      </c>
      <c r="C700" s="224" t="s">
        <v>106</v>
      </c>
      <c r="D700" s="224" t="s">
        <v>257</v>
      </c>
      <c r="E700" s="224" t="str">
        <f>VLOOKUP($B700,'FRS geographical categories'!$A$2:$C$45,2,FALSE)</f>
        <v>Predominantly Rural</v>
      </c>
      <c r="F700" s="224" t="str">
        <f>VLOOKUP($B700,'FRS geographical categories'!$A$2:$C$45,3,FALSE)</f>
        <v>Non-metropolitan</v>
      </c>
      <c r="G700" s="98">
        <v>308</v>
      </c>
    </row>
    <row r="701" spans="1:7" ht="15.5" x14ac:dyDescent="0.35">
      <c r="A701" s="224" t="s">
        <v>54</v>
      </c>
      <c r="B701" s="224" t="s">
        <v>37</v>
      </c>
      <c r="C701" s="224" t="s">
        <v>107</v>
      </c>
      <c r="D701" s="224" t="s">
        <v>257</v>
      </c>
      <c r="E701" s="224" t="str">
        <f>VLOOKUP($B701,'FRS geographical categories'!$A$2:$C$45,2,FALSE)</f>
        <v>Predominantly Rural</v>
      </c>
      <c r="F701" s="224" t="str">
        <f>VLOOKUP($B701,'FRS geographical categories'!$A$2:$C$45,3,FALSE)</f>
        <v>Non-metropolitan</v>
      </c>
      <c r="G701" s="98">
        <v>0</v>
      </c>
    </row>
    <row r="702" spans="1:7" ht="15.5" x14ac:dyDescent="0.35">
      <c r="A702" s="224" t="s">
        <v>54</v>
      </c>
      <c r="B702" s="224" t="s">
        <v>37</v>
      </c>
      <c r="C702" s="224" t="s">
        <v>108</v>
      </c>
      <c r="D702" s="224" t="s">
        <v>257</v>
      </c>
      <c r="E702" s="224" t="str">
        <f>VLOOKUP($B702,'FRS geographical categories'!$A$2:$C$45,2,FALSE)</f>
        <v>Predominantly Rural</v>
      </c>
      <c r="F702" s="224" t="str">
        <f>VLOOKUP($B702,'FRS geographical categories'!$A$2:$C$45,3,FALSE)</f>
        <v>Non-metropolitan</v>
      </c>
      <c r="G702" s="98">
        <v>0</v>
      </c>
    </row>
    <row r="703" spans="1:7" ht="15.5" x14ac:dyDescent="0.35">
      <c r="A703" s="224" t="s">
        <v>54</v>
      </c>
      <c r="B703" s="224" t="s">
        <v>37</v>
      </c>
      <c r="C703" s="224" t="s">
        <v>109</v>
      </c>
      <c r="D703" s="224" t="s">
        <v>257</v>
      </c>
      <c r="E703" s="224" t="str">
        <f>VLOOKUP($B703,'FRS geographical categories'!$A$2:$C$45,2,FALSE)</f>
        <v>Predominantly Rural</v>
      </c>
      <c r="F703" s="224" t="str">
        <f>VLOOKUP($B703,'FRS geographical categories'!$A$2:$C$45,3,FALSE)</f>
        <v>Non-metropolitan</v>
      </c>
      <c r="G703" s="98">
        <v>0</v>
      </c>
    </row>
    <row r="704" spans="1:7" ht="15.5" x14ac:dyDescent="0.35">
      <c r="A704" s="224" t="s">
        <v>54</v>
      </c>
      <c r="B704" s="224" t="s">
        <v>38</v>
      </c>
      <c r="C704" s="224" t="s">
        <v>102</v>
      </c>
      <c r="D704" s="224" t="s">
        <v>257</v>
      </c>
      <c r="E704" s="224" t="str">
        <f>VLOOKUP($B704,'FRS geographical categories'!$A$2:$C$45,2,FALSE)</f>
        <v>Predominantly Rural</v>
      </c>
      <c r="F704" s="224" t="str">
        <f>VLOOKUP($B704,'FRS geographical categories'!$A$2:$C$45,3,FALSE)</f>
        <v>Non-metropolitan</v>
      </c>
      <c r="G704" s="98">
        <v>0</v>
      </c>
    </row>
    <row r="705" spans="1:7" ht="15.5" x14ac:dyDescent="0.35">
      <c r="A705" s="224" t="s">
        <v>54</v>
      </c>
      <c r="B705" s="224" t="s">
        <v>38</v>
      </c>
      <c r="C705" s="224" t="s">
        <v>105</v>
      </c>
      <c r="D705" s="224" t="s">
        <v>257</v>
      </c>
      <c r="E705" s="224" t="str">
        <f>VLOOKUP($B705,'FRS geographical categories'!$A$2:$C$45,2,FALSE)</f>
        <v>Predominantly Rural</v>
      </c>
      <c r="F705" s="224" t="str">
        <f>VLOOKUP($B705,'FRS geographical categories'!$A$2:$C$45,3,FALSE)</f>
        <v>Non-metropolitan</v>
      </c>
      <c r="G705" s="98">
        <v>0</v>
      </c>
    </row>
    <row r="706" spans="1:7" ht="15.5" x14ac:dyDescent="0.35">
      <c r="A706" s="224" t="s">
        <v>54</v>
      </c>
      <c r="B706" s="224" t="s">
        <v>38</v>
      </c>
      <c r="C706" s="224" t="s">
        <v>106</v>
      </c>
      <c r="D706" s="224" t="s">
        <v>257</v>
      </c>
      <c r="E706" s="224" t="str">
        <f>VLOOKUP($B706,'FRS geographical categories'!$A$2:$C$45,2,FALSE)</f>
        <v>Predominantly Rural</v>
      </c>
      <c r="F706" s="224" t="str">
        <f>VLOOKUP($B706,'FRS geographical categories'!$A$2:$C$45,3,FALSE)</f>
        <v>Non-metropolitan</v>
      </c>
      <c r="G706" s="98">
        <v>3524</v>
      </c>
    </row>
    <row r="707" spans="1:7" ht="15.5" x14ac:dyDescent="0.35">
      <c r="A707" s="224" t="s">
        <v>54</v>
      </c>
      <c r="B707" s="224" t="s">
        <v>38</v>
      </c>
      <c r="C707" s="224" t="s">
        <v>107</v>
      </c>
      <c r="D707" s="224" t="s">
        <v>257</v>
      </c>
      <c r="E707" s="224" t="str">
        <f>VLOOKUP($B707,'FRS geographical categories'!$A$2:$C$45,2,FALSE)</f>
        <v>Predominantly Rural</v>
      </c>
      <c r="F707" s="224" t="str">
        <f>VLOOKUP($B707,'FRS geographical categories'!$A$2:$C$45,3,FALSE)</f>
        <v>Non-metropolitan</v>
      </c>
      <c r="G707" s="98">
        <v>0</v>
      </c>
    </row>
    <row r="708" spans="1:7" ht="15.5" x14ac:dyDescent="0.35">
      <c r="A708" s="224" t="s">
        <v>54</v>
      </c>
      <c r="B708" s="224" t="s">
        <v>38</v>
      </c>
      <c r="C708" s="224" t="s">
        <v>108</v>
      </c>
      <c r="D708" s="224" t="s">
        <v>257</v>
      </c>
      <c r="E708" s="224" t="str">
        <f>VLOOKUP($B708,'FRS geographical categories'!$A$2:$C$45,2,FALSE)</f>
        <v>Predominantly Rural</v>
      </c>
      <c r="F708" s="224" t="str">
        <f>VLOOKUP($B708,'FRS geographical categories'!$A$2:$C$45,3,FALSE)</f>
        <v>Non-metropolitan</v>
      </c>
      <c r="G708" s="98">
        <v>11</v>
      </c>
    </row>
    <row r="709" spans="1:7" ht="15.5" x14ac:dyDescent="0.35">
      <c r="A709" s="224" t="s">
        <v>54</v>
      </c>
      <c r="B709" s="224" t="s">
        <v>38</v>
      </c>
      <c r="C709" s="224" t="s">
        <v>109</v>
      </c>
      <c r="D709" s="224" t="s">
        <v>257</v>
      </c>
      <c r="E709" s="224" t="str">
        <f>VLOOKUP($B709,'FRS geographical categories'!$A$2:$C$45,2,FALSE)</f>
        <v>Predominantly Rural</v>
      </c>
      <c r="F709" s="224" t="str">
        <f>VLOOKUP($B709,'FRS geographical categories'!$A$2:$C$45,3,FALSE)</f>
        <v>Non-metropolitan</v>
      </c>
      <c r="G709" s="98">
        <v>0</v>
      </c>
    </row>
    <row r="710" spans="1:7" ht="15.5" x14ac:dyDescent="0.35">
      <c r="A710" s="224" t="s">
        <v>54</v>
      </c>
      <c r="B710" s="224" t="s">
        <v>39</v>
      </c>
      <c r="C710" s="224" t="s">
        <v>102</v>
      </c>
      <c r="D710" s="224" t="s">
        <v>257</v>
      </c>
      <c r="E710" s="224" t="str">
        <f>VLOOKUP($B710,'FRS geographical categories'!$A$2:$C$45,2,FALSE)</f>
        <v>Significantly Rural</v>
      </c>
      <c r="F710" s="224" t="str">
        <f>VLOOKUP($B710,'FRS geographical categories'!$A$2:$C$45,3,FALSE)</f>
        <v>Non-metropolitan</v>
      </c>
      <c r="G710" s="98">
        <v>0</v>
      </c>
    </row>
    <row r="711" spans="1:7" ht="15.5" x14ac:dyDescent="0.35">
      <c r="A711" s="224" t="s">
        <v>54</v>
      </c>
      <c r="B711" s="224" t="s">
        <v>39</v>
      </c>
      <c r="C711" s="224" t="s">
        <v>105</v>
      </c>
      <c r="D711" s="224" t="s">
        <v>257</v>
      </c>
      <c r="E711" s="224" t="str">
        <f>VLOOKUP($B711,'FRS geographical categories'!$A$2:$C$45,2,FALSE)</f>
        <v>Significantly Rural</v>
      </c>
      <c r="F711" s="224" t="str">
        <f>VLOOKUP($B711,'FRS geographical categories'!$A$2:$C$45,3,FALSE)</f>
        <v>Non-metropolitan</v>
      </c>
      <c r="G711" s="98">
        <v>0</v>
      </c>
    </row>
    <row r="712" spans="1:7" ht="15.5" x14ac:dyDescent="0.35">
      <c r="A712" s="224" t="s">
        <v>54</v>
      </c>
      <c r="B712" s="224" t="s">
        <v>39</v>
      </c>
      <c r="C712" s="224" t="s">
        <v>106</v>
      </c>
      <c r="D712" s="224" t="s">
        <v>257</v>
      </c>
      <c r="E712" s="224" t="str">
        <f>VLOOKUP($B712,'FRS geographical categories'!$A$2:$C$45,2,FALSE)</f>
        <v>Significantly Rural</v>
      </c>
      <c r="F712" s="224" t="str">
        <f>VLOOKUP($B712,'FRS geographical categories'!$A$2:$C$45,3,FALSE)</f>
        <v>Non-metropolitan</v>
      </c>
      <c r="G712" s="98">
        <v>1373</v>
      </c>
    </row>
    <row r="713" spans="1:7" ht="15.5" x14ac:dyDescent="0.35">
      <c r="A713" s="224" t="s">
        <v>54</v>
      </c>
      <c r="B713" s="224" t="s">
        <v>39</v>
      </c>
      <c r="C713" s="224" t="s">
        <v>107</v>
      </c>
      <c r="D713" s="224" t="s">
        <v>257</v>
      </c>
      <c r="E713" s="224" t="str">
        <f>VLOOKUP($B713,'FRS geographical categories'!$A$2:$C$45,2,FALSE)</f>
        <v>Significantly Rural</v>
      </c>
      <c r="F713" s="224" t="str">
        <f>VLOOKUP($B713,'FRS geographical categories'!$A$2:$C$45,3,FALSE)</f>
        <v>Non-metropolitan</v>
      </c>
      <c r="G713" s="98">
        <v>0</v>
      </c>
    </row>
    <row r="714" spans="1:7" ht="15.5" x14ac:dyDescent="0.35">
      <c r="A714" s="224" t="s">
        <v>54</v>
      </c>
      <c r="B714" s="224" t="s">
        <v>39</v>
      </c>
      <c r="C714" s="224" t="s">
        <v>108</v>
      </c>
      <c r="D714" s="224" t="s">
        <v>257</v>
      </c>
      <c r="E714" s="224" t="str">
        <f>VLOOKUP($B714,'FRS geographical categories'!$A$2:$C$45,2,FALSE)</f>
        <v>Significantly Rural</v>
      </c>
      <c r="F714" s="224" t="str">
        <f>VLOOKUP($B714,'FRS geographical categories'!$A$2:$C$45,3,FALSE)</f>
        <v>Non-metropolitan</v>
      </c>
      <c r="G714" s="98">
        <v>1012</v>
      </c>
    </row>
    <row r="715" spans="1:7" ht="15.5" x14ac:dyDescent="0.35">
      <c r="A715" s="224" t="s">
        <v>54</v>
      </c>
      <c r="B715" s="224" t="s">
        <v>39</v>
      </c>
      <c r="C715" s="224" t="s">
        <v>109</v>
      </c>
      <c r="D715" s="224" t="s">
        <v>257</v>
      </c>
      <c r="E715" s="224" t="str">
        <f>VLOOKUP($B715,'FRS geographical categories'!$A$2:$C$45,2,FALSE)</f>
        <v>Significantly Rural</v>
      </c>
      <c r="F715" s="224" t="str">
        <f>VLOOKUP($B715,'FRS geographical categories'!$A$2:$C$45,3,FALSE)</f>
        <v>Non-metropolitan</v>
      </c>
      <c r="G715" s="98">
        <v>0</v>
      </c>
    </row>
    <row r="716" spans="1:7" ht="15.5" x14ac:dyDescent="0.35">
      <c r="A716" s="224" t="s">
        <v>54</v>
      </c>
      <c r="B716" s="224" t="s">
        <v>40</v>
      </c>
      <c r="C716" s="224" t="s">
        <v>102</v>
      </c>
      <c r="D716" s="224" t="s">
        <v>257</v>
      </c>
      <c r="E716" s="224" t="str">
        <f>VLOOKUP($B716,'FRS geographical categories'!$A$2:$C$45,2,FALSE)</f>
        <v>Predominantly Rural</v>
      </c>
      <c r="F716" s="224" t="str">
        <f>VLOOKUP($B716,'FRS geographical categories'!$A$2:$C$45,3,FALSE)</f>
        <v>Non-metropolitan</v>
      </c>
      <c r="G716" s="98">
        <v>0</v>
      </c>
    </row>
    <row r="717" spans="1:7" ht="15.5" x14ac:dyDescent="0.35">
      <c r="A717" s="224" t="s">
        <v>54</v>
      </c>
      <c r="B717" s="224" t="s">
        <v>40</v>
      </c>
      <c r="C717" s="224" t="s">
        <v>105</v>
      </c>
      <c r="D717" s="224" t="s">
        <v>257</v>
      </c>
      <c r="E717" s="224" t="str">
        <f>VLOOKUP($B717,'FRS geographical categories'!$A$2:$C$45,2,FALSE)</f>
        <v>Predominantly Rural</v>
      </c>
      <c r="F717" s="224" t="str">
        <f>VLOOKUP($B717,'FRS geographical categories'!$A$2:$C$45,3,FALSE)</f>
        <v>Non-metropolitan</v>
      </c>
      <c r="G717" s="98">
        <v>0</v>
      </c>
    </row>
    <row r="718" spans="1:7" ht="15.5" x14ac:dyDescent="0.35">
      <c r="A718" s="224" t="s">
        <v>54</v>
      </c>
      <c r="B718" s="224" t="s">
        <v>40</v>
      </c>
      <c r="C718" s="224" t="s">
        <v>106</v>
      </c>
      <c r="D718" s="224" t="s">
        <v>257</v>
      </c>
      <c r="E718" s="224" t="str">
        <f>VLOOKUP($B718,'FRS geographical categories'!$A$2:$C$45,2,FALSE)</f>
        <v>Predominantly Rural</v>
      </c>
      <c r="F718" s="224" t="str">
        <f>VLOOKUP($B718,'FRS geographical categories'!$A$2:$C$45,3,FALSE)</f>
        <v>Non-metropolitan</v>
      </c>
      <c r="G718" s="98">
        <v>690</v>
      </c>
    </row>
    <row r="719" spans="1:7" ht="15.5" x14ac:dyDescent="0.35">
      <c r="A719" s="224" t="s">
        <v>54</v>
      </c>
      <c r="B719" s="224" t="s">
        <v>40</v>
      </c>
      <c r="C719" s="224" t="s">
        <v>107</v>
      </c>
      <c r="D719" s="224" t="s">
        <v>257</v>
      </c>
      <c r="E719" s="224" t="str">
        <f>VLOOKUP($B719,'FRS geographical categories'!$A$2:$C$45,2,FALSE)</f>
        <v>Predominantly Rural</v>
      </c>
      <c r="F719" s="224" t="str">
        <f>VLOOKUP($B719,'FRS geographical categories'!$A$2:$C$45,3,FALSE)</f>
        <v>Non-metropolitan</v>
      </c>
      <c r="G719" s="98">
        <v>0</v>
      </c>
    </row>
    <row r="720" spans="1:7" ht="15.5" x14ac:dyDescent="0.35">
      <c r="A720" s="224" t="s">
        <v>54</v>
      </c>
      <c r="B720" s="224" t="s">
        <v>40</v>
      </c>
      <c r="C720" s="224" t="s">
        <v>108</v>
      </c>
      <c r="D720" s="224" t="s">
        <v>257</v>
      </c>
      <c r="E720" s="224" t="str">
        <f>VLOOKUP($B720,'FRS geographical categories'!$A$2:$C$45,2,FALSE)</f>
        <v>Predominantly Rural</v>
      </c>
      <c r="F720" s="224" t="str">
        <f>VLOOKUP($B720,'FRS geographical categories'!$A$2:$C$45,3,FALSE)</f>
        <v>Non-metropolitan</v>
      </c>
      <c r="G720" s="98">
        <v>1072</v>
      </c>
    </row>
    <row r="721" spans="1:7" ht="15.5" x14ac:dyDescent="0.35">
      <c r="A721" s="224" t="s">
        <v>54</v>
      </c>
      <c r="B721" s="224" t="s">
        <v>40</v>
      </c>
      <c r="C721" s="224" t="s">
        <v>109</v>
      </c>
      <c r="D721" s="224" t="s">
        <v>257</v>
      </c>
      <c r="E721" s="224" t="str">
        <f>VLOOKUP($B721,'FRS geographical categories'!$A$2:$C$45,2,FALSE)</f>
        <v>Predominantly Rural</v>
      </c>
      <c r="F721" s="224" t="str">
        <f>VLOOKUP($B721,'FRS geographical categories'!$A$2:$C$45,3,FALSE)</f>
        <v>Non-metropolitan</v>
      </c>
      <c r="G721" s="98">
        <v>0</v>
      </c>
    </row>
    <row r="722" spans="1:7" ht="15.5" x14ac:dyDescent="0.35">
      <c r="A722" s="224" t="s">
        <v>54</v>
      </c>
      <c r="B722" s="224" t="s">
        <v>41</v>
      </c>
      <c r="C722" s="224" t="s">
        <v>102</v>
      </c>
      <c r="D722" s="224" t="s">
        <v>257</v>
      </c>
      <c r="E722" s="224" t="str">
        <f>VLOOKUP($B722,'FRS geographical categories'!$A$2:$C$45,2,FALSE)</f>
        <v>Predominantly Urban</v>
      </c>
      <c r="F722" s="224" t="str">
        <f>VLOOKUP($B722,'FRS geographical categories'!$A$2:$C$45,3,FALSE)</f>
        <v>Non-metropolitan</v>
      </c>
      <c r="G722" s="98">
        <v>703</v>
      </c>
    </row>
    <row r="723" spans="1:7" ht="15.5" x14ac:dyDescent="0.35">
      <c r="A723" s="224" t="s">
        <v>54</v>
      </c>
      <c r="B723" s="224" t="s">
        <v>41</v>
      </c>
      <c r="C723" s="224" t="s">
        <v>105</v>
      </c>
      <c r="D723" s="224" t="s">
        <v>257</v>
      </c>
      <c r="E723" s="224" t="str">
        <f>VLOOKUP($B723,'FRS geographical categories'!$A$2:$C$45,2,FALSE)</f>
        <v>Predominantly Urban</v>
      </c>
      <c r="F723" s="224" t="str">
        <f>VLOOKUP($B723,'FRS geographical categories'!$A$2:$C$45,3,FALSE)</f>
        <v>Non-metropolitan</v>
      </c>
      <c r="G723" s="98">
        <v>0</v>
      </c>
    </row>
    <row r="724" spans="1:7" ht="15.5" x14ac:dyDescent="0.35">
      <c r="A724" s="224" t="s">
        <v>54</v>
      </c>
      <c r="B724" s="224" t="s">
        <v>41</v>
      </c>
      <c r="C724" s="224" t="s">
        <v>106</v>
      </c>
      <c r="D724" s="224" t="s">
        <v>257</v>
      </c>
      <c r="E724" s="224" t="str">
        <f>VLOOKUP($B724,'FRS geographical categories'!$A$2:$C$45,2,FALSE)</f>
        <v>Predominantly Urban</v>
      </c>
      <c r="F724" s="224" t="str">
        <f>VLOOKUP($B724,'FRS geographical categories'!$A$2:$C$45,3,FALSE)</f>
        <v>Non-metropolitan</v>
      </c>
      <c r="G724" s="98">
        <v>6461</v>
      </c>
    </row>
    <row r="725" spans="1:7" ht="15.5" x14ac:dyDescent="0.35">
      <c r="A725" s="224" t="s">
        <v>54</v>
      </c>
      <c r="B725" s="224" t="s">
        <v>41</v>
      </c>
      <c r="C725" s="224" t="s">
        <v>107</v>
      </c>
      <c r="D725" s="224" t="s">
        <v>257</v>
      </c>
      <c r="E725" s="224" t="str">
        <f>VLOOKUP($B725,'FRS geographical categories'!$A$2:$C$45,2,FALSE)</f>
        <v>Predominantly Urban</v>
      </c>
      <c r="F725" s="224" t="str">
        <f>VLOOKUP($B725,'FRS geographical categories'!$A$2:$C$45,3,FALSE)</f>
        <v>Non-metropolitan</v>
      </c>
      <c r="G725" s="98">
        <v>0</v>
      </c>
    </row>
    <row r="726" spans="1:7" ht="15.5" x14ac:dyDescent="0.35">
      <c r="A726" s="224" t="s">
        <v>54</v>
      </c>
      <c r="B726" s="224" t="s">
        <v>41</v>
      </c>
      <c r="C726" s="224" t="s">
        <v>108</v>
      </c>
      <c r="D726" s="224" t="s">
        <v>257</v>
      </c>
      <c r="E726" s="224" t="str">
        <f>VLOOKUP($B726,'FRS geographical categories'!$A$2:$C$45,2,FALSE)</f>
        <v>Predominantly Urban</v>
      </c>
      <c r="F726" s="224" t="str">
        <f>VLOOKUP($B726,'FRS geographical categories'!$A$2:$C$45,3,FALSE)</f>
        <v>Non-metropolitan</v>
      </c>
      <c r="G726" s="98">
        <v>4128</v>
      </c>
    </row>
    <row r="727" spans="1:7" ht="15.5" x14ac:dyDescent="0.35">
      <c r="A727" s="224" t="s">
        <v>54</v>
      </c>
      <c r="B727" s="224" t="s">
        <v>41</v>
      </c>
      <c r="C727" s="224" t="s">
        <v>109</v>
      </c>
      <c r="D727" s="224" t="s">
        <v>257</v>
      </c>
      <c r="E727" s="224" t="str">
        <f>VLOOKUP($B727,'FRS geographical categories'!$A$2:$C$45,2,FALSE)</f>
        <v>Predominantly Urban</v>
      </c>
      <c r="F727" s="224" t="str">
        <f>VLOOKUP($B727,'FRS geographical categories'!$A$2:$C$45,3,FALSE)</f>
        <v>Non-metropolitan</v>
      </c>
      <c r="G727" s="98">
        <v>0</v>
      </c>
    </row>
    <row r="728" spans="1:7" ht="15.5" x14ac:dyDescent="0.35">
      <c r="A728" s="224" t="s">
        <v>54</v>
      </c>
      <c r="B728" s="224" t="s">
        <v>42</v>
      </c>
      <c r="C728" s="224" t="s">
        <v>102</v>
      </c>
      <c r="D728" s="224" t="s">
        <v>257</v>
      </c>
      <c r="E728" s="224" t="str">
        <f>VLOOKUP($B728,'FRS geographical categories'!$A$2:$C$45,2,FALSE)</f>
        <v>Predominantly Rural</v>
      </c>
      <c r="F728" s="224" t="str">
        <f>VLOOKUP($B728,'FRS geographical categories'!$A$2:$C$45,3,FALSE)</f>
        <v>Non-metropolitan</v>
      </c>
      <c r="G728" s="98">
        <v>0</v>
      </c>
    </row>
    <row r="729" spans="1:7" ht="15.5" x14ac:dyDescent="0.35">
      <c r="A729" s="224" t="s">
        <v>54</v>
      </c>
      <c r="B729" s="224" t="s">
        <v>42</v>
      </c>
      <c r="C729" s="224" t="s">
        <v>105</v>
      </c>
      <c r="D729" s="224" t="s">
        <v>257</v>
      </c>
      <c r="E729" s="224" t="str">
        <f>VLOOKUP($B729,'FRS geographical categories'!$A$2:$C$45,2,FALSE)</f>
        <v>Predominantly Rural</v>
      </c>
      <c r="F729" s="224" t="str">
        <f>VLOOKUP($B729,'FRS geographical categories'!$A$2:$C$45,3,FALSE)</f>
        <v>Non-metropolitan</v>
      </c>
      <c r="G729" s="98">
        <v>0</v>
      </c>
    </row>
    <row r="730" spans="1:7" ht="15.5" x14ac:dyDescent="0.35">
      <c r="A730" s="224" t="s">
        <v>54</v>
      </c>
      <c r="B730" s="224" t="s">
        <v>42</v>
      </c>
      <c r="C730" s="224" t="s">
        <v>106</v>
      </c>
      <c r="D730" s="224" t="s">
        <v>257</v>
      </c>
      <c r="E730" s="224" t="str">
        <f>VLOOKUP($B730,'FRS geographical categories'!$A$2:$C$45,2,FALSE)</f>
        <v>Predominantly Rural</v>
      </c>
      <c r="F730" s="224" t="str">
        <f>VLOOKUP($B730,'FRS geographical categories'!$A$2:$C$45,3,FALSE)</f>
        <v>Non-metropolitan</v>
      </c>
      <c r="G730" s="98">
        <v>1057</v>
      </c>
    </row>
    <row r="731" spans="1:7" ht="15.5" x14ac:dyDescent="0.35">
      <c r="A731" s="224" t="s">
        <v>54</v>
      </c>
      <c r="B731" s="224" t="s">
        <v>42</v>
      </c>
      <c r="C731" s="224" t="s">
        <v>107</v>
      </c>
      <c r="D731" s="224" t="s">
        <v>257</v>
      </c>
      <c r="E731" s="224" t="str">
        <f>VLOOKUP($B731,'FRS geographical categories'!$A$2:$C$45,2,FALSE)</f>
        <v>Predominantly Rural</v>
      </c>
      <c r="F731" s="224" t="str">
        <f>VLOOKUP($B731,'FRS geographical categories'!$A$2:$C$45,3,FALSE)</f>
        <v>Non-metropolitan</v>
      </c>
      <c r="G731" s="98">
        <v>0</v>
      </c>
    </row>
    <row r="732" spans="1:7" ht="15.5" x14ac:dyDescent="0.35">
      <c r="A732" s="224" t="s">
        <v>54</v>
      </c>
      <c r="B732" s="224" t="s">
        <v>42</v>
      </c>
      <c r="C732" s="224" t="s">
        <v>108</v>
      </c>
      <c r="D732" s="224" t="s">
        <v>257</v>
      </c>
      <c r="E732" s="224" t="str">
        <f>VLOOKUP($B732,'FRS geographical categories'!$A$2:$C$45,2,FALSE)</f>
        <v>Predominantly Rural</v>
      </c>
      <c r="F732" s="224" t="str">
        <f>VLOOKUP($B732,'FRS geographical categories'!$A$2:$C$45,3,FALSE)</f>
        <v>Non-metropolitan</v>
      </c>
      <c r="G732" s="98">
        <v>2137</v>
      </c>
    </row>
    <row r="733" spans="1:7" ht="15.5" x14ac:dyDescent="0.35">
      <c r="A733" s="224" t="s">
        <v>54</v>
      </c>
      <c r="B733" s="224" t="s">
        <v>42</v>
      </c>
      <c r="C733" s="224" t="s">
        <v>109</v>
      </c>
      <c r="D733" s="224" t="s">
        <v>257</v>
      </c>
      <c r="E733" s="224" t="str">
        <f>VLOOKUP($B733,'FRS geographical categories'!$A$2:$C$45,2,FALSE)</f>
        <v>Predominantly Rural</v>
      </c>
      <c r="F733" s="224" t="str">
        <f>VLOOKUP($B733,'FRS geographical categories'!$A$2:$C$45,3,FALSE)</f>
        <v>Non-metropolitan</v>
      </c>
      <c r="G733" s="98">
        <v>0</v>
      </c>
    </row>
    <row r="734" spans="1:7" ht="15.5" x14ac:dyDescent="0.35">
      <c r="A734" s="224" t="s">
        <v>54</v>
      </c>
      <c r="B734" s="224" t="s">
        <v>43</v>
      </c>
      <c r="C734" s="224" t="s">
        <v>102</v>
      </c>
      <c r="D734" s="224" t="s">
        <v>257</v>
      </c>
      <c r="E734" s="224" t="str">
        <f>VLOOKUP($B734,'FRS geographical categories'!$A$2:$C$45,2,FALSE)</f>
        <v>Predominantly Rural</v>
      </c>
      <c r="F734" s="224" t="str">
        <f>VLOOKUP($B734,'FRS geographical categories'!$A$2:$C$45,3,FALSE)</f>
        <v>Non-metropolitan</v>
      </c>
      <c r="G734" s="98">
        <v>0</v>
      </c>
    </row>
    <row r="735" spans="1:7" ht="15.5" x14ac:dyDescent="0.35">
      <c r="A735" s="224" t="s">
        <v>54</v>
      </c>
      <c r="B735" s="224" t="s">
        <v>43</v>
      </c>
      <c r="C735" s="224" t="s">
        <v>105</v>
      </c>
      <c r="D735" s="224" t="s">
        <v>257</v>
      </c>
      <c r="E735" s="224" t="str">
        <f>VLOOKUP($B735,'FRS geographical categories'!$A$2:$C$45,2,FALSE)</f>
        <v>Predominantly Rural</v>
      </c>
      <c r="F735" s="224" t="str">
        <f>VLOOKUP($B735,'FRS geographical categories'!$A$2:$C$45,3,FALSE)</f>
        <v>Non-metropolitan</v>
      </c>
      <c r="G735" s="98">
        <v>0</v>
      </c>
    </row>
    <row r="736" spans="1:7" ht="15.5" x14ac:dyDescent="0.35">
      <c r="A736" s="224" t="s">
        <v>54</v>
      </c>
      <c r="B736" s="224" t="s">
        <v>43</v>
      </c>
      <c r="C736" s="224" t="s">
        <v>106</v>
      </c>
      <c r="D736" s="224" t="s">
        <v>257</v>
      </c>
      <c r="E736" s="224" t="str">
        <f>VLOOKUP($B736,'FRS geographical categories'!$A$2:$C$45,2,FALSE)</f>
        <v>Predominantly Rural</v>
      </c>
      <c r="F736" s="224" t="str">
        <f>VLOOKUP($B736,'FRS geographical categories'!$A$2:$C$45,3,FALSE)</f>
        <v>Non-metropolitan</v>
      </c>
      <c r="G736" s="98">
        <v>6</v>
      </c>
    </row>
    <row r="737" spans="1:7" ht="15.5" x14ac:dyDescent="0.35">
      <c r="A737" s="224" t="s">
        <v>54</v>
      </c>
      <c r="B737" s="224" t="s">
        <v>43</v>
      </c>
      <c r="C737" s="224" t="s">
        <v>107</v>
      </c>
      <c r="D737" s="224" t="s">
        <v>257</v>
      </c>
      <c r="E737" s="224" t="str">
        <f>VLOOKUP($B737,'FRS geographical categories'!$A$2:$C$45,2,FALSE)</f>
        <v>Predominantly Rural</v>
      </c>
      <c r="F737" s="224" t="str">
        <f>VLOOKUP($B737,'FRS geographical categories'!$A$2:$C$45,3,FALSE)</f>
        <v>Non-metropolitan</v>
      </c>
      <c r="G737" s="98">
        <v>0</v>
      </c>
    </row>
    <row r="738" spans="1:7" ht="15.5" x14ac:dyDescent="0.35">
      <c r="A738" s="224" t="s">
        <v>54</v>
      </c>
      <c r="B738" s="224" t="s">
        <v>43</v>
      </c>
      <c r="C738" s="224" t="s">
        <v>108</v>
      </c>
      <c r="D738" s="224" t="s">
        <v>257</v>
      </c>
      <c r="E738" s="224" t="str">
        <f>VLOOKUP($B738,'FRS geographical categories'!$A$2:$C$45,2,FALSE)</f>
        <v>Predominantly Rural</v>
      </c>
      <c r="F738" s="224" t="str">
        <f>VLOOKUP($B738,'FRS geographical categories'!$A$2:$C$45,3,FALSE)</f>
        <v>Non-metropolitan</v>
      </c>
      <c r="G738" s="98">
        <v>878</v>
      </c>
    </row>
    <row r="739" spans="1:7" ht="15.5" x14ac:dyDescent="0.35">
      <c r="A739" s="224" t="s">
        <v>54</v>
      </c>
      <c r="B739" s="224" t="s">
        <v>43</v>
      </c>
      <c r="C739" s="224" t="s">
        <v>109</v>
      </c>
      <c r="D739" s="224" t="s">
        <v>257</v>
      </c>
      <c r="E739" s="224" t="str">
        <f>VLOOKUP($B739,'FRS geographical categories'!$A$2:$C$45,2,FALSE)</f>
        <v>Predominantly Rural</v>
      </c>
      <c r="F739" s="224" t="str">
        <f>VLOOKUP($B739,'FRS geographical categories'!$A$2:$C$45,3,FALSE)</f>
        <v>Non-metropolitan</v>
      </c>
      <c r="G739" s="98">
        <v>0</v>
      </c>
    </row>
    <row r="740" spans="1:7" ht="15.5" x14ac:dyDescent="0.35">
      <c r="A740" s="224" t="s">
        <v>54</v>
      </c>
      <c r="B740" s="224" t="s">
        <v>44</v>
      </c>
      <c r="C740" s="224" t="s">
        <v>102</v>
      </c>
      <c r="D740" s="224" t="s">
        <v>257</v>
      </c>
      <c r="E740" s="224" t="str">
        <f>VLOOKUP($B740,'FRS geographical categories'!$A$2:$C$45,2,FALSE)</f>
        <v>Predominantly Urban</v>
      </c>
      <c r="F740" s="224" t="str">
        <f>VLOOKUP($B740,'FRS geographical categories'!$A$2:$C$45,3,FALSE)</f>
        <v>Metropolitan</v>
      </c>
      <c r="G740" s="98">
        <v>0</v>
      </c>
    </row>
    <row r="741" spans="1:7" ht="15.5" x14ac:dyDescent="0.35">
      <c r="A741" s="224" t="s">
        <v>54</v>
      </c>
      <c r="B741" s="224" t="s">
        <v>44</v>
      </c>
      <c r="C741" s="224" t="s">
        <v>105</v>
      </c>
      <c r="D741" s="224" t="s">
        <v>257</v>
      </c>
      <c r="E741" s="224" t="str">
        <f>VLOOKUP($B741,'FRS geographical categories'!$A$2:$C$45,2,FALSE)</f>
        <v>Predominantly Urban</v>
      </c>
      <c r="F741" s="224" t="str">
        <f>VLOOKUP($B741,'FRS geographical categories'!$A$2:$C$45,3,FALSE)</f>
        <v>Metropolitan</v>
      </c>
      <c r="G741" s="98">
        <v>0</v>
      </c>
    </row>
    <row r="742" spans="1:7" ht="15.5" x14ac:dyDescent="0.35">
      <c r="A742" s="224" t="s">
        <v>54</v>
      </c>
      <c r="B742" s="224" t="s">
        <v>44</v>
      </c>
      <c r="C742" s="224" t="s">
        <v>106</v>
      </c>
      <c r="D742" s="224" t="s">
        <v>257</v>
      </c>
      <c r="E742" s="224" t="str">
        <f>VLOOKUP($B742,'FRS geographical categories'!$A$2:$C$45,2,FALSE)</f>
        <v>Predominantly Urban</v>
      </c>
      <c r="F742" s="224" t="str">
        <f>VLOOKUP($B742,'FRS geographical categories'!$A$2:$C$45,3,FALSE)</f>
        <v>Metropolitan</v>
      </c>
      <c r="G742" s="98">
        <v>5984</v>
      </c>
    </row>
    <row r="743" spans="1:7" ht="15.5" x14ac:dyDescent="0.35">
      <c r="A743" s="224" t="s">
        <v>54</v>
      </c>
      <c r="B743" s="224" t="s">
        <v>44</v>
      </c>
      <c r="C743" s="224" t="s">
        <v>107</v>
      </c>
      <c r="D743" s="224" t="s">
        <v>257</v>
      </c>
      <c r="E743" s="224" t="str">
        <f>VLOOKUP($B743,'FRS geographical categories'!$A$2:$C$45,2,FALSE)</f>
        <v>Predominantly Urban</v>
      </c>
      <c r="F743" s="224" t="str">
        <f>VLOOKUP($B743,'FRS geographical categories'!$A$2:$C$45,3,FALSE)</f>
        <v>Metropolitan</v>
      </c>
      <c r="G743" s="98">
        <v>0</v>
      </c>
    </row>
    <row r="744" spans="1:7" ht="15.5" x14ac:dyDescent="0.35">
      <c r="A744" s="224" t="s">
        <v>54</v>
      </c>
      <c r="B744" s="224" t="s">
        <v>44</v>
      </c>
      <c r="C744" s="224" t="s">
        <v>108</v>
      </c>
      <c r="D744" s="224" t="s">
        <v>257</v>
      </c>
      <c r="E744" s="224" t="str">
        <f>VLOOKUP($B744,'FRS geographical categories'!$A$2:$C$45,2,FALSE)</f>
        <v>Predominantly Urban</v>
      </c>
      <c r="F744" s="224" t="str">
        <f>VLOOKUP($B744,'FRS geographical categories'!$A$2:$C$45,3,FALSE)</f>
        <v>Metropolitan</v>
      </c>
      <c r="G744" s="98">
        <v>3564</v>
      </c>
    </row>
    <row r="745" spans="1:7" ht="15.5" x14ac:dyDescent="0.35">
      <c r="A745" s="224" t="s">
        <v>54</v>
      </c>
      <c r="B745" s="224" t="s">
        <v>44</v>
      </c>
      <c r="C745" s="224" t="s">
        <v>109</v>
      </c>
      <c r="D745" s="224" t="s">
        <v>257</v>
      </c>
      <c r="E745" s="224" t="str">
        <f>VLOOKUP($B745,'FRS geographical categories'!$A$2:$C$45,2,FALSE)</f>
        <v>Predominantly Urban</v>
      </c>
      <c r="F745" s="224" t="str">
        <f>VLOOKUP($B745,'FRS geographical categories'!$A$2:$C$45,3,FALSE)</f>
        <v>Metropolitan</v>
      </c>
      <c r="G745" s="98">
        <v>0</v>
      </c>
    </row>
    <row r="746" spans="1:7" ht="15.5" x14ac:dyDescent="0.35">
      <c r="A746" s="224" t="s">
        <v>54</v>
      </c>
      <c r="B746" s="224" t="s">
        <v>45</v>
      </c>
      <c r="C746" s="224" t="s">
        <v>102</v>
      </c>
      <c r="D746" s="224" t="s">
        <v>257</v>
      </c>
      <c r="E746" s="224" t="str">
        <f>VLOOKUP($B746,'FRS geographical categories'!$A$2:$C$45,2,FALSE)</f>
        <v>Significantly Rural</v>
      </c>
      <c r="F746" s="224" t="str">
        <f>VLOOKUP($B746,'FRS geographical categories'!$A$2:$C$45,3,FALSE)</f>
        <v>Non-metropolitan</v>
      </c>
      <c r="G746" s="98">
        <v>0</v>
      </c>
    </row>
    <row r="747" spans="1:7" ht="15.5" x14ac:dyDescent="0.35">
      <c r="A747" s="224" t="s">
        <v>54</v>
      </c>
      <c r="B747" s="224" t="s">
        <v>45</v>
      </c>
      <c r="C747" s="224" t="s">
        <v>105</v>
      </c>
      <c r="D747" s="224" t="s">
        <v>257</v>
      </c>
      <c r="E747" s="224" t="str">
        <f>VLOOKUP($B747,'FRS geographical categories'!$A$2:$C$45,2,FALSE)</f>
        <v>Significantly Rural</v>
      </c>
      <c r="F747" s="224" t="str">
        <f>VLOOKUP($B747,'FRS geographical categories'!$A$2:$C$45,3,FALSE)</f>
        <v>Non-metropolitan</v>
      </c>
      <c r="G747" s="98">
        <v>0</v>
      </c>
    </row>
    <row r="748" spans="1:7" ht="15.5" x14ac:dyDescent="0.35">
      <c r="A748" s="224" t="s">
        <v>54</v>
      </c>
      <c r="B748" s="224" t="s">
        <v>45</v>
      </c>
      <c r="C748" s="224" t="s">
        <v>106</v>
      </c>
      <c r="D748" s="224" t="s">
        <v>257</v>
      </c>
      <c r="E748" s="224" t="str">
        <f>VLOOKUP($B748,'FRS geographical categories'!$A$2:$C$45,2,FALSE)</f>
        <v>Significantly Rural</v>
      </c>
      <c r="F748" s="224" t="str">
        <f>VLOOKUP($B748,'FRS geographical categories'!$A$2:$C$45,3,FALSE)</f>
        <v>Non-metropolitan</v>
      </c>
      <c r="G748" s="98">
        <v>0</v>
      </c>
    </row>
    <row r="749" spans="1:7" ht="15.5" x14ac:dyDescent="0.35">
      <c r="A749" s="224" t="s">
        <v>54</v>
      </c>
      <c r="B749" s="224" t="s">
        <v>45</v>
      </c>
      <c r="C749" s="224" t="s">
        <v>107</v>
      </c>
      <c r="D749" s="224" t="s">
        <v>257</v>
      </c>
      <c r="E749" s="224" t="str">
        <f>VLOOKUP($B749,'FRS geographical categories'!$A$2:$C$45,2,FALSE)</f>
        <v>Significantly Rural</v>
      </c>
      <c r="F749" s="224" t="str">
        <f>VLOOKUP($B749,'FRS geographical categories'!$A$2:$C$45,3,FALSE)</f>
        <v>Non-metropolitan</v>
      </c>
      <c r="G749" s="98">
        <v>0</v>
      </c>
    </row>
    <row r="750" spans="1:7" ht="15.5" x14ac:dyDescent="0.35">
      <c r="A750" s="224" t="s">
        <v>54</v>
      </c>
      <c r="B750" s="224" t="s">
        <v>45</v>
      </c>
      <c r="C750" s="224" t="s">
        <v>108</v>
      </c>
      <c r="D750" s="224" t="s">
        <v>257</v>
      </c>
      <c r="E750" s="224" t="str">
        <f>VLOOKUP($B750,'FRS geographical categories'!$A$2:$C$45,2,FALSE)</f>
        <v>Significantly Rural</v>
      </c>
      <c r="F750" s="224" t="str">
        <f>VLOOKUP($B750,'FRS geographical categories'!$A$2:$C$45,3,FALSE)</f>
        <v>Non-metropolitan</v>
      </c>
      <c r="G750" s="98">
        <v>0</v>
      </c>
    </row>
    <row r="751" spans="1:7" ht="15.5" x14ac:dyDescent="0.35">
      <c r="A751" s="224" t="s">
        <v>54</v>
      </c>
      <c r="B751" s="224" t="s">
        <v>45</v>
      </c>
      <c r="C751" s="224" t="s">
        <v>109</v>
      </c>
      <c r="D751" s="224" t="s">
        <v>257</v>
      </c>
      <c r="E751" s="224" t="str">
        <f>VLOOKUP($B751,'FRS geographical categories'!$A$2:$C$45,2,FALSE)</f>
        <v>Significantly Rural</v>
      </c>
      <c r="F751" s="224" t="str">
        <f>VLOOKUP($B751,'FRS geographical categories'!$A$2:$C$45,3,FALSE)</f>
        <v>Non-metropolitan</v>
      </c>
      <c r="G751" s="98">
        <v>0</v>
      </c>
    </row>
    <row r="752" spans="1:7" ht="15.5" x14ac:dyDescent="0.35">
      <c r="A752" s="224" t="s">
        <v>54</v>
      </c>
      <c r="B752" s="224" t="s">
        <v>46</v>
      </c>
      <c r="C752" s="224" t="s">
        <v>102</v>
      </c>
      <c r="D752" s="224" t="s">
        <v>257</v>
      </c>
      <c r="E752" s="224" t="str">
        <f>VLOOKUP($B752,'FRS geographical categories'!$A$2:$C$45,2,FALSE)</f>
        <v>Predominantly Rural</v>
      </c>
      <c r="F752" s="224" t="str">
        <f>VLOOKUP($B752,'FRS geographical categories'!$A$2:$C$45,3,FALSE)</f>
        <v>Non-metropolitan</v>
      </c>
      <c r="G752" s="98">
        <v>0</v>
      </c>
    </row>
    <row r="753" spans="1:7" ht="15.5" x14ac:dyDescent="0.35">
      <c r="A753" s="224" t="s">
        <v>54</v>
      </c>
      <c r="B753" s="224" t="s">
        <v>46</v>
      </c>
      <c r="C753" s="224" t="s">
        <v>105</v>
      </c>
      <c r="D753" s="224" t="s">
        <v>257</v>
      </c>
      <c r="E753" s="224" t="str">
        <f>VLOOKUP($B753,'FRS geographical categories'!$A$2:$C$45,2,FALSE)</f>
        <v>Predominantly Rural</v>
      </c>
      <c r="F753" s="224" t="str">
        <f>VLOOKUP($B753,'FRS geographical categories'!$A$2:$C$45,3,FALSE)</f>
        <v>Non-metropolitan</v>
      </c>
      <c r="G753" s="98">
        <v>0</v>
      </c>
    </row>
    <row r="754" spans="1:7" ht="15.5" x14ac:dyDescent="0.35">
      <c r="A754" s="224" t="s">
        <v>54</v>
      </c>
      <c r="B754" s="224" t="s">
        <v>46</v>
      </c>
      <c r="C754" s="224" t="s">
        <v>106</v>
      </c>
      <c r="D754" s="224" t="s">
        <v>257</v>
      </c>
      <c r="E754" s="224" t="str">
        <f>VLOOKUP($B754,'FRS geographical categories'!$A$2:$C$45,2,FALSE)</f>
        <v>Predominantly Rural</v>
      </c>
      <c r="F754" s="224" t="str">
        <f>VLOOKUP($B754,'FRS geographical categories'!$A$2:$C$45,3,FALSE)</f>
        <v>Non-metropolitan</v>
      </c>
      <c r="G754" s="98">
        <v>3418</v>
      </c>
    </row>
    <row r="755" spans="1:7" ht="15.5" x14ac:dyDescent="0.35">
      <c r="A755" s="224" t="s">
        <v>54</v>
      </c>
      <c r="B755" s="224" t="s">
        <v>46</v>
      </c>
      <c r="C755" s="224" t="s">
        <v>107</v>
      </c>
      <c r="D755" s="224" t="s">
        <v>257</v>
      </c>
      <c r="E755" s="224" t="str">
        <f>VLOOKUP($B755,'FRS geographical categories'!$A$2:$C$45,2,FALSE)</f>
        <v>Predominantly Rural</v>
      </c>
      <c r="F755" s="224" t="str">
        <f>VLOOKUP($B755,'FRS geographical categories'!$A$2:$C$45,3,FALSE)</f>
        <v>Non-metropolitan</v>
      </c>
      <c r="G755" s="98">
        <v>0</v>
      </c>
    </row>
    <row r="756" spans="1:7" ht="15.5" x14ac:dyDescent="0.35">
      <c r="A756" s="224" t="s">
        <v>54</v>
      </c>
      <c r="B756" s="224" t="s">
        <v>46</v>
      </c>
      <c r="C756" s="224" t="s">
        <v>108</v>
      </c>
      <c r="D756" s="224" t="s">
        <v>257</v>
      </c>
      <c r="E756" s="224" t="str">
        <f>VLOOKUP($B756,'FRS geographical categories'!$A$2:$C$45,2,FALSE)</f>
        <v>Predominantly Rural</v>
      </c>
      <c r="F756" s="224" t="str">
        <f>VLOOKUP($B756,'FRS geographical categories'!$A$2:$C$45,3,FALSE)</f>
        <v>Non-metropolitan</v>
      </c>
      <c r="G756" s="98">
        <v>1532</v>
      </c>
    </row>
    <row r="757" spans="1:7" ht="15.5" x14ac:dyDescent="0.35">
      <c r="A757" s="224" t="s">
        <v>54</v>
      </c>
      <c r="B757" s="224" t="s">
        <v>46</v>
      </c>
      <c r="C757" s="224" t="s">
        <v>109</v>
      </c>
      <c r="D757" s="224" t="s">
        <v>257</v>
      </c>
      <c r="E757" s="224" t="str">
        <f>VLOOKUP($B757,'FRS geographical categories'!$A$2:$C$45,2,FALSE)</f>
        <v>Predominantly Rural</v>
      </c>
      <c r="F757" s="224" t="str">
        <f>VLOOKUP($B757,'FRS geographical categories'!$A$2:$C$45,3,FALSE)</f>
        <v>Non-metropolitan</v>
      </c>
      <c r="G757" s="98">
        <v>16</v>
      </c>
    </row>
    <row r="758" spans="1:7" ht="15.5" x14ac:dyDescent="0.35">
      <c r="A758" s="224" t="s">
        <v>54</v>
      </c>
      <c r="B758" s="224" t="s">
        <v>47</v>
      </c>
      <c r="C758" s="224" t="s">
        <v>102</v>
      </c>
      <c r="D758" s="224" t="s">
        <v>257</v>
      </c>
      <c r="E758" s="224" t="str">
        <f>VLOOKUP($B758,'FRS geographical categories'!$A$2:$C$45,2,FALSE)</f>
        <v>Predominantly Urban</v>
      </c>
      <c r="F758" s="224" t="str">
        <f>VLOOKUP($B758,'FRS geographical categories'!$A$2:$C$45,3,FALSE)</f>
        <v>Non-metropolitan</v>
      </c>
      <c r="G758" s="98">
        <v>1627</v>
      </c>
    </row>
    <row r="759" spans="1:7" ht="15.5" x14ac:dyDescent="0.35">
      <c r="A759" s="224" t="s">
        <v>54</v>
      </c>
      <c r="B759" s="224" t="s">
        <v>47</v>
      </c>
      <c r="C759" s="224" t="s">
        <v>105</v>
      </c>
      <c r="D759" s="224" t="s">
        <v>257</v>
      </c>
      <c r="E759" s="224" t="str">
        <f>VLOOKUP($B759,'FRS geographical categories'!$A$2:$C$45,2,FALSE)</f>
        <v>Predominantly Urban</v>
      </c>
      <c r="F759" s="224" t="str">
        <f>VLOOKUP($B759,'FRS geographical categories'!$A$2:$C$45,3,FALSE)</f>
        <v>Non-metropolitan</v>
      </c>
      <c r="G759" s="98">
        <v>0</v>
      </c>
    </row>
    <row r="760" spans="1:7" ht="15.5" x14ac:dyDescent="0.35">
      <c r="A760" s="224" t="s">
        <v>54</v>
      </c>
      <c r="B760" s="224" t="s">
        <v>47</v>
      </c>
      <c r="C760" s="224" t="s">
        <v>106</v>
      </c>
      <c r="D760" s="224" t="s">
        <v>257</v>
      </c>
      <c r="E760" s="224" t="str">
        <f>VLOOKUP($B760,'FRS geographical categories'!$A$2:$C$45,2,FALSE)</f>
        <v>Predominantly Urban</v>
      </c>
      <c r="F760" s="224" t="str">
        <f>VLOOKUP($B760,'FRS geographical categories'!$A$2:$C$45,3,FALSE)</f>
        <v>Non-metropolitan</v>
      </c>
      <c r="G760" s="98">
        <v>1722</v>
      </c>
    </row>
    <row r="761" spans="1:7" ht="15.5" x14ac:dyDescent="0.35">
      <c r="A761" s="224" t="s">
        <v>54</v>
      </c>
      <c r="B761" s="224" t="s">
        <v>47</v>
      </c>
      <c r="C761" s="224" t="s">
        <v>107</v>
      </c>
      <c r="D761" s="224" t="s">
        <v>257</v>
      </c>
      <c r="E761" s="224" t="str">
        <f>VLOOKUP($B761,'FRS geographical categories'!$A$2:$C$45,2,FALSE)</f>
        <v>Predominantly Urban</v>
      </c>
      <c r="F761" s="224" t="str">
        <f>VLOOKUP($B761,'FRS geographical categories'!$A$2:$C$45,3,FALSE)</f>
        <v>Non-metropolitan</v>
      </c>
      <c r="G761" s="98">
        <v>193</v>
      </c>
    </row>
    <row r="762" spans="1:7" ht="15.5" x14ac:dyDescent="0.35">
      <c r="A762" s="224" t="s">
        <v>54</v>
      </c>
      <c r="B762" s="224" t="s">
        <v>47</v>
      </c>
      <c r="C762" s="224" t="s">
        <v>108</v>
      </c>
      <c r="D762" s="224" t="s">
        <v>257</v>
      </c>
      <c r="E762" s="224" t="str">
        <f>VLOOKUP($B762,'FRS geographical categories'!$A$2:$C$45,2,FALSE)</f>
        <v>Predominantly Urban</v>
      </c>
      <c r="F762" s="224" t="str">
        <f>VLOOKUP($B762,'FRS geographical categories'!$A$2:$C$45,3,FALSE)</f>
        <v>Non-metropolitan</v>
      </c>
      <c r="G762" s="98">
        <v>0</v>
      </c>
    </row>
    <row r="763" spans="1:7" ht="15.5" x14ac:dyDescent="0.35">
      <c r="A763" s="224" t="s">
        <v>54</v>
      </c>
      <c r="B763" s="224" t="s">
        <v>47</v>
      </c>
      <c r="C763" s="224" t="s">
        <v>109</v>
      </c>
      <c r="D763" s="224" t="s">
        <v>257</v>
      </c>
      <c r="E763" s="224" t="str">
        <f>VLOOKUP($B763,'FRS geographical categories'!$A$2:$C$45,2,FALSE)</f>
        <v>Predominantly Urban</v>
      </c>
      <c r="F763" s="224" t="str">
        <f>VLOOKUP($B763,'FRS geographical categories'!$A$2:$C$45,3,FALSE)</f>
        <v>Non-metropolitan</v>
      </c>
      <c r="G763" s="98">
        <v>2</v>
      </c>
    </row>
    <row r="764" spans="1:7" ht="15.5" x14ac:dyDescent="0.35">
      <c r="A764" s="224" t="s">
        <v>54</v>
      </c>
      <c r="B764" s="224" t="s">
        <v>48</v>
      </c>
      <c r="C764" s="224" t="s">
        <v>102</v>
      </c>
      <c r="D764" s="224" t="s">
        <v>257</v>
      </c>
      <c r="E764" s="224" t="str">
        <f>VLOOKUP($B764,'FRS geographical categories'!$A$2:$C$45,2,FALSE)</f>
        <v>Predominantly Urban</v>
      </c>
      <c r="F764" s="224" t="str">
        <f>VLOOKUP($B764,'FRS geographical categories'!$A$2:$C$45,3,FALSE)</f>
        <v>Metropolitan</v>
      </c>
      <c r="G764" s="98">
        <v>0</v>
      </c>
    </row>
    <row r="765" spans="1:7" ht="15.5" x14ac:dyDescent="0.35">
      <c r="A765" s="224" t="s">
        <v>54</v>
      </c>
      <c r="B765" s="224" t="s">
        <v>48</v>
      </c>
      <c r="C765" s="224" t="s">
        <v>105</v>
      </c>
      <c r="D765" s="224" t="s">
        <v>257</v>
      </c>
      <c r="E765" s="224" t="str">
        <f>VLOOKUP($B765,'FRS geographical categories'!$A$2:$C$45,2,FALSE)</f>
        <v>Predominantly Urban</v>
      </c>
      <c r="F765" s="224" t="str">
        <f>VLOOKUP($B765,'FRS geographical categories'!$A$2:$C$45,3,FALSE)</f>
        <v>Metropolitan</v>
      </c>
      <c r="G765" s="98">
        <v>6089</v>
      </c>
    </row>
    <row r="766" spans="1:7" ht="15.5" x14ac:dyDescent="0.35">
      <c r="A766" s="224" t="s">
        <v>54</v>
      </c>
      <c r="B766" s="224" t="s">
        <v>48</v>
      </c>
      <c r="C766" s="224" t="s">
        <v>106</v>
      </c>
      <c r="D766" s="224" t="s">
        <v>257</v>
      </c>
      <c r="E766" s="224" t="str">
        <f>VLOOKUP($B766,'FRS geographical categories'!$A$2:$C$45,2,FALSE)</f>
        <v>Predominantly Urban</v>
      </c>
      <c r="F766" s="224" t="str">
        <f>VLOOKUP($B766,'FRS geographical categories'!$A$2:$C$45,3,FALSE)</f>
        <v>Metropolitan</v>
      </c>
      <c r="G766" s="98">
        <v>316</v>
      </c>
    </row>
    <row r="767" spans="1:7" ht="15.5" x14ac:dyDescent="0.35">
      <c r="A767" s="224" t="s">
        <v>54</v>
      </c>
      <c r="B767" s="224" t="s">
        <v>48</v>
      </c>
      <c r="C767" s="224" t="s">
        <v>107</v>
      </c>
      <c r="D767" s="224" t="s">
        <v>257</v>
      </c>
      <c r="E767" s="224" t="str">
        <f>VLOOKUP($B767,'FRS geographical categories'!$A$2:$C$45,2,FALSE)</f>
        <v>Predominantly Urban</v>
      </c>
      <c r="F767" s="224" t="str">
        <f>VLOOKUP($B767,'FRS geographical categories'!$A$2:$C$45,3,FALSE)</f>
        <v>Metropolitan</v>
      </c>
      <c r="G767" s="98">
        <v>0</v>
      </c>
    </row>
    <row r="768" spans="1:7" ht="15.5" x14ac:dyDescent="0.35">
      <c r="A768" s="224" t="s">
        <v>54</v>
      </c>
      <c r="B768" s="224" t="s">
        <v>48</v>
      </c>
      <c r="C768" s="224" t="s">
        <v>108</v>
      </c>
      <c r="D768" s="224" t="s">
        <v>257</v>
      </c>
      <c r="E768" s="224" t="str">
        <f>VLOOKUP($B768,'FRS geographical categories'!$A$2:$C$45,2,FALSE)</f>
        <v>Predominantly Urban</v>
      </c>
      <c r="F768" s="224" t="str">
        <f>VLOOKUP($B768,'FRS geographical categories'!$A$2:$C$45,3,FALSE)</f>
        <v>Metropolitan</v>
      </c>
      <c r="G768" s="98">
        <v>13782</v>
      </c>
    </row>
    <row r="769" spans="1:7" ht="15.5" x14ac:dyDescent="0.35">
      <c r="A769" s="224" t="s">
        <v>54</v>
      </c>
      <c r="B769" s="224" t="s">
        <v>48</v>
      </c>
      <c r="C769" s="224" t="s">
        <v>109</v>
      </c>
      <c r="D769" s="224" t="s">
        <v>257</v>
      </c>
      <c r="E769" s="224" t="str">
        <f>VLOOKUP($B769,'FRS geographical categories'!$A$2:$C$45,2,FALSE)</f>
        <v>Predominantly Urban</v>
      </c>
      <c r="F769" s="224" t="str">
        <f>VLOOKUP($B769,'FRS geographical categories'!$A$2:$C$45,3,FALSE)</f>
        <v>Metropolitan</v>
      </c>
      <c r="G769" s="98">
        <v>0</v>
      </c>
    </row>
    <row r="770" spans="1:7" ht="15.5" x14ac:dyDescent="0.35">
      <c r="A770" s="224" t="s">
        <v>54</v>
      </c>
      <c r="B770" s="224" t="s">
        <v>49</v>
      </c>
      <c r="C770" s="224" t="s">
        <v>102</v>
      </c>
      <c r="D770" s="224" t="s">
        <v>257</v>
      </c>
      <c r="E770" s="224" t="str">
        <f>VLOOKUP($B770,'FRS geographical categories'!$A$2:$C$45,2,FALSE)</f>
        <v>Significantly Rural</v>
      </c>
      <c r="F770" s="224" t="str">
        <f>VLOOKUP($B770,'FRS geographical categories'!$A$2:$C$45,3,FALSE)</f>
        <v>Non-metropolitan</v>
      </c>
      <c r="G770" s="98">
        <v>0</v>
      </c>
    </row>
    <row r="771" spans="1:7" ht="15.5" x14ac:dyDescent="0.35">
      <c r="A771" s="224" t="s">
        <v>54</v>
      </c>
      <c r="B771" s="224" t="s">
        <v>49</v>
      </c>
      <c r="C771" s="224" t="s">
        <v>105</v>
      </c>
      <c r="D771" s="224" t="s">
        <v>257</v>
      </c>
      <c r="E771" s="224" t="str">
        <f>VLOOKUP($B771,'FRS geographical categories'!$A$2:$C$45,2,FALSE)</f>
        <v>Significantly Rural</v>
      </c>
      <c r="F771" s="224" t="str">
        <f>VLOOKUP($B771,'FRS geographical categories'!$A$2:$C$45,3,FALSE)</f>
        <v>Non-metropolitan</v>
      </c>
      <c r="G771" s="98">
        <v>0</v>
      </c>
    </row>
    <row r="772" spans="1:7" ht="15.5" x14ac:dyDescent="0.35">
      <c r="A772" s="224" t="s">
        <v>54</v>
      </c>
      <c r="B772" s="224" t="s">
        <v>49</v>
      </c>
      <c r="C772" s="224" t="s">
        <v>106</v>
      </c>
      <c r="D772" s="224" t="s">
        <v>257</v>
      </c>
      <c r="E772" s="224" t="str">
        <f>VLOOKUP($B772,'FRS geographical categories'!$A$2:$C$45,2,FALSE)</f>
        <v>Significantly Rural</v>
      </c>
      <c r="F772" s="224" t="str">
        <f>VLOOKUP($B772,'FRS geographical categories'!$A$2:$C$45,3,FALSE)</f>
        <v>Non-metropolitan</v>
      </c>
      <c r="G772" s="98">
        <v>516</v>
      </c>
    </row>
    <row r="773" spans="1:7" ht="15.5" x14ac:dyDescent="0.35">
      <c r="A773" s="224" t="s">
        <v>54</v>
      </c>
      <c r="B773" s="224" t="s">
        <v>49</v>
      </c>
      <c r="C773" s="224" t="s">
        <v>107</v>
      </c>
      <c r="D773" s="224" t="s">
        <v>257</v>
      </c>
      <c r="E773" s="224" t="str">
        <f>VLOOKUP($B773,'FRS geographical categories'!$A$2:$C$45,2,FALSE)</f>
        <v>Significantly Rural</v>
      </c>
      <c r="F773" s="224" t="str">
        <f>VLOOKUP($B773,'FRS geographical categories'!$A$2:$C$45,3,FALSE)</f>
        <v>Non-metropolitan</v>
      </c>
      <c r="G773" s="98">
        <v>0</v>
      </c>
    </row>
    <row r="774" spans="1:7" ht="15.5" x14ac:dyDescent="0.35">
      <c r="A774" s="224" t="s">
        <v>54</v>
      </c>
      <c r="B774" s="224" t="s">
        <v>49</v>
      </c>
      <c r="C774" s="224" t="s">
        <v>108</v>
      </c>
      <c r="D774" s="224" t="s">
        <v>257</v>
      </c>
      <c r="E774" s="224" t="str">
        <f>VLOOKUP($B774,'FRS geographical categories'!$A$2:$C$45,2,FALSE)</f>
        <v>Significantly Rural</v>
      </c>
      <c r="F774" s="224" t="str">
        <f>VLOOKUP($B774,'FRS geographical categories'!$A$2:$C$45,3,FALSE)</f>
        <v>Non-metropolitan</v>
      </c>
      <c r="G774" s="98">
        <v>2144</v>
      </c>
    </row>
    <row r="775" spans="1:7" ht="15.5" x14ac:dyDescent="0.35">
      <c r="A775" s="224" t="s">
        <v>54</v>
      </c>
      <c r="B775" s="224" t="s">
        <v>49</v>
      </c>
      <c r="C775" s="224" t="s">
        <v>109</v>
      </c>
      <c r="D775" s="224" t="s">
        <v>257</v>
      </c>
      <c r="E775" s="224" t="str">
        <f>VLOOKUP($B775,'FRS geographical categories'!$A$2:$C$45,2,FALSE)</f>
        <v>Significantly Rural</v>
      </c>
      <c r="F775" s="224" t="str">
        <f>VLOOKUP($B775,'FRS geographical categories'!$A$2:$C$45,3,FALSE)</f>
        <v>Non-metropolitan</v>
      </c>
      <c r="G775" s="98">
        <v>0</v>
      </c>
    </row>
    <row r="776" spans="1:7" ht="15.5" x14ac:dyDescent="0.35">
      <c r="A776" s="224" t="s">
        <v>54</v>
      </c>
      <c r="B776" s="224" t="s">
        <v>50</v>
      </c>
      <c r="C776" s="224" t="s">
        <v>102</v>
      </c>
      <c r="D776" s="224" t="s">
        <v>257</v>
      </c>
      <c r="E776" s="224" t="str">
        <f>VLOOKUP($B776,'FRS geographical categories'!$A$2:$C$45,2,FALSE)</f>
        <v>Predominantly Urban</v>
      </c>
      <c r="F776" s="224" t="str">
        <f>VLOOKUP($B776,'FRS geographical categories'!$A$2:$C$45,3,FALSE)</f>
        <v>Metropolitan</v>
      </c>
      <c r="G776" s="98">
        <v>0</v>
      </c>
    </row>
    <row r="777" spans="1:7" ht="15.5" x14ac:dyDescent="0.35">
      <c r="A777" s="224" t="s">
        <v>54</v>
      </c>
      <c r="B777" s="224" t="s">
        <v>50</v>
      </c>
      <c r="C777" s="224" t="s">
        <v>105</v>
      </c>
      <c r="D777" s="224" t="s">
        <v>257</v>
      </c>
      <c r="E777" s="224" t="str">
        <f>VLOOKUP($B777,'FRS geographical categories'!$A$2:$C$45,2,FALSE)</f>
        <v>Predominantly Urban</v>
      </c>
      <c r="F777" s="224" t="str">
        <f>VLOOKUP($B777,'FRS geographical categories'!$A$2:$C$45,3,FALSE)</f>
        <v>Metropolitan</v>
      </c>
      <c r="G777" s="98">
        <v>0</v>
      </c>
    </row>
    <row r="778" spans="1:7" ht="15.5" x14ac:dyDescent="0.35">
      <c r="A778" s="224" t="s">
        <v>54</v>
      </c>
      <c r="B778" s="224" t="s">
        <v>50</v>
      </c>
      <c r="C778" s="224" t="s">
        <v>106</v>
      </c>
      <c r="D778" s="224" t="s">
        <v>257</v>
      </c>
      <c r="E778" s="224" t="str">
        <f>VLOOKUP($B778,'FRS geographical categories'!$A$2:$C$45,2,FALSE)</f>
        <v>Predominantly Urban</v>
      </c>
      <c r="F778" s="224" t="str">
        <f>VLOOKUP($B778,'FRS geographical categories'!$A$2:$C$45,3,FALSE)</f>
        <v>Metropolitan</v>
      </c>
      <c r="G778" s="98">
        <v>51293</v>
      </c>
    </row>
    <row r="779" spans="1:7" ht="15.5" x14ac:dyDescent="0.35">
      <c r="A779" s="224" t="s">
        <v>54</v>
      </c>
      <c r="B779" s="224" t="s">
        <v>50</v>
      </c>
      <c r="C779" s="224" t="s">
        <v>107</v>
      </c>
      <c r="D779" s="224" t="s">
        <v>257</v>
      </c>
      <c r="E779" s="224" t="str">
        <f>VLOOKUP($B779,'FRS geographical categories'!$A$2:$C$45,2,FALSE)</f>
        <v>Predominantly Urban</v>
      </c>
      <c r="F779" s="224" t="str">
        <f>VLOOKUP($B779,'FRS geographical categories'!$A$2:$C$45,3,FALSE)</f>
        <v>Metropolitan</v>
      </c>
      <c r="G779" s="98">
        <v>0</v>
      </c>
    </row>
    <row r="780" spans="1:7" ht="15.5" x14ac:dyDescent="0.35">
      <c r="A780" s="224" t="s">
        <v>54</v>
      </c>
      <c r="B780" s="224" t="s">
        <v>50</v>
      </c>
      <c r="C780" s="224" t="s">
        <v>108</v>
      </c>
      <c r="D780" s="224" t="s">
        <v>257</v>
      </c>
      <c r="E780" s="224" t="str">
        <f>VLOOKUP($B780,'FRS geographical categories'!$A$2:$C$45,2,FALSE)</f>
        <v>Predominantly Urban</v>
      </c>
      <c r="F780" s="224" t="str">
        <f>VLOOKUP($B780,'FRS geographical categories'!$A$2:$C$45,3,FALSE)</f>
        <v>Metropolitan</v>
      </c>
      <c r="G780" s="98">
        <v>0</v>
      </c>
    </row>
    <row r="781" spans="1:7" ht="15.5" x14ac:dyDescent="0.35">
      <c r="A781" s="224" t="s">
        <v>54</v>
      </c>
      <c r="B781" s="224" t="s">
        <v>50</v>
      </c>
      <c r="C781" s="224" t="s">
        <v>109</v>
      </c>
      <c r="D781" s="224" t="s">
        <v>257</v>
      </c>
      <c r="E781" s="224" t="str">
        <f>VLOOKUP($B781,'FRS geographical categories'!$A$2:$C$45,2,FALSE)</f>
        <v>Predominantly Urban</v>
      </c>
      <c r="F781" s="224" t="str">
        <f>VLOOKUP($B781,'FRS geographical categories'!$A$2:$C$45,3,FALSE)</f>
        <v>Metropolitan</v>
      </c>
      <c r="G781" s="98">
        <v>0</v>
      </c>
    </row>
    <row r="782" spans="1:7" ht="15.5" x14ac:dyDescent="0.35">
      <c r="A782" s="224" t="s">
        <v>54</v>
      </c>
      <c r="B782" s="224" t="s">
        <v>51</v>
      </c>
      <c r="C782" s="224" t="s">
        <v>102</v>
      </c>
      <c r="D782" s="224" t="s">
        <v>257</v>
      </c>
      <c r="E782" s="224" t="str">
        <f>VLOOKUP($B782,'FRS geographical categories'!$A$2:$C$45,2,FALSE)</f>
        <v>Significantly Rural</v>
      </c>
      <c r="F782" s="224" t="str">
        <f>VLOOKUP($B782,'FRS geographical categories'!$A$2:$C$45,3,FALSE)</f>
        <v>Non-metropolitan</v>
      </c>
      <c r="G782" s="98">
        <v>0</v>
      </c>
    </row>
    <row r="783" spans="1:7" ht="15.5" x14ac:dyDescent="0.35">
      <c r="A783" s="224" t="s">
        <v>54</v>
      </c>
      <c r="B783" s="224" t="s">
        <v>51</v>
      </c>
      <c r="C783" s="224" t="s">
        <v>105</v>
      </c>
      <c r="D783" s="224" t="s">
        <v>257</v>
      </c>
      <c r="E783" s="224" t="str">
        <f>VLOOKUP($B783,'FRS geographical categories'!$A$2:$C$45,2,FALSE)</f>
        <v>Significantly Rural</v>
      </c>
      <c r="F783" s="224" t="str">
        <f>VLOOKUP($B783,'FRS geographical categories'!$A$2:$C$45,3,FALSE)</f>
        <v>Non-metropolitan</v>
      </c>
      <c r="G783" s="98">
        <v>0</v>
      </c>
    </row>
    <row r="784" spans="1:7" ht="15.5" x14ac:dyDescent="0.35">
      <c r="A784" s="224" t="s">
        <v>54</v>
      </c>
      <c r="B784" s="224" t="s">
        <v>51</v>
      </c>
      <c r="C784" s="224" t="s">
        <v>106</v>
      </c>
      <c r="D784" s="224" t="s">
        <v>257</v>
      </c>
      <c r="E784" s="224" t="str">
        <f>VLOOKUP($B784,'FRS geographical categories'!$A$2:$C$45,2,FALSE)</f>
        <v>Significantly Rural</v>
      </c>
      <c r="F784" s="224" t="str">
        <f>VLOOKUP($B784,'FRS geographical categories'!$A$2:$C$45,3,FALSE)</f>
        <v>Non-metropolitan</v>
      </c>
      <c r="G784" s="98">
        <v>1116</v>
      </c>
    </row>
    <row r="785" spans="1:7" ht="15.5" x14ac:dyDescent="0.35">
      <c r="A785" s="224" t="s">
        <v>54</v>
      </c>
      <c r="B785" s="224" t="s">
        <v>51</v>
      </c>
      <c r="C785" s="224" t="s">
        <v>107</v>
      </c>
      <c r="D785" s="224" t="s">
        <v>257</v>
      </c>
      <c r="E785" s="224" t="str">
        <f>VLOOKUP($B785,'FRS geographical categories'!$A$2:$C$45,2,FALSE)</f>
        <v>Significantly Rural</v>
      </c>
      <c r="F785" s="224" t="str">
        <f>VLOOKUP($B785,'FRS geographical categories'!$A$2:$C$45,3,FALSE)</f>
        <v>Non-metropolitan</v>
      </c>
      <c r="G785" s="98">
        <v>0</v>
      </c>
    </row>
    <row r="786" spans="1:7" ht="15.5" x14ac:dyDescent="0.35">
      <c r="A786" s="224" t="s">
        <v>54</v>
      </c>
      <c r="B786" s="224" t="s">
        <v>51</v>
      </c>
      <c r="C786" s="224" t="s">
        <v>108</v>
      </c>
      <c r="D786" s="224" t="s">
        <v>257</v>
      </c>
      <c r="E786" s="224" t="str">
        <f>VLOOKUP($B786,'FRS geographical categories'!$A$2:$C$45,2,FALSE)</f>
        <v>Significantly Rural</v>
      </c>
      <c r="F786" s="224" t="str">
        <f>VLOOKUP($B786,'FRS geographical categories'!$A$2:$C$45,3,FALSE)</f>
        <v>Non-metropolitan</v>
      </c>
      <c r="G786" s="98">
        <v>3181</v>
      </c>
    </row>
    <row r="787" spans="1:7" ht="15.5" x14ac:dyDescent="0.35">
      <c r="A787" s="224" t="s">
        <v>54</v>
      </c>
      <c r="B787" s="224" t="s">
        <v>51</v>
      </c>
      <c r="C787" s="224" t="s">
        <v>109</v>
      </c>
      <c r="D787" s="224" t="s">
        <v>257</v>
      </c>
      <c r="E787" s="224" t="str">
        <f>VLOOKUP($B787,'FRS geographical categories'!$A$2:$C$45,2,FALSE)</f>
        <v>Significantly Rural</v>
      </c>
      <c r="F787" s="224" t="str">
        <f>VLOOKUP($B787,'FRS geographical categories'!$A$2:$C$45,3,FALSE)</f>
        <v>Non-metropolitan</v>
      </c>
      <c r="G787" s="98">
        <v>0</v>
      </c>
    </row>
    <row r="788" spans="1:7" ht="15.5" x14ac:dyDescent="0.35">
      <c r="A788" s="224" t="s">
        <v>54</v>
      </c>
      <c r="B788" s="224" t="s">
        <v>52</v>
      </c>
      <c r="C788" s="224" t="s">
        <v>102</v>
      </c>
      <c r="D788" s="224" t="s">
        <v>257</v>
      </c>
      <c r="E788" s="224" t="str">
        <f>VLOOKUP($B788,'FRS geographical categories'!$A$2:$C$45,2,FALSE)</f>
        <v>Predominantly Urban</v>
      </c>
      <c r="F788" s="224" t="str">
        <f>VLOOKUP($B788,'FRS geographical categories'!$A$2:$C$45,3,FALSE)</f>
        <v>Metropolitan</v>
      </c>
      <c r="G788" s="98">
        <v>0</v>
      </c>
    </row>
    <row r="789" spans="1:7" ht="15.5" x14ac:dyDescent="0.35">
      <c r="A789" s="224" t="s">
        <v>54</v>
      </c>
      <c r="B789" s="224" t="s">
        <v>52</v>
      </c>
      <c r="C789" s="224" t="s">
        <v>105</v>
      </c>
      <c r="D789" s="224" t="s">
        <v>257</v>
      </c>
      <c r="E789" s="224" t="str">
        <f>VLOOKUP($B789,'FRS geographical categories'!$A$2:$C$45,2,FALSE)</f>
        <v>Predominantly Urban</v>
      </c>
      <c r="F789" s="224" t="str">
        <f>VLOOKUP($B789,'FRS geographical categories'!$A$2:$C$45,3,FALSE)</f>
        <v>Metropolitan</v>
      </c>
      <c r="G789" s="98">
        <v>0</v>
      </c>
    </row>
    <row r="790" spans="1:7" ht="15.5" x14ac:dyDescent="0.35">
      <c r="A790" s="224" t="s">
        <v>54</v>
      </c>
      <c r="B790" s="224" t="s">
        <v>52</v>
      </c>
      <c r="C790" s="224" t="s">
        <v>106</v>
      </c>
      <c r="D790" s="224" t="s">
        <v>257</v>
      </c>
      <c r="E790" s="224" t="str">
        <f>VLOOKUP($B790,'FRS geographical categories'!$A$2:$C$45,2,FALSE)</f>
        <v>Predominantly Urban</v>
      </c>
      <c r="F790" s="224" t="str">
        <f>VLOOKUP($B790,'FRS geographical categories'!$A$2:$C$45,3,FALSE)</f>
        <v>Metropolitan</v>
      </c>
      <c r="G790" s="98">
        <v>14336</v>
      </c>
    </row>
    <row r="791" spans="1:7" ht="15.5" x14ac:dyDescent="0.35">
      <c r="A791" s="224" t="s">
        <v>54</v>
      </c>
      <c r="B791" s="224" t="s">
        <v>52</v>
      </c>
      <c r="C791" s="224" t="s">
        <v>107</v>
      </c>
      <c r="D791" s="224" t="s">
        <v>257</v>
      </c>
      <c r="E791" s="224" t="str">
        <f>VLOOKUP($B791,'FRS geographical categories'!$A$2:$C$45,2,FALSE)</f>
        <v>Predominantly Urban</v>
      </c>
      <c r="F791" s="224" t="str">
        <f>VLOOKUP($B791,'FRS geographical categories'!$A$2:$C$45,3,FALSE)</f>
        <v>Metropolitan</v>
      </c>
      <c r="G791" s="98">
        <v>0</v>
      </c>
    </row>
    <row r="792" spans="1:7" ht="15.5" x14ac:dyDescent="0.35">
      <c r="A792" s="224" t="s">
        <v>54</v>
      </c>
      <c r="B792" s="224" t="s">
        <v>52</v>
      </c>
      <c r="C792" s="224" t="s">
        <v>108</v>
      </c>
      <c r="D792" s="224" t="s">
        <v>257</v>
      </c>
      <c r="E792" s="224" t="str">
        <f>VLOOKUP($B792,'FRS geographical categories'!$A$2:$C$45,2,FALSE)</f>
        <v>Predominantly Urban</v>
      </c>
      <c r="F792" s="224" t="str">
        <f>VLOOKUP($B792,'FRS geographical categories'!$A$2:$C$45,3,FALSE)</f>
        <v>Metropolitan</v>
      </c>
      <c r="G792" s="98">
        <v>2170</v>
      </c>
    </row>
    <row r="793" spans="1:7" ht="15.5" x14ac:dyDescent="0.35">
      <c r="A793" s="224" t="s">
        <v>54</v>
      </c>
      <c r="B793" s="224" t="s">
        <v>52</v>
      </c>
      <c r="C793" s="224" t="s">
        <v>109</v>
      </c>
      <c r="D793" s="224" t="s">
        <v>257</v>
      </c>
      <c r="E793" s="224" t="str">
        <f>VLOOKUP($B793,'FRS geographical categories'!$A$2:$C$45,2,FALSE)</f>
        <v>Predominantly Urban</v>
      </c>
      <c r="F793" s="224" t="str">
        <f>VLOOKUP($B793,'FRS geographical categories'!$A$2:$C$45,3,FALSE)</f>
        <v>Metropolitan</v>
      </c>
      <c r="G793" s="98">
        <v>0</v>
      </c>
    </row>
    <row r="794" spans="1:7" ht="15.5" x14ac:dyDescent="0.35">
      <c r="A794" s="224" t="s">
        <v>56</v>
      </c>
      <c r="B794" s="224" t="s">
        <v>8</v>
      </c>
      <c r="C794" s="224" t="s">
        <v>102</v>
      </c>
      <c r="D794" s="224" t="s">
        <v>257</v>
      </c>
      <c r="E794" s="224" t="str">
        <f>VLOOKUP($B794,'FRS geographical categories'!$A$2:$C$45,2,FALSE)</f>
        <v>Predominantly Urban</v>
      </c>
      <c r="F794" s="224" t="str">
        <f>VLOOKUP($B794,'FRS geographical categories'!$A$2:$C$45,3,FALSE)</f>
        <v>Non-metropolitan</v>
      </c>
      <c r="G794" s="98">
        <v>2472</v>
      </c>
    </row>
    <row r="795" spans="1:7" ht="15.5" x14ac:dyDescent="0.35">
      <c r="A795" s="224" t="s">
        <v>56</v>
      </c>
      <c r="B795" s="224" t="s">
        <v>8</v>
      </c>
      <c r="C795" s="224" t="s">
        <v>105</v>
      </c>
      <c r="D795" s="224" t="s">
        <v>257</v>
      </c>
      <c r="E795" s="224" t="str">
        <f>VLOOKUP($B795,'FRS geographical categories'!$A$2:$C$45,2,FALSE)</f>
        <v>Predominantly Urban</v>
      </c>
      <c r="F795" s="224" t="str">
        <f>VLOOKUP($B795,'FRS geographical categories'!$A$2:$C$45,3,FALSE)</f>
        <v>Non-metropolitan</v>
      </c>
      <c r="G795" s="98">
        <v>0</v>
      </c>
    </row>
    <row r="796" spans="1:7" ht="15.5" x14ac:dyDescent="0.35">
      <c r="A796" s="224" t="s">
        <v>56</v>
      </c>
      <c r="B796" s="224" t="s">
        <v>8</v>
      </c>
      <c r="C796" s="224" t="s">
        <v>106</v>
      </c>
      <c r="D796" s="224" t="s">
        <v>257</v>
      </c>
      <c r="E796" s="224" t="str">
        <f>VLOOKUP($B796,'FRS geographical categories'!$A$2:$C$45,2,FALSE)</f>
        <v>Predominantly Urban</v>
      </c>
      <c r="F796" s="224" t="str">
        <f>VLOOKUP($B796,'FRS geographical categories'!$A$2:$C$45,3,FALSE)</f>
        <v>Non-metropolitan</v>
      </c>
      <c r="G796" s="98">
        <v>3184</v>
      </c>
    </row>
    <row r="797" spans="1:7" ht="15.5" x14ac:dyDescent="0.35">
      <c r="A797" s="224" t="s">
        <v>56</v>
      </c>
      <c r="B797" s="224" t="s">
        <v>8</v>
      </c>
      <c r="C797" s="224" t="s">
        <v>107</v>
      </c>
      <c r="D797" s="224" t="s">
        <v>257</v>
      </c>
      <c r="E797" s="224" t="str">
        <f>VLOOKUP($B797,'FRS geographical categories'!$A$2:$C$45,2,FALSE)</f>
        <v>Predominantly Urban</v>
      </c>
      <c r="F797" s="224" t="str">
        <f>VLOOKUP($B797,'FRS geographical categories'!$A$2:$C$45,3,FALSE)</f>
        <v>Non-metropolitan</v>
      </c>
      <c r="G797" s="98">
        <v>0</v>
      </c>
    </row>
    <row r="798" spans="1:7" ht="15.5" x14ac:dyDescent="0.35">
      <c r="A798" s="224" t="s">
        <v>56</v>
      </c>
      <c r="B798" s="224" t="s">
        <v>8</v>
      </c>
      <c r="C798" s="224" t="s">
        <v>108</v>
      </c>
      <c r="D798" s="224" t="s">
        <v>257</v>
      </c>
      <c r="E798" s="224" t="str">
        <f>VLOOKUP($B798,'FRS geographical categories'!$A$2:$C$45,2,FALSE)</f>
        <v>Predominantly Urban</v>
      </c>
      <c r="F798" s="224" t="str">
        <f>VLOOKUP($B798,'FRS geographical categories'!$A$2:$C$45,3,FALSE)</f>
        <v>Non-metropolitan</v>
      </c>
      <c r="G798" s="98">
        <v>2</v>
      </c>
    </row>
    <row r="799" spans="1:7" ht="15.5" x14ac:dyDescent="0.35">
      <c r="A799" s="224" t="s">
        <v>56</v>
      </c>
      <c r="B799" s="224" t="s">
        <v>8</v>
      </c>
      <c r="C799" s="224" t="s">
        <v>109</v>
      </c>
      <c r="D799" s="224" t="s">
        <v>257</v>
      </c>
      <c r="E799" s="224" t="str">
        <f>VLOOKUP($B799,'FRS geographical categories'!$A$2:$C$45,2,FALSE)</f>
        <v>Predominantly Urban</v>
      </c>
      <c r="F799" s="224" t="str">
        <f>VLOOKUP($B799,'FRS geographical categories'!$A$2:$C$45,3,FALSE)</f>
        <v>Non-metropolitan</v>
      </c>
      <c r="G799" s="98">
        <v>0</v>
      </c>
    </row>
    <row r="800" spans="1:7" ht="15.5" x14ac:dyDescent="0.35">
      <c r="A800" s="224" t="s">
        <v>56</v>
      </c>
      <c r="B800" s="224" t="s">
        <v>11</v>
      </c>
      <c r="C800" s="224" t="s">
        <v>102</v>
      </c>
      <c r="D800" s="224" t="s">
        <v>257</v>
      </c>
      <c r="E800" s="224" t="str">
        <f>VLOOKUP($B800,'FRS geographical categories'!$A$2:$C$45,2,FALSE)</f>
        <v>Significantly Rural</v>
      </c>
      <c r="F800" s="224" t="str">
        <f>VLOOKUP($B800,'FRS geographical categories'!$A$2:$C$45,3,FALSE)</f>
        <v>Non-metropolitan</v>
      </c>
      <c r="G800" s="98">
        <v>0</v>
      </c>
    </row>
    <row r="801" spans="1:7" ht="15.5" x14ac:dyDescent="0.35">
      <c r="A801" s="224" t="s">
        <v>56</v>
      </c>
      <c r="B801" s="224" t="s">
        <v>11</v>
      </c>
      <c r="C801" s="224" t="s">
        <v>105</v>
      </c>
      <c r="D801" s="224" t="s">
        <v>257</v>
      </c>
      <c r="E801" s="224" t="str">
        <f>VLOOKUP($B801,'FRS geographical categories'!$A$2:$C$45,2,FALSE)</f>
        <v>Significantly Rural</v>
      </c>
      <c r="F801" s="224" t="str">
        <f>VLOOKUP($B801,'FRS geographical categories'!$A$2:$C$45,3,FALSE)</f>
        <v>Non-metropolitan</v>
      </c>
      <c r="G801" s="98">
        <v>0</v>
      </c>
    </row>
    <row r="802" spans="1:7" ht="15.5" x14ac:dyDescent="0.35">
      <c r="A802" s="224" t="s">
        <v>56</v>
      </c>
      <c r="B802" s="224" t="s">
        <v>11</v>
      </c>
      <c r="C802" s="224" t="s">
        <v>106</v>
      </c>
      <c r="D802" s="224" t="s">
        <v>257</v>
      </c>
      <c r="E802" s="224" t="str">
        <f>VLOOKUP($B802,'FRS geographical categories'!$A$2:$C$45,2,FALSE)</f>
        <v>Significantly Rural</v>
      </c>
      <c r="F802" s="224" t="str">
        <f>VLOOKUP($B802,'FRS geographical categories'!$A$2:$C$45,3,FALSE)</f>
        <v>Non-metropolitan</v>
      </c>
      <c r="G802" s="98">
        <v>12798</v>
      </c>
    </row>
    <row r="803" spans="1:7" ht="15.5" x14ac:dyDescent="0.35">
      <c r="A803" s="224" t="s">
        <v>56</v>
      </c>
      <c r="B803" s="224" t="s">
        <v>11</v>
      </c>
      <c r="C803" s="224" t="s">
        <v>107</v>
      </c>
      <c r="D803" s="224" t="s">
        <v>257</v>
      </c>
      <c r="E803" s="224" t="str">
        <f>VLOOKUP($B803,'FRS geographical categories'!$A$2:$C$45,2,FALSE)</f>
        <v>Significantly Rural</v>
      </c>
      <c r="F803" s="224" t="str">
        <f>VLOOKUP($B803,'FRS geographical categories'!$A$2:$C$45,3,FALSE)</f>
        <v>Non-metropolitan</v>
      </c>
      <c r="G803" s="98">
        <v>0</v>
      </c>
    </row>
    <row r="804" spans="1:7" ht="15.5" x14ac:dyDescent="0.35">
      <c r="A804" s="224" t="s">
        <v>56</v>
      </c>
      <c r="B804" s="224" t="s">
        <v>11</v>
      </c>
      <c r="C804" s="224" t="s">
        <v>108</v>
      </c>
      <c r="D804" s="224" t="s">
        <v>257</v>
      </c>
      <c r="E804" s="224" t="str">
        <f>VLOOKUP($B804,'FRS geographical categories'!$A$2:$C$45,2,FALSE)</f>
        <v>Significantly Rural</v>
      </c>
      <c r="F804" s="224" t="str">
        <f>VLOOKUP($B804,'FRS geographical categories'!$A$2:$C$45,3,FALSE)</f>
        <v>Non-metropolitan</v>
      </c>
      <c r="G804" s="98">
        <v>1563</v>
      </c>
    </row>
    <row r="805" spans="1:7" ht="15.5" x14ac:dyDescent="0.35">
      <c r="A805" s="224" t="s">
        <v>56</v>
      </c>
      <c r="B805" s="224" t="s">
        <v>11</v>
      </c>
      <c r="C805" s="224" t="s">
        <v>109</v>
      </c>
      <c r="D805" s="224" t="s">
        <v>257</v>
      </c>
      <c r="E805" s="224" t="str">
        <f>VLOOKUP($B805,'FRS geographical categories'!$A$2:$C$45,2,FALSE)</f>
        <v>Significantly Rural</v>
      </c>
      <c r="F805" s="224" t="str">
        <f>VLOOKUP($B805,'FRS geographical categories'!$A$2:$C$45,3,FALSE)</f>
        <v>Non-metropolitan</v>
      </c>
      <c r="G805" s="98">
        <v>1018</v>
      </c>
    </row>
    <row r="806" spans="1:7" ht="15.5" x14ac:dyDescent="0.35">
      <c r="A806" s="224" t="s">
        <v>56</v>
      </c>
      <c r="B806" s="224" t="s">
        <v>12</v>
      </c>
      <c r="C806" s="224" t="s">
        <v>102</v>
      </c>
      <c r="D806" s="224" t="s">
        <v>257</v>
      </c>
      <c r="E806" s="224" t="str">
        <f>VLOOKUP($B806,'FRS geographical categories'!$A$2:$C$45,2,FALSE)</f>
        <v>Predominantly Urban</v>
      </c>
      <c r="F806" s="224" t="str">
        <f>VLOOKUP($B806,'FRS geographical categories'!$A$2:$C$45,3,FALSE)</f>
        <v>Non-metropolitan</v>
      </c>
      <c r="G806" s="98">
        <v>0</v>
      </c>
    </row>
    <row r="807" spans="1:7" ht="15.5" x14ac:dyDescent="0.35">
      <c r="A807" s="224" t="s">
        <v>56</v>
      </c>
      <c r="B807" s="224" t="s">
        <v>12</v>
      </c>
      <c r="C807" s="224" t="s">
        <v>105</v>
      </c>
      <c r="D807" s="224" t="s">
        <v>257</v>
      </c>
      <c r="E807" s="224" t="str">
        <f>VLOOKUP($B807,'FRS geographical categories'!$A$2:$C$45,2,FALSE)</f>
        <v>Predominantly Urban</v>
      </c>
      <c r="F807" s="224" t="str">
        <f>VLOOKUP($B807,'FRS geographical categories'!$A$2:$C$45,3,FALSE)</f>
        <v>Non-metropolitan</v>
      </c>
      <c r="G807" s="98">
        <v>0</v>
      </c>
    </row>
    <row r="808" spans="1:7" ht="15.5" x14ac:dyDescent="0.35">
      <c r="A808" s="224" t="s">
        <v>56</v>
      </c>
      <c r="B808" s="224" t="s">
        <v>12</v>
      </c>
      <c r="C808" s="224" t="s">
        <v>106</v>
      </c>
      <c r="D808" s="224" t="s">
        <v>257</v>
      </c>
      <c r="E808" s="224" t="str">
        <f>VLOOKUP($B808,'FRS geographical categories'!$A$2:$C$45,2,FALSE)</f>
        <v>Predominantly Urban</v>
      </c>
      <c r="F808" s="224" t="str">
        <f>VLOOKUP($B808,'FRS geographical categories'!$A$2:$C$45,3,FALSE)</f>
        <v>Non-metropolitan</v>
      </c>
      <c r="G808" s="98">
        <v>9404</v>
      </c>
    </row>
    <row r="809" spans="1:7" ht="15.5" x14ac:dyDescent="0.35">
      <c r="A809" s="224" t="s">
        <v>56</v>
      </c>
      <c r="B809" s="224" t="s">
        <v>12</v>
      </c>
      <c r="C809" s="224" t="s">
        <v>107</v>
      </c>
      <c r="D809" s="224" t="s">
        <v>257</v>
      </c>
      <c r="E809" s="224" t="str">
        <f>VLOOKUP($B809,'FRS geographical categories'!$A$2:$C$45,2,FALSE)</f>
        <v>Predominantly Urban</v>
      </c>
      <c r="F809" s="224" t="str">
        <f>VLOOKUP($B809,'FRS geographical categories'!$A$2:$C$45,3,FALSE)</f>
        <v>Non-metropolitan</v>
      </c>
      <c r="G809" s="98">
        <v>22</v>
      </c>
    </row>
    <row r="810" spans="1:7" ht="15.5" x14ac:dyDescent="0.35">
      <c r="A810" s="224" t="s">
        <v>56</v>
      </c>
      <c r="B810" s="224" t="s">
        <v>12</v>
      </c>
      <c r="C810" s="224" t="s">
        <v>108</v>
      </c>
      <c r="D810" s="224" t="s">
        <v>257</v>
      </c>
      <c r="E810" s="224" t="str">
        <f>VLOOKUP($B810,'FRS geographical categories'!$A$2:$C$45,2,FALSE)</f>
        <v>Predominantly Urban</v>
      </c>
      <c r="F810" s="224" t="str">
        <f>VLOOKUP($B810,'FRS geographical categories'!$A$2:$C$45,3,FALSE)</f>
        <v>Non-metropolitan</v>
      </c>
      <c r="G810" s="98">
        <v>2686</v>
      </c>
    </row>
    <row r="811" spans="1:7" ht="15.5" x14ac:dyDescent="0.35">
      <c r="A811" s="224" t="s">
        <v>56</v>
      </c>
      <c r="B811" s="224" t="s">
        <v>12</v>
      </c>
      <c r="C811" s="224" t="s">
        <v>109</v>
      </c>
      <c r="D811" s="224" t="s">
        <v>257</v>
      </c>
      <c r="E811" s="224" t="str">
        <f>VLOOKUP($B811,'FRS geographical categories'!$A$2:$C$45,2,FALSE)</f>
        <v>Predominantly Urban</v>
      </c>
      <c r="F811" s="224" t="str">
        <f>VLOOKUP($B811,'FRS geographical categories'!$A$2:$C$45,3,FALSE)</f>
        <v>Non-metropolitan</v>
      </c>
      <c r="G811" s="98">
        <v>0</v>
      </c>
    </row>
    <row r="812" spans="1:7" ht="15.5" x14ac:dyDescent="0.35">
      <c r="A812" s="224" t="s">
        <v>56</v>
      </c>
      <c r="B812" s="224" t="s">
        <v>13</v>
      </c>
      <c r="C812" s="224" t="s">
        <v>102</v>
      </c>
      <c r="D812" s="224" t="s">
        <v>257</v>
      </c>
      <c r="E812" s="224" t="str">
        <f>VLOOKUP($B812,'FRS geographical categories'!$A$2:$C$45,2,FALSE)</f>
        <v>Significantly Rural</v>
      </c>
      <c r="F812" s="224" t="str">
        <f>VLOOKUP($B812,'FRS geographical categories'!$A$2:$C$45,3,FALSE)</f>
        <v>Non-metropolitan</v>
      </c>
      <c r="G812" s="98">
        <v>0</v>
      </c>
    </row>
    <row r="813" spans="1:7" ht="15.5" x14ac:dyDescent="0.35">
      <c r="A813" s="224" t="s">
        <v>56</v>
      </c>
      <c r="B813" s="224" t="s">
        <v>13</v>
      </c>
      <c r="C813" s="224" t="s">
        <v>105</v>
      </c>
      <c r="D813" s="224" t="s">
        <v>257</v>
      </c>
      <c r="E813" s="224" t="str">
        <f>VLOOKUP($B813,'FRS geographical categories'!$A$2:$C$45,2,FALSE)</f>
        <v>Significantly Rural</v>
      </c>
      <c r="F813" s="224" t="str">
        <f>VLOOKUP($B813,'FRS geographical categories'!$A$2:$C$45,3,FALSE)</f>
        <v>Non-metropolitan</v>
      </c>
      <c r="G813" s="98">
        <v>0</v>
      </c>
    </row>
    <row r="814" spans="1:7" ht="15.5" x14ac:dyDescent="0.35">
      <c r="A814" s="224" t="s">
        <v>56</v>
      </c>
      <c r="B814" s="224" t="s">
        <v>13</v>
      </c>
      <c r="C814" s="224" t="s">
        <v>106</v>
      </c>
      <c r="D814" s="224" t="s">
        <v>257</v>
      </c>
      <c r="E814" s="224" t="str">
        <f>VLOOKUP($B814,'FRS geographical categories'!$A$2:$C$45,2,FALSE)</f>
        <v>Significantly Rural</v>
      </c>
      <c r="F814" s="224" t="str">
        <f>VLOOKUP($B814,'FRS geographical categories'!$A$2:$C$45,3,FALSE)</f>
        <v>Non-metropolitan</v>
      </c>
      <c r="G814" s="98">
        <v>2723</v>
      </c>
    </row>
    <row r="815" spans="1:7" ht="15.5" x14ac:dyDescent="0.35">
      <c r="A815" s="224" t="s">
        <v>56</v>
      </c>
      <c r="B815" s="224" t="s">
        <v>13</v>
      </c>
      <c r="C815" s="224" t="s">
        <v>107</v>
      </c>
      <c r="D815" s="224" t="s">
        <v>257</v>
      </c>
      <c r="E815" s="224" t="str">
        <f>VLOOKUP($B815,'FRS geographical categories'!$A$2:$C$45,2,FALSE)</f>
        <v>Significantly Rural</v>
      </c>
      <c r="F815" s="224" t="str">
        <f>VLOOKUP($B815,'FRS geographical categories'!$A$2:$C$45,3,FALSE)</f>
        <v>Non-metropolitan</v>
      </c>
      <c r="G815" s="98">
        <v>0</v>
      </c>
    </row>
    <row r="816" spans="1:7" ht="15.5" x14ac:dyDescent="0.35">
      <c r="A816" s="224" t="s">
        <v>56</v>
      </c>
      <c r="B816" s="224" t="s">
        <v>13</v>
      </c>
      <c r="C816" s="224" t="s">
        <v>108</v>
      </c>
      <c r="D816" s="224" t="s">
        <v>257</v>
      </c>
      <c r="E816" s="224" t="str">
        <f>VLOOKUP($B816,'FRS geographical categories'!$A$2:$C$45,2,FALSE)</f>
        <v>Significantly Rural</v>
      </c>
      <c r="F816" s="224" t="str">
        <f>VLOOKUP($B816,'FRS geographical categories'!$A$2:$C$45,3,FALSE)</f>
        <v>Non-metropolitan</v>
      </c>
      <c r="G816" s="98">
        <v>395</v>
      </c>
    </row>
    <row r="817" spans="1:7" ht="15.5" x14ac:dyDescent="0.35">
      <c r="A817" s="224" t="s">
        <v>56</v>
      </c>
      <c r="B817" s="224" t="s">
        <v>13</v>
      </c>
      <c r="C817" s="224" t="s">
        <v>109</v>
      </c>
      <c r="D817" s="224" t="s">
        <v>257</v>
      </c>
      <c r="E817" s="224" t="str">
        <f>VLOOKUP($B817,'FRS geographical categories'!$A$2:$C$45,2,FALSE)</f>
        <v>Significantly Rural</v>
      </c>
      <c r="F817" s="224" t="str">
        <f>VLOOKUP($B817,'FRS geographical categories'!$A$2:$C$45,3,FALSE)</f>
        <v>Non-metropolitan</v>
      </c>
      <c r="G817" s="98">
        <v>0</v>
      </c>
    </row>
    <row r="818" spans="1:7" ht="15.5" x14ac:dyDescent="0.35">
      <c r="A818" s="224" t="s">
        <v>56</v>
      </c>
      <c r="B818" s="224" t="s">
        <v>14</v>
      </c>
      <c r="C818" s="224" t="s">
        <v>102</v>
      </c>
      <c r="D818" s="224" t="s">
        <v>257</v>
      </c>
      <c r="E818" s="224" t="str">
        <f>VLOOKUP($B818,'FRS geographical categories'!$A$2:$C$45,2,FALSE)</f>
        <v>Predominantly Rural</v>
      </c>
      <c r="F818" s="224" t="str">
        <f>VLOOKUP($B818,'FRS geographical categories'!$A$2:$C$45,3,FALSE)</f>
        <v>Non-metropolitan</v>
      </c>
      <c r="G818" s="98">
        <v>0</v>
      </c>
    </row>
    <row r="819" spans="1:7" ht="15.5" x14ac:dyDescent="0.35">
      <c r="A819" s="224" t="s">
        <v>56</v>
      </c>
      <c r="B819" s="224" t="s">
        <v>14</v>
      </c>
      <c r="C819" s="224" t="s">
        <v>105</v>
      </c>
      <c r="D819" s="224" t="s">
        <v>257</v>
      </c>
      <c r="E819" s="224" t="str">
        <f>VLOOKUP($B819,'FRS geographical categories'!$A$2:$C$45,2,FALSE)</f>
        <v>Predominantly Rural</v>
      </c>
      <c r="F819" s="224" t="str">
        <f>VLOOKUP($B819,'FRS geographical categories'!$A$2:$C$45,3,FALSE)</f>
        <v>Non-metropolitan</v>
      </c>
      <c r="G819" s="98">
        <v>0</v>
      </c>
    </row>
    <row r="820" spans="1:7" ht="15.5" x14ac:dyDescent="0.35">
      <c r="A820" s="224" t="s">
        <v>56</v>
      </c>
      <c r="B820" s="224" t="s">
        <v>14</v>
      </c>
      <c r="C820" s="224" t="s">
        <v>106</v>
      </c>
      <c r="D820" s="224" t="s">
        <v>257</v>
      </c>
      <c r="E820" s="224" t="str">
        <f>VLOOKUP($B820,'FRS geographical categories'!$A$2:$C$45,2,FALSE)</f>
        <v>Predominantly Rural</v>
      </c>
      <c r="F820" s="224" t="str">
        <f>VLOOKUP($B820,'FRS geographical categories'!$A$2:$C$45,3,FALSE)</f>
        <v>Non-metropolitan</v>
      </c>
      <c r="G820" s="98">
        <v>6222</v>
      </c>
    </row>
    <row r="821" spans="1:7" ht="15.5" x14ac:dyDescent="0.35">
      <c r="A821" s="224" t="s">
        <v>56</v>
      </c>
      <c r="B821" s="224" t="s">
        <v>14</v>
      </c>
      <c r="C821" s="224" t="s">
        <v>107</v>
      </c>
      <c r="D821" s="224" t="s">
        <v>257</v>
      </c>
      <c r="E821" s="224" t="str">
        <f>VLOOKUP($B821,'FRS geographical categories'!$A$2:$C$45,2,FALSE)</f>
        <v>Predominantly Rural</v>
      </c>
      <c r="F821" s="224" t="str">
        <f>VLOOKUP($B821,'FRS geographical categories'!$A$2:$C$45,3,FALSE)</f>
        <v>Non-metropolitan</v>
      </c>
      <c r="G821" s="98">
        <v>0</v>
      </c>
    </row>
    <row r="822" spans="1:7" ht="15.5" x14ac:dyDescent="0.35">
      <c r="A822" s="224" t="s">
        <v>56</v>
      </c>
      <c r="B822" s="224" t="s">
        <v>14</v>
      </c>
      <c r="C822" s="224" t="s">
        <v>108</v>
      </c>
      <c r="D822" s="224" t="s">
        <v>257</v>
      </c>
      <c r="E822" s="224" t="str">
        <f>VLOOKUP($B822,'FRS geographical categories'!$A$2:$C$45,2,FALSE)</f>
        <v>Predominantly Rural</v>
      </c>
      <c r="F822" s="224" t="str">
        <f>VLOOKUP($B822,'FRS geographical categories'!$A$2:$C$45,3,FALSE)</f>
        <v>Non-metropolitan</v>
      </c>
      <c r="G822" s="98">
        <v>2455</v>
      </c>
    </row>
    <row r="823" spans="1:7" ht="15.5" x14ac:dyDescent="0.35">
      <c r="A823" s="224" t="s">
        <v>56</v>
      </c>
      <c r="B823" s="224" t="s">
        <v>14</v>
      </c>
      <c r="C823" s="224" t="s">
        <v>109</v>
      </c>
      <c r="D823" s="224" t="s">
        <v>257</v>
      </c>
      <c r="E823" s="224" t="str">
        <f>VLOOKUP($B823,'FRS geographical categories'!$A$2:$C$45,2,FALSE)</f>
        <v>Predominantly Rural</v>
      </c>
      <c r="F823" s="224" t="str">
        <f>VLOOKUP($B823,'FRS geographical categories'!$A$2:$C$45,3,FALSE)</f>
        <v>Non-metropolitan</v>
      </c>
      <c r="G823" s="98">
        <v>468</v>
      </c>
    </row>
    <row r="824" spans="1:7" ht="15.5" x14ac:dyDescent="0.35">
      <c r="A824" s="224" t="s">
        <v>56</v>
      </c>
      <c r="B824" s="224" t="s">
        <v>15</v>
      </c>
      <c r="C824" s="224" t="s">
        <v>102</v>
      </c>
      <c r="D824" s="224" t="s">
        <v>257</v>
      </c>
      <c r="E824" s="224" t="str">
        <f>VLOOKUP($B824,'FRS geographical categories'!$A$2:$C$45,2,FALSE)</f>
        <v>Significantly Rural</v>
      </c>
      <c r="F824" s="224" t="str">
        <f>VLOOKUP($B824,'FRS geographical categories'!$A$2:$C$45,3,FALSE)</f>
        <v>Non-metropolitan</v>
      </c>
      <c r="G824" s="98">
        <v>0</v>
      </c>
    </row>
    <row r="825" spans="1:7" ht="15.5" x14ac:dyDescent="0.35">
      <c r="A825" s="224" t="s">
        <v>56</v>
      </c>
      <c r="B825" s="224" t="s">
        <v>15</v>
      </c>
      <c r="C825" s="224" t="s">
        <v>105</v>
      </c>
      <c r="D825" s="224" t="s">
        <v>257</v>
      </c>
      <c r="E825" s="224" t="str">
        <f>VLOOKUP($B825,'FRS geographical categories'!$A$2:$C$45,2,FALSE)</f>
        <v>Significantly Rural</v>
      </c>
      <c r="F825" s="224" t="str">
        <f>VLOOKUP($B825,'FRS geographical categories'!$A$2:$C$45,3,FALSE)</f>
        <v>Non-metropolitan</v>
      </c>
      <c r="G825" s="98">
        <v>0</v>
      </c>
    </row>
    <row r="826" spans="1:7" ht="15.5" x14ac:dyDescent="0.35">
      <c r="A826" s="224" t="s">
        <v>56</v>
      </c>
      <c r="B826" s="224" t="s">
        <v>15</v>
      </c>
      <c r="C826" s="224" t="s">
        <v>106</v>
      </c>
      <c r="D826" s="224" t="s">
        <v>257</v>
      </c>
      <c r="E826" s="224" t="str">
        <f>VLOOKUP($B826,'FRS geographical categories'!$A$2:$C$45,2,FALSE)</f>
        <v>Significantly Rural</v>
      </c>
      <c r="F826" s="224" t="str">
        <f>VLOOKUP($B826,'FRS geographical categories'!$A$2:$C$45,3,FALSE)</f>
        <v>Non-metropolitan</v>
      </c>
      <c r="G826" s="98">
        <v>7651</v>
      </c>
    </row>
    <row r="827" spans="1:7" ht="15.5" x14ac:dyDescent="0.35">
      <c r="A827" s="224" t="s">
        <v>56</v>
      </c>
      <c r="B827" s="224" t="s">
        <v>15</v>
      </c>
      <c r="C827" s="224" t="s">
        <v>107</v>
      </c>
      <c r="D827" s="224" t="s">
        <v>257</v>
      </c>
      <c r="E827" s="224" t="str">
        <f>VLOOKUP($B827,'FRS geographical categories'!$A$2:$C$45,2,FALSE)</f>
        <v>Significantly Rural</v>
      </c>
      <c r="F827" s="224" t="str">
        <f>VLOOKUP($B827,'FRS geographical categories'!$A$2:$C$45,3,FALSE)</f>
        <v>Non-metropolitan</v>
      </c>
      <c r="G827" s="98">
        <v>0</v>
      </c>
    </row>
    <row r="828" spans="1:7" ht="15.5" x14ac:dyDescent="0.35">
      <c r="A828" s="224" t="s">
        <v>56</v>
      </c>
      <c r="B828" s="224" t="s">
        <v>15</v>
      </c>
      <c r="C828" s="224" t="s">
        <v>108</v>
      </c>
      <c r="D828" s="224" t="s">
        <v>257</v>
      </c>
      <c r="E828" s="224" t="str">
        <f>VLOOKUP($B828,'FRS geographical categories'!$A$2:$C$45,2,FALSE)</f>
        <v>Significantly Rural</v>
      </c>
      <c r="F828" s="224" t="str">
        <f>VLOOKUP($B828,'FRS geographical categories'!$A$2:$C$45,3,FALSE)</f>
        <v>Non-metropolitan</v>
      </c>
      <c r="G828" s="98">
        <v>8028</v>
      </c>
    </row>
    <row r="829" spans="1:7" ht="15.5" x14ac:dyDescent="0.35">
      <c r="A829" s="224" t="s">
        <v>56</v>
      </c>
      <c r="B829" s="224" t="s">
        <v>15</v>
      </c>
      <c r="C829" s="224" t="s">
        <v>109</v>
      </c>
      <c r="D829" s="224" t="s">
        <v>257</v>
      </c>
      <c r="E829" s="224" t="str">
        <f>VLOOKUP($B829,'FRS geographical categories'!$A$2:$C$45,2,FALSE)</f>
        <v>Significantly Rural</v>
      </c>
      <c r="F829" s="224" t="str">
        <f>VLOOKUP($B829,'FRS geographical categories'!$A$2:$C$45,3,FALSE)</f>
        <v>Non-metropolitan</v>
      </c>
      <c r="G829" s="98">
        <v>0</v>
      </c>
    </row>
    <row r="830" spans="1:7" ht="15.5" x14ac:dyDescent="0.35">
      <c r="A830" s="224" t="s">
        <v>56</v>
      </c>
      <c r="B830" s="224" t="s">
        <v>16</v>
      </c>
      <c r="C830" s="224" t="s">
        <v>102</v>
      </c>
      <c r="D830" s="224" t="s">
        <v>257</v>
      </c>
      <c r="E830" s="224" t="str">
        <f>VLOOKUP($B830,'FRS geographical categories'!$A$2:$C$45,2,FALSE)</f>
        <v>Predominantly Urban</v>
      </c>
      <c r="F830" s="224" t="str">
        <f>VLOOKUP($B830,'FRS geographical categories'!$A$2:$C$45,3,FALSE)</f>
        <v>Non-metropolitan</v>
      </c>
      <c r="G830" s="98">
        <v>3048</v>
      </c>
    </row>
    <row r="831" spans="1:7" ht="15.5" x14ac:dyDescent="0.35">
      <c r="A831" s="224" t="s">
        <v>56</v>
      </c>
      <c r="B831" s="224" t="s">
        <v>16</v>
      </c>
      <c r="C831" s="224" t="s">
        <v>105</v>
      </c>
      <c r="D831" s="224" t="s">
        <v>257</v>
      </c>
      <c r="E831" s="224" t="str">
        <f>VLOOKUP($B831,'FRS geographical categories'!$A$2:$C$45,2,FALSE)</f>
        <v>Predominantly Urban</v>
      </c>
      <c r="F831" s="224" t="str">
        <f>VLOOKUP($B831,'FRS geographical categories'!$A$2:$C$45,3,FALSE)</f>
        <v>Non-metropolitan</v>
      </c>
      <c r="G831" s="98">
        <v>0</v>
      </c>
    </row>
    <row r="832" spans="1:7" ht="15.5" x14ac:dyDescent="0.35">
      <c r="A832" s="224" t="s">
        <v>56</v>
      </c>
      <c r="B832" s="224" t="s">
        <v>16</v>
      </c>
      <c r="C832" s="224" t="s">
        <v>106</v>
      </c>
      <c r="D832" s="224" t="s">
        <v>257</v>
      </c>
      <c r="E832" s="224" t="str">
        <f>VLOOKUP($B832,'FRS geographical categories'!$A$2:$C$45,2,FALSE)</f>
        <v>Predominantly Urban</v>
      </c>
      <c r="F832" s="224" t="str">
        <f>VLOOKUP($B832,'FRS geographical categories'!$A$2:$C$45,3,FALSE)</f>
        <v>Non-metropolitan</v>
      </c>
      <c r="G832" s="98">
        <v>32516</v>
      </c>
    </row>
    <row r="833" spans="1:7" ht="15.5" x14ac:dyDescent="0.35">
      <c r="A833" s="224" t="s">
        <v>56</v>
      </c>
      <c r="B833" s="224" t="s">
        <v>16</v>
      </c>
      <c r="C833" s="224" t="s">
        <v>107</v>
      </c>
      <c r="D833" s="224" t="s">
        <v>257</v>
      </c>
      <c r="E833" s="224" t="str">
        <f>VLOOKUP($B833,'FRS geographical categories'!$A$2:$C$45,2,FALSE)</f>
        <v>Predominantly Urban</v>
      </c>
      <c r="F833" s="224" t="str">
        <f>VLOOKUP($B833,'FRS geographical categories'!$A$2:$C$45,3,FALSE)</f>
        <v>Non-metropolitan</v>
      </c>
      <c r="G833" s="98">
        <v>0</v>
      </c>
    </row>
    <row r="834" spans="1:7" ht="15.5" x14ac:dyDescent="0.35">
      <c r="A834" s="224" t="s">
        <v>56</v>
      </c>
      <c r="B834" s="224" t="s">
        <v>16</v>
      </c>
      <c r="C834" s="224" t="s">
        <v>108</v>
      </c>
      <c r="D834" s="224" t="s">
        <v>257</v>
      </c>
      <c r="E834" s="224" t="str">
        <f>VLOOKUP($B834,'FRS geographical categories'!$A$2:$C$45,2,FALSE)</f>
        <v>Predominantly Urban</v>
      </c>
      <c r="F834" s="224" t="str">
        <f>VLOOKUP($B834,'FRS geographical categories'!$A$2:$C$45,3,FALSE)</f>
        <v>Non-metropolitan</v>
      </c>
      <c r="G834" s="98">
        <v>2988</v>
      </c>
    </row>
    <row r="835" spans="1:7" ht="15.5" x14ac:dyDescent="0.35">
      <c r="A835" s="224" t="s">
        <v>56</v>
      </c>
      <c r="B835" s="224" t="s">
        <v>16</v>
      </c>
      <c r="C835" s="224" t="s">
        <v>109</v>
      </c>
      <c r="D835" s="224" t="s">
        <v>257</v>
      </c>
      <c r="E835" s="224" t="str">
        <f>VLOOKUP($B835,'FRS geographical categories'!$A$2:$C$45,2,FALSE)</f>
        <v>Predominantly Urban</v>
      </c>
      <c r="F835" s="224" t="str">
        <f>VLOOKUP($B835,'FRS geographical categories'!$A$2:$C$45,3,FALSE)</f>
        <v>Non-metropolitan</v>
      </c>
      <c r="G835" s="98">
        <v>0</v>
      </c>
    </row>
    <row r="836" spans="1:7" ht="15.5" x14ac:dyDescent="0.35">
      <c r="A836" s="224" t="s">
        <v>56</v>
      </c>
      <c r="B836" s="224" t="s">
        <v>17</v>
      </c>
      <c r="C836" s="224" t="s">
        <v>102</v>
      </c>
      <c r="D836" s="224" t="s">
        <v>257</v>
      </c>
      <c r="E836" s="224" t="str">
        <f>VLOOKUP($B836,'FRS geographical categories'!$A$2:$C$45,2,FALSE)</f>
        <v>Predominantly Rural</v>
      </c>
      <c r="F836" s="224" t="str">
        <f>VLOOKUP($B836,'FRS geographical categories'!$A$2:$C$45,3,FALSE)</f>
        <v>Non-metropolitan</v>
      </c>
      <c r="G836" s="98">
        <v>0</v>
      </c>
    </row>
    <row r="837" spans="1:7" ht="15.5" x14ac:dyDescent="0.35">
      <c r="A837" s="224" t="s">
        <v>56</v>
      </c>
      <c r="B837" s="224" t="s">
        <v>17</v>
      </c>
      <c r="C837" s="224" t="s">
        <v>105</v>
      </c>
      <c r="D837" s="224" t="s">
        <v>257</v>
      </c>
      <c r="E837" s="224" t="str">
        <f>VLOOKUP($B837,'FRS geographical categories'!$A$2:$C$45,2,FALSE)</f>
        <v>Predominantly Rural</v>
      </c>
      <c r="F837" s="224" t="str">
        <f>VLOOKUP($B837,'FRS geographical categories'!$A$2:$C$45,3,FALSE)</f>
        <v>Non-metropolitan</v>
      </c>
      <c r="G837" s="98">
        <v>0</v>
      </c>
    </row>
    <row r="838" spans="1:7" ht="15.5" x14ac:dyDescent="0.35">
      <c r="A838" s="224" t="s">
        <v>56</v>
      </c>
      <c r="B838" s="224" t="s">
        <v>17</v>
      </c>
      <c r="C838" s="224" t="s">
        <v>106</v>
      </c>
      <c r="D838" s="224" t="s">
        <v>257</v>
      </c>
      <c r="E838" s="224" t="str">
        <f>VLOOKUP($B838,'FRS geographical categories'!$A$2:$C$45,2,FALSE)</f>
        <v>Predominantly Rural</v>
      </c>
      <c r="F838" s="224" t="str">
        <f>VLOOKUP($B838,'FRS geographical categories'!$A$2:$C$45,3,FALSE)</f>
        <v>Non-metropolitan</v>
      </c>
      <c r="G838" s="98">
        <v>3671</v>
      </c>
    </row>
    <row r="839" spans="1:7" ht="15.5" x14ac:dyDescent="0.35">
      <c r="A839" s="224" t="s">
        <v>56</v>
      </c>
      <c r="B839" s="224" t="s">
        <v>17</v>
      </c>
      <c r="C839" s="224" t="s">
        <v>107</v>
      </c>
      <c r="D839" s="224" t="s">
        <v>257</v>
      </c>
      <c r="E839" s="224" t="str">
        <f>VLOOKUP($B839,'FRS geographical categories'!$A$2:$C$45,2,FALSE)</f>
        <v>Predominantly Rural</v>
      </c>
      <c r="F839" s="224" t="str">
        <f>VLOOKUP($B839,'FRS geographical categories'!$A$2:$C$45,3,FALSE)</f>
        <v>Non-metropolitan</v>
      </c>
      <c r="G839" s="98">
        <v>0</v>
      </c>
    </row>
    <row r="840" spans="1:7" ht="15.5" x14ac:dyDescent="0.35">
      <c r="A840" s="224" t="s">
        <v>56</v>
      </c>
      <c r="B840" s="224" t="s">
        <v>17</v>
      </c>
      <c r="C840" s="224" t="s">
        <v>108</v>
      </c>
      <c r="D840" s="224" t="s">
        <v>257</v>
      </c>
      <c r="E840" s="224" t="str">
        <f>VLOOKUP($B840,'FRS geographical categories'!$A$2:$C$45,2,FALSE)</f>
        <v>Predominantly Rural</v>
      </c>
      <c r="F840" s="224" t="str">
        <f>VLOOKUP($B840,'FRS geographical categories'!$A$2:$C$45,3,FALSE)</f>
        <v>Non-metropolitan</v>
      </c>
      <c r="G840" s="98">
        <v>151</v>
      </c>
    </row>
    <row r="841" spans="1:7" ht="15.5" x14ac:dyDescent="0.35">
      <c r="A841" s="224" t="s">
        <v>56</v>
      </c>
      <c r="B841" s="224" t="s">
        <v>17</v>
      </c>
      <c r="C841" s="224" t="s">
        <v>109</v>
      </c>
      <c r="D841" s="224" t="s">
        <v>257</v>
      </c>
      <c r="E841" s="224" t="str">
        <f>VLOOKUP($B841,'FRS geographical categories'!$A$2:$C$45,2,FALSE)</f>
        <v>Predominantly Rural</v>
      </c>
      <c r="F841" s="224" t="str">
        <f>VLOOKUP($B841,'FRS geographical categories'!$A$2:$C$45,3,FALSE)</f>
        <v>Non-metropolitan</v>
      </c>
      <c r="G841" s="98">
        <v>13</v>
      </c>
    </row>
    <row r="842" spans="1:7" ht="15.5" x14ac:dyDescent="0.35">
      <c r="A842" s="224" t="s">
        <v>56</v>
      </c>
      <c r="B842" s="224" t="s">
        <v>18</v>
      </c>
      <c r="C842" s="224" t="s">
        <v>102</v>
      </c>
      <c r="D842" s="224" t="s">
        <v>257</v>
      </c>
      <c r="E842" s="224" t="str">
        <f>VLOOKUP($B842,'FRS geographical categories'!$A$2:$C$45,2,FALSE)</f>
        <v>Predominantly Rural</v>
      </c>
      <c r="F842" s="224" t="str">
        <f>VLOOKUP($B842,'FRS geographical categories'!$A$2:$C$45,3,FALSE)</f>
        <v>Non-metropolitan</v>
      </c>
      <c r="G842" s="98">
        <v>608</v>
      </c>
    </row>
    <row r="843" spans="1:7" ht="15.5" x14ac:dyDescent="0.35">
      <c r="A843" s="224" t="s">
        <v>56</v>
      </c>
      <c r="B843" s="224" t="s">
        <v>18</v>
      </c>
      <c r="C843" s="224" t="s">
        <v>105</v>
      </c>
      <c r="D843" s="224" t="s">
        <v>257</v>
      </c>
      <c r="E843" s="224" t="str">
        <f>VLOOKUP($B843,'FRS geographical categories'!$A$2:$C$45,2,FALSE)</f>
        <v>Predominantly Rural</v>
      </c>
      <c r="F843" s="224" t="str">
        <f>VLOOKUP($B843,'FRS geographical categories'!$A$2:$C$45,3,FALSE)</f>
        <v>Non-metropolitan</v>
      </c>
      <c r="G843" s="98">
        <v>0</v>
      </c>
    </row>
    <row r="844" spans="1:7" ht="15.5" x14ac:dyDescent="0.35">
      <c r="A844" s="224" t="s">
        <v>56</v>
      </c>
      <c r="B844" s="224" t="s">
        <v>18</v>
      </c>
      <c r="C844" s="224" t="s">
        <v>106</v>
      </c>
      <c r="D844" s="224" t="s">
        <v>257</v>
      </c>
      <c r="E844" s="224" t="str">
        <f>VLOOKUP($B844,'FRS geographical categories'!$A$2:$C$45,2,FALSE)</f>
        <v>Predominantly Rural</v>
      </c>
      <c r="F844" s="224" t="str">
        <f>VLOOKUP($B844,'FRS geographical categories'!$A$2:$C$45,3,FALSE)</f>
        <v>Non-metropolitan</v>
      </c>
      <c r="G844" s="98">
        <v>11939</v>
      </c>
    </row>
    <row r="845" spans="1:7" ht="15.5" x14ac:dyDescent="0.35">
      <c r="A845" s="224" t="s">
        <v>56</v>
      </c>
      <c r="B845" s="224" t="s">
        <v>18</v>
      </c>
      <c r="C845" s="224" t="s">
        <v>107</v>
      </c>
      <c r="D845" s="224" t="s">
        <v>257</v>
      </c>
      <c r="E845" s="224" t="str">
        <f>VLOOKUP($B845,'FRS geographical categories'!$A$2:$C$45,2,FALSE)</f>
        <v>Predominantly Rural</v>
      </c>
      <c r="F845" s="224" t="str">
        <f>VLOOKUP($B845,'FRS geographical categories'!$A$2:$C$45,3,FALSE)</f>
        <v>Non-metropolitan</v>
      </c>
      <c r="G845" s="98">
        <v>0</v>
      </c>
    </row>
    <row r="846" spans="1:7" ht="15.5" x14ac:dyDescent="0.35">
      <c r="A846" s="224" t="s">
        <v>56</v>
      </c>
      <c r="B846" s="224" t="s">
        <v>18</v>
      </c>
      <c r="C846" s="224" t="s">
        <v>108</v>
      </c>
      <c r="D846" s="224" t="s">
        <v>257</v>
      </c>
      <c r="E846" s="224" t="str">
        <f>VLOOKUP($B846,'FRS geographical categories'!$A$2:$C$45,2,FALSE)</f>
        <v>Predominantly Rural</v>
      </c>
      <c r="F846" s="224" t="str">
        <f>VLOOKUP($B846,'FRS geographical categories'!$A$2:$C$45,3,FALSE)</f>
        <v>Non-metropolitan</v>
      </c>
      <c r="G846" s="98">
        <v>757</v>
      </c>
    </row>
    <row r="847" spans="1:7" ht="15.5" x14ac:dyDescent="0.35">
      <c r="A847" s="224" t="s">
        <v>56</v>
      </c>
      <c r="B847" s="224" t="s">
        <v>18</v>
      </c>
      <c r="C847" s="224" t="s">
        <v>109</v>
      </c>
      <c r="D847" s="224" t="s">
        <v>257</v>
      </c>
      <c r="E847" s="224" t="str">
        <f>VLOOKUP($B847,'FRS geographical categories'!$A$2:$C$45,2,FALSE)</f>
        <v>Predominantly Rural</v>
      </c>
      <c r="F847" s="224" t="str">
        <f>VLOOKUP($B847,'FRS geographical categories'!$A$2:$C$45,3,FALSE)</f>
        <v>Non-metropolitan</v>
      </c>
      <c r="G847" s="98">
        <v>0</v>
      </c>
    </row>
    <row r="848" spans="1:7" ht="15.5" x14ac:dyDescent="0.35">
      <c r="A848" s="224" t="s">
        <v>56</v>
      </c>
      <c r="B848" s="224" t="s">
        <v>19</v>
      </c>
      <c r="C848" s="224" t="s">
        <v>102</v>
      </c>
      <c r="D848" s="224" t="s">
        <v>257</v>
      </c>
      <c r="E848" s="224" t="str">
        <f>VLOOKUP($B848,'FRS geographical categories'!$A$2:$C$45,2,FALSE)</f>
        <v>Significantly Rural</v>
      </c>
      <c r="F848" s="224" t="str">
        <f>VLOOKUP($B848,'FRS geographical categories'!$A$2:$C$45,3,FALSE)</f>
        <v>Non-metropolitan</v>
      </c>
      <c r="G848" s="98">
        <v>3898</v>
      </c>
    </row>
    <row r="849" spans="1:7" ht="15.5" x14ac:dyDescent="0.35">
      <c r="A849" s="224" t="s">
        <v>56</v>
      </c>
      <c r="B849" s="224" t="s">
        <v>19</v>
      </c>
      <c r="C849" s="224" t="s">
        <v>105</v>
      </c>
      <c r="D849" s="224" t="s">
        <v>257</v>
      </c>
      <c r="E849" s="224" t="str">
        <f>VLOOKUP($B849,'FRS geographical categories'!$A$2:$C$45,2,FALSE)</f>
        <v>Significantly Rural</v>
      </c>
      <c r="F849" s="224" t="str">
        <f>VLOOKUP($B849,'FRS geographical categories'!$A$2:$C$45,3,FALSE)</f>
        <v>Non-metropolitan</v>
      </c>
      <c r="G849" s="98">
        <v>4426</v>
      </c>
    </row>
    <row r="850" spans="1:7" ht="15.5" x14ac:dyDescent="0.35">
      <c r="A850" s="224" t="s">
        <v>56</v>
      </c>
      <c r="B850" s="224" t="s">
        <v>19</v>
      </c>
      <c r="C850" s="224" t="s">
        <v>106</v>
      </c>
      <c r="D850" s="224" t="s">
        <v>257</v>
      </c>
      <c r="E850" s="224" t="str">
        <f>VLOOKUP($B850,'FRS geographical categories'!$A$2:$C$45,2,FALSE)</f>
        <v>Significantly Rural</v>
      </c>
      <c r="F850" s="224" t="str">
        <f>VLOOKUP($B850,'FRS geographical categories'!$A$2:$C$45,3,FALSE)</f>
        <v>Non-metropolitan</v>
      </c>
      <c r="G850" s="98">
        <v>9859</v>
      </c>
    </row>
    <row r="851" spans="1:7" ht="15.5" x14ac:dyDescent="0.35">
      <c r="A851" s="224" t="s">
        <v>56</v>
      </c>
      <c r="B851" s="224" t="s">
        <v>19</v>
      </c>
      <c r="C851" s="224" t="s">
        <v>107</v>
      </c>
      <c r="D851" s="224" t="s">
        <v>257</v>
      </c>
      <c r="E851" s="224" t="str">
        <f>VLOOKUP($B851,'FRS geographical categories'!$A$2:$C$45,2,FALSE)</f>
        <v>Significantly Rural</v>
      </c>
      <c r="F851" s="224" t="str">
        <f>VLOOKUP($B851,'FRS geographical categories'!$A$2:$C$45,3,FALSE)</f>
        <v>Non-metropolitan</v>
      </c>
      <c r="G851" s="98">
        <v>0</v>
      </c>
    </row>
    <row r="852" spans="1:7" ht="15.5" x14ac:dyDescent="0.35">
      <c r="A852" s="224" t="s">
        <v>56</v>
      </c>
      <c r="B852" s="224" t="s">
        <v>19</v>
      </c>
      <c r="C852" s="224" t="s">
        <v>108</v>
      </c>
      <c r="D852" s="224" t="s">
        <v>257</v>
      </c>
      <c r="E852" s="224" t="str">
        <f>VLOOKUP($B852,'FRS geographical categories'!$A$2:$C$45,2,FALSE)</f>
        <v>Significantly Rural</v>
      </c>
      <c r="F852" s="224" t="str">
        <f>VLOOKUP($B852,'FRS geographical categories'!$A$2:$C$45,3,FALSE)</f>
        <v>Non-metropolitan</v>
      </c>
      <c r="G852" s="98">
        <v>230</v>
      </c>
    </row>
    <row r="853" spans="1:7" ht="15.5" x14ac:dyDescent="0.35">
      <c r="A853" s="224" t="s">
        <v>56</v>
      </c>
      <c r="B853" s="224" t="s">
        <v>19</v>
      </c>
      <c r="C853" s="224" t="s">
        <v>109</v>
      </c>
      <c r="D853" s="224" t="s">
        <v>257</v>
      </c>
      <c r="E853" s="224" t="str">
        <f>VLOOKUP($B853,'FRS geographical categories'!$A$2:$C$45,2,FALSE)</f>
        <v>Significantly Rural</v>
      </c>
      <c r="F853" s="224" t="str">
        <f>VLOOKUP($B853,'FRS geographical categories'!$A$2:$C$45,3,FALSE)</f>
        <v>Non-metropolitan</v>
      </c>
      <c r="G853" s="98">
        <v>0</v>
      </c>
    </row>
    <row r="854" spans="1:7" ht="15.5" x14ac:dyDescent="0.35">
      <c r="A854" s="224" t="s">
        <v>56</v>
      </c>
      <c r="B854" s="224" t="s">
        <v>20</v>
      </c>
      <c r="C854" s="224" t="s">
        <v>102</v>
      </c>
      <c r="D854" s="224" t="s">
        <v>257</v>
      </c>
      <c r="E854" s="224" t="str">
        <f>VLOOKUP($B854,'FRS geographical categories'!$A$2:$C$45,2,FALSE)</f>
        <v>Predominantly Rural</v>
      </c>
      <c r="F854" s="224" t="str">
        <f>VLOOKUP($B854,'FRS geographical categories'!$A$2:$C$45,3,FALSE)</f>
        <v>Non-metropolitan</v>
      </c>
      <c r="G854" s="98">
        <v>0</v>
      </c>
    </row>
    <row r="855" spans="1:7" ht="15.5" x14ac:dyDescent="0.35">
      <c r="A855" s="224" t="s">
        <v>56</v>
      </c>
      <c r="B855" s="224" t="s">
        <v>20</v>
      </c>
      <c r="C855" s="224" t="s">
        <v>105</v>
      </c>
      <c r="D855" s="224" t="s">
        <v>257</v>
      </c>
      <c r="E855" s="224" t="str">
        <f>VLOOKUP($B855,'FRS geographical categories'!$A$2:$C$45,2,FALSE)</f>
        <v>Predominantly Rural</v>
      </c>
      <c r="F855" s="224" t="str">
        <f>VLOOKUP($B855,'FRS geographical categories'!$A$2:$C$45,3,FALSE)</f>
        <v>Non-metropolitan</v>
      </c>
      <c r="G855" s="98">
        <v>0</v>
      </c>
    </row>
    <row r="856" spans="1:7" ht="15.5" x14ac:dyDescent="0.35">
      <c r="A856" s="224" t="s">
        <v>56</v>
      </c>
      <c r="B856" s="224" t="s">
        <v>20</v>
      </c>
      <c r="C856" s="224" t="s">
        <v>106</v>
      </c>
      <c r="D856" s="224" t="s">
        <v>257</v>
      </c>
      <c r="E856" s="224" t="str">
        <f>VLOOKUP($B856,'FRS geographical categories'!$A$2:$C$45,2,FALSE)</f>
        <v>Predominantly Rural</v>
      </c>
      <c r="F856" s="224" t="str">
        <f>VLOOKUP($B856,'FRS geographical categories'!$A$2:$C$45,3,FALSE)</f>
        <v>Non-metropolitan</v>
      </c>
      <c r="G856" s="98">
        <v>7903</v>
      </c>
    </row>
    <row r="857" spans="1:7" ht="15.5" x14ac:dyDescent="0.35">
      <c r="A857" s="224" t="s">
        <v>56</v>
      </c>
      <c r="B857" s="224" t="s">
        <v>20</v>
      </c>
      <c r="C857" s="224" t="s">
        <v>107</v>
      </c>
      <c r="D857" s="224" t="s">
        <v>257</v>
      </c>
      <c r="E857" s="224" t="str">
        <f>VLOOKUP($B857,'FRS geographical categories'!$A$2:$C$45,2,FALSE)</f>
        <v>Predominantly Rural</v>
      </c>
      <c r="F857" s="224" t="str">
        <f>VLOOKUP($B857,'FRS geographical categories'!$A$2:$C$45,3,FALSE)</f>
        <v>Non-metropolitan</v>
      </c>
      <c r="G857" s="98">
        <v>0</v>
      </c>
    </row>
    <row r="858" spans="1:7" ht="15.5" x14ac:dyDescent="0.35">
      <c r="A858" s="224" t="s">
        <v>56</v>
      </c>
      <c r="B858" s="224" t="s">
        <v>20</v>
      </c>
      <c r="C858" s="224" t="s">
        <v>108</v>
      </c>
      <c r="D858" s="224" t="s">
        <v>257</v>
      </c>
      <c r="E858" s="224" t="str">
        <f>VLOOKUP($B858,'FRS geographical categories'!$A$2:$C$45,2,FALSE)</f>
        <v>Predominantly Rural</v>
      </c>
      <c r="F858" s="224" t="str">
        <f>VLOOKUP($B858,'FRS geographical categories'!$A$2:$C$45,3,FALSE)</f>
        <v>Non-metropolitan</v>
      </c>
      <c r="G858" s="98">
        <v>11681</v>
      </c>
    </row>
    <row r="859" spans="1:7" ht="15.5" x14ac:dyDescent="0.35">
      <c r="A859" s="224" t="s">
        <v>56</v>
      </c>
      <c r="B859" s="224" t="s">
        <v>20</v>
      </c>
      <c r="C859" s="224" t="s">
        <v>109</v>
      </c>
      <c r="D859" s="224" t="s">
        <v>257</v>
      </c>
      <c r="E859" s="224" t="str">
        <f>VLOOKUP($B859,'FRS geographical categories'!$A$2:$C$45,2,FALSE)</f>
        <v>Predominantly Rural</v>
      </c>
      <c r="F859" s="224" t="str">
        <f>VLOOKUP($B859,'FRS geographical categories'!$A$2:$C$45,3,FALSE)</f>
        <v>Non-metropolitan</v>
      </c>
      <c r="G859" s="98">
        <v>0</v>
      </c>
    </row>
    <row r="860" spans="1:7" ht="15.5" x14ac:dyDescent="0.35">
      <c r="A860" s="224" t="s">
        <v>56</v>
      </c>
      <c r="B860" s="224" t="s">
        <v>21</v>
      </c>
      <c r="C860" s="224" t="s">
        <v>102</v>
      </c>
      <c r="D860" s="224" t="s">
        <v>257</v>
      </c>
      <c r="E860" s="224" t="str">
        <f>VLOOKUP($B860,'FRS geographical categories'!$A$2:$C$45,2,FALSE)</f>
        <v>Significantly Rural</v>
      </c>
      <c r="F860" s="224" t="str">
        <f>VLOOKUP($B860,'FRS geographical categories'!$A$2:$C$45,3,FALSE)</f>
        <v>Non-metropolitan</v>
      </c>
      <c r="G860" s="98">
        <v>0</v>
      </c>
    </row>
    <row r="861" spans="1:7" ht="15.5" x14ac:dyDescent="0.35">
      <c r="A861" s="224" t="s">
        <v>56</v>
      </c>
      <c r="B861" s="224" t="s">
        <v>21</v>
      </c>
      <c r="C861" s="224" t="s">
        <v>105</v>
      </c>
      <c r="D861" s="224" t="s">
        <v>257</v>
      </c>
      <c r="E861" s="224" t="str">
        <f>VLOOKUP($B861,'FRS geographical categories'!$A$2:$C$45,2,FALSE)</f>
        <v>Significantly Rural</v>
      </c>
      <c r="F861" s="224" t="str">
        <f>VLOOKUP($B861,'FRS geographical categories'!$A$2:$C$45,3,FALSE)</f>
        <v>Non-metropolitan</v>
      </c>
      <c r="G861" s="98">
        <v>0</v>
      </c>
    </row>
    <row r="862" spans="1:7" ht="15.5" x14ac:dyDescent="0.35">
      <c r="A862" s="224" t="s">
        <v>56</v>
      </c>
      <c r="B862" s="224" t="s">
        <v>21</v>
      </c>
      <c r="C862" s="224" t="s">
        <v>106</v>
      </c>
      <c r="D862" s="224" t="s">
        <v>257</v>
      </c>
      <c r="E862" s="224" t="str">
        <f>VLOOKUP($B862,'FRS geographical categories'!$A$2:$C$45,2,FALSE)</f>
        <v>Significantly Rural</v>
      </c>
      <c r="F862" s="224" t="str">
        <f>VLOOKUP($B862,'FRS geographical categories'!$A$2:$C$45,3,FALSE)</f>
        <v>Non-metropolitan</v>
      </c>
      <c r="G862" s="98">
        <v>5624</v>
      </c>
    </row>
    <row r="863" spans="1:7" ht="15.5" x14ac:dyDescent="0.35">
      <c r="A863" s="224" t="s">
        <v>56</v>
      </c>
      <c r="B863" s="224" t="s">
        <v>21</v>
      </c>
      <c r="C863" s="224" t="s">
        <v>107</v>
      </c>
      <c r="D863" s="224" t="s">
        <v>257</v>
      </c>
      <c r="E863" s="224" t="str">
        <f>VLOOKUP($B863,'FRS geographical categories'!$A$2:$C$45,2,FALSE)</f>
        <v>Significantly Rural</v>
      </c>
      <c r="F863" s="224" t="str">
        <f>VLOOKUP($B863,'FRS geographical categories'!$A$2:$C$45,3,FALSE)</f>
        <v>Non-metropolitan</v>
      </c>
      <c r="G863" s="98">
        <v>0</v>
      </c>
    </row>
    <row r="864" spans="1:7" ht="15.5" x14ac:dyDescent="0.35">
      <c r="A864" s="224" t="s">
        <v>56</v>
      </c>
      <c r="B864" s="224" t="s">
        <v>21</v>
      </c>
      <c r="C864" s="224" t="s">
        <v>108</v>
      </c>
      <c r="D864" s="224" t="s">
        <v>257</v>
      </c>
      <c r="E864" s="224" t="str">
        <f>VLOOKUP($B864,'FRS geographical categories'!$A$2:$C$45,2,FALSE)</f>
        <v>Significantly Rural</v>
      </c>
      <c r="F864" s="224" t="str">
        <f>VLOOKUP($B864,'FRS geographical categories'!$A$2:$C$45,3,FALSE)</f>
        <v>Non-metropolitan</v>
      </c>
      <c r="G864" s="98">
        <v>4624</v>
      </c>
    </row>
    <row r="865" spans="1:7" ht="15.5" x14ac:dyDescent="0.35">
      <c r="A865" s="224" t="s">
        <v>56</v>
      </c>
      <c r="B865" s="224" t="s">
        <v>21</v>
      </c>
      <c r="C865" s="224" t="s">
        <v>109</v>
      </c>
      <c r="D865" s="224" t="s">
        <v>257</v>
      </c>
      <c r="E865" s="224" t="str">
        <f>VLOOKUP($B865,'FRS geographical categories'!$A$2:$C$45,2,FALSE)</f>
        <v>Significantly Rural</v>
      </c>
      <c r="F865" s="224" t="str">
        <f>VLOOKUP($B865,'FRS geographical categories'!$A$2:$C$45,3,FALSE)</f>
        <v>Non-metropolitan</v>
      </c>
      <c r="G865" s="98">
        <v>303</v>
      </c>
    </row>
    <row r="866" spans="1:7" ht="15.5" x14ac:dyDescent="0.35">
      <c r="A866" s="224" t="s">
        <v>56</v>
      </c>
      <c r="B866" s="224" t="s">
        <v>22</v>
      </c>
      <c r="C866" s="224" t="s">
        <v>102</v>
      </c>
      <c r="D866" s="224" t="s">
        <v>257</v>
      </c>
      <c r="E866" s="224" t="str">
        <f>VLOOKUP($B866,'FRS geographical categories'!$A$2:$C$45,2,FALSE)</f>
        <v>Predominantly Rural</v>
      </c>
      <c r="F866" s="224" t="str">
        <f>VLOOKUP($B866,'FRS geographical categories'!$A$2:$C$45,3,FALSE)</f>
        <v>Non-metropolitan</v>
      </c>
      <c r="G866" s="98">
        <v>0</v>
      </c>
    </row>
    <row r="867" spans="1:7" ht="15.5" x14ac:dyDescent="0.35">
      <c r="A867" s="224" t="s">
        <v>56</v>
      </c>
      <c r="B867" s="224" t="s">
        <v>22</v>
      </c>
      <c r="C867" s="224" t="s">
        <v>105</v>
      </c>
      <c r="D867" s="224" t="s">
        <v>257</v>
      </c>
      <c r="E867" s="224" t="str">
        <f>VLOOKUP($B867,'FRS geographical categories'!$A$2:$C$45,2,FALSE)</f>
        <v>Predominantly Rural</v>
      </c>
      <c r="F867" s="224" t="str">
        <f>VLOOKUP($B867,'FRS geographical categories'!$A$2:$C$45,3,FALSE)</f>
        <v>Non-metropolitan</v>
      </c>
      <c r="G867" s="98">
        <v>0</v>
      </c>
    </row>
    <row r="868" spans="1:7" ht="15.5" x14ac:dyDescent="0.35">
      <c r="A868" s="224" t="s">
        <v>56</v>
      </c>
      <c r="B868" s="224" t="s">
        <v>22</v>
      </c>
      <c r="C868" s="224" t="s">
        <v>106</v>
      </c>
      <c r="D868" s="224" t="s">
        <v>257</v>
      </c>
      <c r="E868" s="224" t="str">
        <f>VLOOKUP($B868,'FRS geographical categories'!$A$2:$C$45,2,FALSE)</f>
        <v>Predominantly Rural</v>
      </c>
      <c r="F868" s="224" t="str">
        <f>VLOOKUP($B868,'FRS geographical categories'!$A$2:$C$45,3,FALSE)</f>
        <v>Non-metropolitan</v>
      </c>
      <c r="G868" s="98">
        <v>36816</v>
      </c>
    </row>
    <row r="869" spans="1:7" ht="15.5" x14ac:dyDescent="0.35">
      <c r="A869" s="224" t="s">
        <v>56</v>
      </c>
      <c r="B869" s="224" t="s">
        <v>22</v>
      </c>
      <c r="C869" s="224" t="s">
        <v>107</v>
      </c>
      <c r="D869" s="224" t="s">
        <v>257</v>
      </c>
      <c r="E869" s="224" t="str">
        <f>VLOOKUP($B869,'FRS geographical categories'!$A$2:$C$45,2,FALSE)</f>
        <v>Predominantly Rural</v>
      </c>
      <c r="F869" s="224" t="str">
        <f>VLOOKUP($B869,'FRS geographical categories'!$A$2:$C$45,3,FALSE)</f>
        <v>Non-metropolitan</v>
      </c>
      <c r="G869" s="98">
        <v>0</v>
      </c>
    </row>
    <row r="870" spans="1:7" ht="15.5" x14ac:dyDescent="0.35">
      <c r="A870" s="224" t="s">
        <v>56</v>
      </c>
      <c r="B870" s="224" t="s">
        <v>22</v>
      </c>
      <c r="C870" s="224" t="s">
        <v>108</v>
      </c>
      <c r="D870" s="224" t="s">
        <v>257</v>
      </c>
      <c r="E870" s="224" t="str">
        <f>VLOOKUP($B870,'FRS geographical categories'!$A$2:$C$45,2,FALSE)</f>
        <v>Predominantly Rural</v>
      </c>
      <c r="F870" s="224" t="str">
        <f>VLOOKUP($B870,'FRS geographical categories'!$A$2:$C$45,3,FALSE)</f>
        <v>Non-metropolitan</v>
      </c>
      <c r="G870" s="98">
        <v>599</v>
      </c>
    </row>
    <row r="871" spans="1:7" ht="15.5" x14ac:dyDescent="0.35">
      <c r="A871" s="224" t="s">
        <v>56</v>
      </c>
      <c r="B871" s="224" t="s">
        <v>22</v>
      </c>
      <c r="C871" s="224" t="s">
        <v>109</v>
      </c>
      <c r="D871" s="224" t="s">
        <v>257</v>
      </c>
      <c r="E871" s="224" t="str">
        <f>VLOOKUP($B871,'FRS geographical categories'!$A$2:$C$45,2,FALSE)</f>
        <v>Predominantly Rural</v>
      </c>
      <c r="F871" s="224" t="str">
        <f>VLOOKUP($B871,'FRS geographical categories'!$A$2:$C$45,3,FALSE)</f>
        <v>Non-metropolitan</v>
      </c>
      <c r="G871" s="98">
        <v>0</v>
      </c>
    </row>
    <row r="872" spans="1:7" ht="15.5" x14ac:dyDescent="0.35">
      <c r="A872" s="224" t="s">
        <v>56</v>
      </c>
      <c r="B872" s="224" t="s">
        <v>23</v>
      </c>
      <c r="C872" s="224" t="s">
        <v>102</v>
      </c>
      <c r="D872" s="224" t="s">
        <v>257</v>
      </c>
      <c r="E872" s="224" t="str">
        <f>VLOOKUP($B872,'FRS geographical categories'!$A$2:$C$45,2,FALSE)</f>
        <v>Significantly Rural</v>
      </c>
      <c r="F872" s="224" t="str">
        <f>VLOOKUP($B872,'FRS geographical categories'!$A$2:$C$45,3,FALSE)</f>
        <v>Non-metropolitan</v>
      </c>
      <c r="G872" s="98">
        <v>4823</v>
      </c>
    </row>
    <row r="873" spans="1:7" ht="15.5" x14ac:dyDescent="0.35">
      <c r="A873" s="224" t="s">
        <v>56</v>
      </c>
      <c r="B873" s="224" t="s">
        <v>23</v>
      </c>
      <c r="C873" s="224" t="s">
        <v>105</v>
      </c>
      <c r="D873" s="224" t="s">
        <v>257</v>
      </c>
      <c r="E873" s="224" t="str">
        <f>VLOOKUP($B873,'FRS geographical categories'!$A$2:$C$45,2,FALSE)</f>
        <v>Significantly Rural</v>
      </c>
      <c r="F873" s="224" t="str">
        <f>VLOOKUP($B873,'FRS geographical categories'!$A$2:$C$45,3,FALSE)</f>
        <v>Non-metropolitan</v>
      </c>
      <c r="G873" s="98">
        <v>0</v>
      </c>
    </row>
    <row r="874" spans="1:7" ht="15.5" x14ac:dyDescent="0.35">
      <c r="A874" s="224" t="s">
        <v>56</v>
      </c>
      <c r="B874" s="224" t="s">
        <v>23</v>
      </c>
      <c r="C874" s="224" t="s">
        <v>106</v>
      </c>
      <c r="D874" s="224" t="s">
        <v>257</v>
      </c>
      <c r="E874" s="224" t="str">
        <f>VLOOKUP($B874,'FRS geographical categories'!$A$2:$C$45,2,FALSE)</f>
        <v>Significantly Rural</v>
      </c>
      <c r="F874" s="224" t="str">
        <f>VLOOKUP($B874,'FRS geographical categories'!$A$2:$C$45,3,FALSE)</f>
        <v>Non-metropolitan</v>
      </c>
      <c r="G874" s="98">
        <v>16130</v>
      </c>
    </row>
    <row r="875" spans="1:7" ht="15.5" x14ac:dyDescent="0.35">
      <c r="A875" s="224" t="s">
        <v>56</v>
      </c>
      <c r="B875" s="224" t="s">
        <v>23</v>
      </c>
      <c r="C875" s="224" t="s">
        <v>107</v>
      </c>
      <c r="D875" s="224" t="s">
        <v>257</v>
      </c>
      <c r="E875" s="224" t="str">
        <f>VLOOKUP($B875,'FRS geographical categories'!$A$2:$C$45,2,FALSE)</f>
        <v>Significantly Rural</v>
      </c>
      <c r="F875" s="224" t="str">
        <f>VLOOKUP($B875,'FRS geographical categories'!$A$2:$C$45,3,FALSE)</f>
        <v>Non-metropolitan</v>
      </c>
      <c r="G875" s="98">
        <v>0</v>
      </c>
    </row>
    <row r="876" spans="1:7" ht="15.5" x14ac:dyDescent="0.35">
      <c r="A876" s="224" t="s">
        <v>56</v>
      </c>
      <c r="B876" s="224" t="s">
        <v>23</v>
      </c>
      <c r="C876" s="224" t="s">
        <v>108</v>
      </c>
      <c r="D876" s="224" t="s">
        <v>257</v>
      </c>
      <c r="E876" s="224" t="str">
        <f>VLOOKUP($B876,'FRS geographical categories'!$A$2:$C$45,2,FALSE)</f>
        <v>Significantly Rural</v>
      </c>
      <c r="F876" s="224" t="str">
        <f>VLOOKUP($B876,'FRS geographical categories'!$A$2:$C$45,3,FALSE)</f>
        <v>Non-metropolitan</v>
      </c>
      <c r="G876" s="98">
        <v>0</v>
      </c>
    </row>
    <row r="877" spans="1:7" ht="15.5" x14ac:dyDescent="0.35">
      <c r="A877" s="224" t="s">
        <v>56</v>
      </c>
      <c r="B877" s="224" t="s">
        <v>23</v>
      </c>
      <c r="C877" s="224" t="s">
        <v>109</v>
      </c>
      <c r="D877" s="224" t="s">
        <v>257</v>
      </c>
      <c r="E877" s="224" t="str">
        <f>VLOOKUP($B877,'FRS geographical categories'!$A$2:$C$45,2,FALSE)</f>
        <v>Significantly Rural</v>
      </c>
      <c r="F877" s="224" t="str">
        <f>VLOOKUP($B877,'FRS geographical categories'!$A$2:$C$45,3,FALSE)</f>
        <v>Non-metropolitan</v>
      </c>
      <c r="G877" s="98">
        <v>0</v>
      </c>
    </row>
    <row r="878" spans="1:7" ht="15.5" x14ac:dyDescent="0.35">
      <c r="A878" s="224" t="s">
        <v>56</v>
      </c>
      <c r="B878" s="224" t="s">
        <v>24</v>
      </c>
      <c r="C878" s="224" t="s">
        <v>102</v>
      </c>
      <c r="D878" s="224" t="s">
        <v>257</v>
      </c>
      <c r="E878" s="224" t="str">
        <f>VLOOKUP($B878,'FRS geographical categories'!$A$2:$C$45,2,FALSE)</f>
        <v>Significantly Rural</v>
      </c>
      <c r="F878" s="224" t="str">
        <f>VLOOKUP($B878,'FRS geographical categories'!$A$2:$C$45,3,FALSE)</f>
        <v>Non-metropolitan</v>
      </c>
      <c r="G878" s="98">
        <v>0</v>
      </c>
    </row>
    <row r="879" spans="1:7" ht="15.5" x14ac:dyDescent="0.35">
      <c r="A879" s="224" t="s">
        <v>56</v>
      </c>
      <c r="B879" s="224" t="s">
        <v>24</v>
      </c>
      <c r="C879" s="224" t="s">
        <v>105</v>
      </c>
      <c r="D879" s="224" t="s">
        <v>257</v>
      </c>
      <c r="E879" s="224" t="str">
        <f>VLOOKUP($B879,'FRS geographical categories'!$A$2:$C$45,2,FALSE)</f>
        <v>Significantly Rural</v>
      </c>
      <c r="F879" s="224" t="str">
        <f>VLOOKUP($B879,'FRS geographical categories'!$A$2:$C$45,3,FALSE)</f>
        <v>Non-metropolitan</v>
      </c>
      <c r="G879" s="98">
        <v>0</v>
      </c>
    </row>
    <row r="880" spans="1:7" ht="15.5" x14ac:dyDescent="0.35">
      <c r="A880" s="224" t="s">
        <v>56</v>
      </c>
      <c r="B880" s="224" t="s">
        <v>24</v>
      </c>
      <c r="C880" s="224" t="s">
        <v>106</v>
      </c>
      <c r="D880" s="224" t="s">
        <v>257</v>
      </c>
      <c r="E880" s="224" t="str">
        <f>VLOOKUP($B880,'FRS geographical categories'!$A$2:$C$45,2,FALSE)</f>
        <v>Significantly Rural</v>
      </c>
      <c r="F880" s="224" t="str">
        <f>VLOOKUP($B880,'FRS geographical categories'!$A$2:$C$45,3,FALSE)</f>
        <v>Non-metropolitan</v>
      </c>
      <c r="G880" s="98">
        <v>2550</v>
      </c>
    </row>
    <row r="881" spans="1:7" ht="15.5" x14ac:dyDescent="0.35">
      <c r="A881" s="224" t="s">
        <v>56</v>
      </c>
      <c r="B881" s="224" t="s">
        <v>24</v>
      </c>
      <c r="C881" s="224" t="s">
        <v>107</v>
      </c>
      <c r="D881" s="224" t="s">
        <v>257</v>
      </c>
      <c r="E881" s="224" t="str">
        <f>VLOOKUP($B881,'FRS geographical categories'!$A$2:$C$45,2,FALSE)</f>
        <v>Significantly Rural</v>
      </c>
      <c r="F881" s="224" t="str">
        <f>VLOOKUP($B881,'FRS geographical categories'!$A$2:$C$45,3,FALSE)</f>
        <v>Non-metropolitan</v>
      </c>
      <c r="G881" s="98">
        <v>115</v>
      </c>
    </row>
    <row r="882" spans="1:7" ht="15.5" x14ac:dyDescent="0.35">
      <c r="A882" s="224" t="s">
        <v>56</v>
      </c>
      <c r="B882" s="224" t="s">
        <v>24</v>
      </c>
      <c r="C882" s="224" t="s">
        <v>108</v>
      </c>
      <c r="D882" s="224" t="s">
        <v>257</v>
      </c>
      <c r="E882" s="224" t="str">
        <f>VLOOKUP($B882,'FRS geographical categories'!$A$2:$C$45,2,FALSE)</f>
        <v>Significantly Rural</v>
      </c>
      <c r="F882" s="224" t="str">
        <f>VLOOKUP($B882,'FRS geographical categories'!$A$2:$C$45,3,FALSE)</f>
        <v>Non-metropolitan</v>
      </c>
      <c r="G882" s="98">
        <v>5549</v>
      </c>
    </row>
    <row r="883" spans="1:7" ht="15.5" x14ac:dyDescent="0.35">
      <c r="A883" s="224" t="s">
        <v>56</v>
      </c>
      <c r="B883" s="224" t="s">
        <v>24</v>
      </c>
      <c r="C883" s="224" t="s">
        <v>109</v>
      </c>
      <c r="D883" s="224" t="s">
        <v>257</v>
      </c>
      <c r="E883" s="224" t="str">
        <f>VLOOKUP($B883,'FRS geographical categories'!$A$2:$C$45,2,FALSE)</f>
        <v>Significantly Rural</v>
      </c>
      <c r="F883" s="224" t="str">
        <f>VLOOKUP($B883,'FRS geographical categories'!$A$2:$C$45,3,FALSE)</f>
        <v>Non-metropolitan</v>
      </c>
      <c r="G883" s="98">
        <v>0</v>
      </c>
    </row>
    <row r="884" spans="1:7" ht="15.5" x14ac:dyDescent="0.35">
      <c r="A884" s="224" t="s">
        <v>56</v>
      </c>
      <c r="B884" s="224" t="s">
        <v>25</v>
      </c>
      <c r="C884" s="224" t="s">
        <v>102</v>
      </c>
      <c r="D884" s="224" t="s">
        <v>257</v>
      </c>
      <c r="E884" s="224" t="str">
        <f>VLOOKUP($B884,'FRS geographical categories'!$A$2:$C$45,2,FALSE)</f>
        <v>Significantly Rural</v>
      </c>
      <c r="F884" s="224" t="str">
        <f>VLOOKUP($B884,'FRS geographical categories'!$A$2:$C$45,3,FALSE)</f>
        <v>Non-metropolitan</v>
      </c>
      <c r="G884" s="98">
        <v>0</v>
      </c>
    </row>
    <row r="885" spans="1:7" ht="15.5" x14ac:dyDescent="0.35">
      <c r="A885" s="224" t="s">
        <v>56</v>
      </c>
      <c r="B885" s="224" t="s">
        <v>25</v>
      </c>
      <c r="C885" s="224" t="s">
        <v>105</v>
      </c>
      <c r="D885" s="224" t="s">
        <v>257</v>
      </c>
      <c r="E885" s="224" t="str">
        <f>VLOOKUP($B885,'FRS geographical categories'!$A$2:$C$45,2,FALSE)</f>
        <v>Significantly Rural</v>
      </c>
      <c r="F885" s="224" t="str">
        <f>VLOOKUP($B885,'FRS geographical categories'!$A$2:$C$45,3,FALSE)</f>
        <v>Non-metropolitan</v>
      </c>
      <c r="G885" s="98">
        <v>0</v>
      </c>
    </row>
    <row r="886" spans="1:7" ht="15.5" x14ac:dyDescent="0.35">
      <c r="A886" s="224" t="s">
        <v>56</v>
      </c>
      <c r="B886" s="224" t="s">
        <v>25</v>
      </c>
      <c r="C886" s="224" t="s">
        <v>106</v>
      </c>
      <c r="D886" s="224" t="s">
        <v>257</v>
      </c>
      <c r="E886" s="224" t="str">
        <f>VLOOKUP($B886,'FRS geographical categories'!$A$2:$C$45,2,FALSE)</f>
        <v>Significantly Rural</v>
      </c>
      <c r="F886" s="224" t="str">
        <f>VLOOKUP($B886,'FRS geographical categories'!$A$2:$C$45,3,FALSE)</f>
        <v>Non-metropolitan</v>
      </c>
      <c r="G886" s="98">
        <v>4215</v>
      </c>
    </row>
    <row r="887" spans="1:7" ht="15.5" x14ac:dyDescent="0.35">
      <c r="A887" s="224" t="s">
        <v>56</v>
      </c>
      <c r="B887" s="224" t="s">
        <v>25</v>
      </c>
      <c r="C887" s="224" t="s">
        <v>107</v>
      </c>
      <c r="D887" s="224" t="s">
        <v>257</v>
      </c>
      <c r="E887" s="224" t="str">
        <f>VLOOKUP($B887,'FRS geographical categories'!$A$2:$C$45,2,FALSE)</f>
        <v>Significantly Rural</v>
      </c>
      <c r="F887" s="224" t="str">
        <f>VLOOKUP($B887,'FRS geographical categories'!$A$2:$C$45,3,FALSE)</f>
        <v>Non-metropolitan</v>
      </c>
      <c r="G887" s="98">
        <v>0</v>
      </c>
    </row>
    <row r="888" spans="1:7" ht="15.5" x14ac:dyDescent="0.35">
      <c r="A888" s="224" t="s">
        <v>56</v>
      </c>
      <c r="B888" s="224" t="s">
        <v>25</v>
      </c>
      <c r="C888" s="224" t="s">
        <v>108</v>
      </c>
      <c r="D888" s="224" t="s">
        <v>257</v>
      </c>
      <c r="E888" s="224" t="str">
        <f>VLOOKUP($B888,'FRS geographical categories'!$A$2:$C$45,2,FALSE)</f>
        <v>Significantly Rural</v>
      </c>
      <c r="F888" s="224" t="str">
        <f>VLOOKUP($B888,'FRS geographical categories'!$A$2:$C$45,3,FALSE)</f>
        <v>Non-metropolitan</v>
      </c>
      <c r="G888" s="98">
        <v>921</v>
      </c>
    </row>
    <row r="889" spans="1:7" ht="15.5" x14ac:dyDescent="0.35">
      <c r="A889" s="224" t="s">
        <v>56</v>
      </c>
      <c r="B889" s="224" t="s">
        <v>25</v>
      </c>
      <c r="C889" s="224" t="s">
        <v>109</v>
      </c>
      <c r="D889" s="224" t="s">
        <v>257</v>
      </c>
      <c r="E889" s="224" t="str">
        <f>VLOOKUP($B889,'FRS geographical categories'!$A$2:$C$45,2,FALSE)</f>
        <v>Significantly Rural</v>
      </c>
      <c r="F889" s="224" t="str">
        <f>VLOOKUP($B889,'FRS geographical categories'!$A$2:$C$45,3,FALSE)</f>
        <v>Non-metropolitan</v>
      </c>
      <c r="G889" s="98">
        <v>0</v>
      </c>
    </row>
    <row r="890" spans="1:7" ht="15.5" x14ac:dyDescent="0.35">
      <c r="A890" s="224" t="s">
        <v>56</v>
      </c>
      <c r="B890" s="224" t="s">
        <v>26</v>
      </c>
      <c r="C890" s="224" t="s">
        <v>102</v>
      </c>
      <c r="D890" s="224" t="s">
        <v>257</v>
      </c>
      <c r="E890" s="224" t="str">
        <f>VLOOKUP($B890,'FRS geographical categories'!$A$2:$C$45,2,FALSE)</f>
        <v>Predominantly Urban</v>
      </c>
      <c r="F890" s="224" t="str">
        <f>VLOOKUP($B890,'FRS geographical categories'!$A$2:$C$45,3,FALSE)</f>
        <v>Metropolitan</v>
      </c>
      <c r="G890" s="98">
        <v>0</v>
      </c>
    </row>
    <row r="891" spans="1:7" ht="15.5" x14ac:dyDescent="0.35">
      <c r="A891" s="224" t="s">
        <v>56</v>
      </c>
      <c r="B891" s="224" t="s">
        <v>26</v>
      </c>
      <c r="C891" s="224" t="s">
        <v>105</v>
      </c>
      <c r="D891" s="224" t="s">
        <v>257</v>
      </c>
      <c r="E891" s="224" t="str">
        <f>VLOOKUP($B891,'FRS geographical categories'!$A$2:$C$45,2,FALSE)</f>
        <v>Predominantly Urban</v>
      </c>
      <c r="F891" s="224" t="str">
        <f>VLOOKUP($B891,'FRS geographical categories'!$A$2:$C$45,3,FALSE)</f>
        <v>Metropolitan</v>
      </c>
      <c r="G891" s="98">
        <v>0</v>
      </c>
    </row>
    <row r="892" spans="1:7" ht="15.5" x14ac:dyDescent="0.35">
      <c r="A892" s="224" t="s">
        <v>56</v>
      </c>
      <c r="B892" s="224" t="s">
        <v>26</v>
      </c>
      <c r="C892" s="224" t="s">
        <v>106</v>
      </c>
      <c r="D892" s="224" t="s">
        <v>257</v>
      </c>
      <c r="E892" s="224" t="str">
        <f>VLOOKUP($B892,'FRS geographical categories'!$A$2:$C$45,2,FALSE)</f>
        <v>Predominantly Urban</v>
      </c>
      <c r="F892" s="224" t="str">
        <f>VLOOKUP($B892,'FRS geographical categories'!$A$2:$C$45,3,FALSE)</f>
        <v>Metropolitan</v>
      </c>
      <c r="G892" s="98">
        <v>161389</v>
      </c>
    </row>
    <row r="893" spans="1:7" ht="15.5" x14ac:dyDescent="0.35">
      <c r="A893" s="224" t="s">
        <v>56</v>
      </c>
      <c r="B893" s="224" t="s">
        <v>26</v>
      </c>
      <c r="C893" s="224" t="s">
        <v>107</v>
      </c>
      <c r="D893" s="224" t="s">
        <v>257</v>
      </c>
      <c r="E893" s="224" t="str">
        <f>VLOOKUP($B893,'FRS geographical categories'!$A$2:$C$45,2,FALSE)</f>
        <v>Predominantly Urban</v>
      </c>
      <c r="F893" s="224" t="str">
        <f>VLOOKUP($B893,'FRS geographical categories'!$A$2:$C$45,3,FALSE)</f>
        <v>Metropolitan</v>
      </c>
      <c r="G893" s="98">
        <v>0</v>
      </c>
    </row>
    <row r="894" spans="1:7" ht="15.5" x14ac:dyDescent="0.35">
      <c r="A894" s="224" t="s">
        <v>56</v>
      </c>
      <c r="B894" s="224" t="s">
        <v>26</v>
      </c>
      <c r="C894" s="224" t="s">
        <v>108</v>
      </c>
      <c r="D894" s="224" t="s">
        <v>257</v>
      </c>
      <c r="E894" s="224" t="str">
        <f>VLOOKUP($B894,'FRS geographical categories'!$A$2:$C$45,2,FALSE)</f>
        <v>Predominantly Urban</v>
      </c>
      <c r="F894" s="224" t="str">
        <f>VLOOKUP($B894,'FRS geographical categories'!$A$2:$C$45,3,FALSE)</f>
        <v>Metropolitan</v>
      </c>
      <c r="G894" s="98">
        <v>2360</v>
      </c>
    </row>
    <row r="895" spans="1:7" ht="15.5" x14ac:dyDescent="0.35">
      <c r="A895" s="224" t="s">
        <v>56</v>
      </c>
      <c r="B895" s="224" t="s">
        <v>26</v>
      </c>
      <c r="C895" s="224" t="s">
        <v>109</v>
      </c>
      <c r="D895" s="224" t="s">
        <v>257</v>
      </c>
      <c r="E895" s="224" t="str">
        <f>VLOOKUP($B895,'FRS geographical categories'!$A$2:$C$45,2,FALSE)</f>
        <v>Predominantly Urban</v>
      </c>
      <c r="F895" s="224" t="str">
        <f>VLOOKUP($B895,'FRS geographical categories'!$A$2:$C$45,3,FALSE)</f>
        <v>Metropolitan</v>
      </c>
      <c r="G895" s="98">
        <v>0</v>
      </c>
    </row>
    <row r="896" spans="1:7" ht="15.5" x14ac:dyDescent="0.35">
      <c r="A896" s="224" t="s">
        <v>56</v>
      </c>
      <c r="B896" s="224" t="s">
        <v>27</v>
      </c>
      <c r="C896" s="224" t="s">
        <v>102</v>
      </c>
      <c r="D896" s="224" t="s">
        <v>257</v>
      </c>
      <c r="E896" s="224" t="str">
        <f>VLOOKUP($B896,'FRS geographical categories'!$A$2:$C$45,2,FALSE)</f>
        <v>Predominantly Urban</v>
      </c>
      <c r="F896" s="224" t="str">
        <f>VLOOKUP($B896,'FRS geographical categories'!$A$2:$C$45,3,FALSE)</f>
        <v>Metropolitan</v>
      </c>
      <c r="G896" s="98">
        <v>3661</v>
      </c>
    </row>
    <row r="897" spans="1:7" ht="15.5" x14ac:dyDescent="0.35">
      <c r="A897" s="224" t="s">
        <v>56</v>
      </c>
      <c r="B897" s="224" t="s">
        <v>27</v>
      </c>
      <c r="C897" s="224" t="s">
        <v>105</v>
      </c>
      <c r="D897" s="224" t="s">
        <v>257</v>
      </c>
      <c r="E897" s="224" t="str">
        <f>VLOOKUP($B897,'FRS geographical categories'!$A$2:$C$45,2,FALSE)</f>
        <v>Predominantly Urban</v>
      </c>
      <c r="F897" s="224" t="str">
        <f>VLOOKUP($B897,'FRS geographical categories'!$A$2:$C$45,3,FALSE)</f>
        <v>Metropolitan</v>
      </c>
      <c r="G897" s="98">
        <v>0</v>
      </c>
    </row>
    <row r="898" spans="1:7" ht="15.5" x14ac:dyDescent="0.35">
      <c r="A898" s="224" t="s">
        <v>56</v>
      </c>
      <c r="B898" s="224" t="s">
        <v>27</v>
      </c>
      <c r="C898" s="224" t="s">
        <v>106</v>
      </c>
      <c r="D898" s="224" t="s">
        <v>257</v>
      </c>
      <c r="E898" s="224" t="str">
        <f>VLOOKUP($B898,'FRS geographical categories'!$A$2:$C$45,2,FALSE)</f>
        <v>Predominantly Urban</v>
      </c>
      <c r="F898" s="224" t="str">
        <f>VLOOKUP($B898,'FRS geographical categories'!$A$2:$C$45,3,FALSE)</f>
        <v>Metropolitan</v>
      </c>
      <c r="G898" s="98">
        <v>8376</v>
      </c>
    </row>
    <row r="899" spans="1:7" ht="15.5" x14ac:dyDescent="0.35">
      <c r="A899" s="224" t="s">
        <v>56</v>
      </c>
      <c r="B899" s="224" t="s">
        <v>27</v>
      </c>
      <c r="C899" s="224" t="s">
        <v>107</v>
      </c>
      <c r="D899" s="224" t="s">
        <v>257</v>
      </c>
      <c r="E899" s="224" t="str">
        <f>VLOOKUP($B899,'FRS geographical categories'!$A$2:$C$45,2,FALSE)</f>
        <v>Predominantly Urban</v>
      </c>
      <c r="F899" s="224" t="str">
        <f>VLOOKUP($B899,'FRS geographical categories'!$A$2:$C$45,3,FALSE)</f>
        <v>Metropolitan</v>
      </c>
      <c r="G899" s="98">
        <v>0</v>
      </c>
    </row>
    <row r="900" spans="1:7" ht="15.5" x14ac:dyDescent="0.35">
      <c r="A900" s="224" t="s">
        <v>56</v>
      </c>
      <c r="B900" s="224" t="s">
        <v>27</v>
      </c>
      <c r="C900" s="224" t="s">
        <v>108</v>
      </c>
      <c r="D900" s="224" t="s">
        <v>257</v>
      </c>
      <c r="E900" s="224" t="str">
        <f>VLOOKUP($B900,'FRS geographical categories'!$A$2:$C$45,2,FALSE)</f>
        <v>Predominantly Urban</v>
      </c>
      <c r="F900" s="224" t="str">
        <f>VLOOKUP($B900,'FRS geographical categories'!$A$2:$C$45,3,FALSE)</f>
        <v>Metropolitan</v>
      </c>
      <c r="G900" s="98">
        <v>46</v>
      </c>
    </row>
    <row r="901" spans="1:7" ht="15.5" x14ac:dyDescent="0.35">
      <c r="A901" s="224" t="s">
        <v>56</v>
      </c>
      <c r="B901" s="224" t="s">
        <v>27</v>
      </c>
      <c r="C901" s="224" t="s">
        <v>109</v>
      </c>
      <c r="D901" s="224" t="s">
        <v>257</v>
      </c>
      <c r="E901" s="224" t="str">
        <f>VLOOKUP($B901,'FRS geographical categories'!$A$2:$C$45,2,FALSE)</f>
        <v>Predominantly Urban</v>
      </c>
      <c r="F901" s="224" t="str">
        <f>VLOOKUP($B901,'FRS geographical categories'!$A$2:$C$45,3,FALSE)</f>
        <v>Metropolitan</v>
      </c>
      <c r="G901" s="98">
        <v>0</v>
      </c>
    </row>
    <row r="902" spans="1:7" ht="15.5" x14ac:dyDescent="0.35">
      <c r="A902" s="224" t="s">
        <v>56</v>
      </c>
      <c r="B902" s="224" t="s">
        <v>93</v>
      </c>
      <c r="C902" s="224" t="s">
        <v>102</v>
      </c>
      <c r="D902" s="224" t="s">
        <v>257</v>
      </c>
      <c r="E902" s="224" t="str">
        <f>VLOOKUP($B902,'FRS geographical categories'!$A$2:$C$45,2,FALSE)</f>
        <v>Significantly Rural</v>
      </c>
      <c r="F902" s="224" t="str">
        <f>VLOOKUP($B902,'FRS geographical categories'!$A$2:$C$45,3,FALSE)</f>
        <v>Non-metropolitan</v>
      </c>
      <c r="G902" s="98">
        <v>0</v>
      </c>
    </row>
    <row r="903" spans="1:7" ht="15.5" x14ac:dyDescent="0.35">
      <c r="A903" s="224" t="s">
        <v>56</v>
      </c>
      <c r="B903" s="224" t="s">
        <v>93</v>
      </c>
      <c r="C903" s="224" t="s">
        <v>105</v>
      </c>
      <c r="D903" s="224" t="s">
        <v>257</v>
      </c>
      <c r="E903" s="224" t="str">
        <f>VLOOKUP($B903,'FRS geographical categories'!$A$2:$C$45,2,FALSE)</f>
        <v>Significantly Rural</v>
      </c>
      <c r="F903" s="224" t="str">
        <f>VLOOKUP($B903,'FRS geographical categories'!$A$2:$C$45,3,FALSE)</f>
        <v>Non-metropolitan</v>
      </c>
      <c r="G903" s="98">
        <v>0</v>
      </c>
    </row>
    <row r="904" spans="1:7" ht="15.5" x14ac:dyDescent="0.35">
      <c r="A904" s="224" t="s">
        <v>56</v>
      </c>
      <c r="B904" s="224" t="s">
        <v>93</v>
      </c>
      <c r="C904" s="224" t="s">
        <v>106</v>
      </c>
      <c r="D904" s="224" t="s">
        <v>257</v>
      </c>
      <c r="E904" s="224" t="str">
        <f>VLOOKUP($B904,'FRS geographical categories'!$A$2:$C$45,2,FALSE)</f>
        <v>Significantly Rural</v>
      </c>
      <c r="F904" s="224" t="str">
        <f>VLOOKUP($B904,'FRS geographical categories'!$A$2:$C$45,3,FALSE)</f>
        <v>Non-metropolitan</v>
      </c>
      <c r="G904" s="98">
        <v>19029</v>
      </c>
    </row>
    <row r="905" spans="1:7" ht="15.5" x14ac:dyDescent="0.35">
      <c r="A905" s="224" t="s">
        <v>56</v>
      </c>
      <c r="B905" s="224" t="s">
        <v>93</v>
      </c>
      <c r="C905" s="224" t="s">
        <v>107</v>
      </c>
      <c r="D905" s="224" t="s">
        <v>257</v>
      </c>
      <c r="E905" s="224" t="str">
        <f>VLOOKUP($B905,'FRS geographical categories'!$A$2:$C$45,2,FALSE)</f>
        <v>Significantly Rural</v>
      </c>
      <c r="F905" s="224" t="str">
        <f>VLOOKUP($B905,'FRS geographical categories'!$A$2:$C$45,3,FALSE)</f>
        <v>Non-metropolitan</v>
      </c>
      <c r="G905" s="98">
        <v>7</v>
      </c>
    </row>
    <row r="906" spans="1:7" ht="15.5" x14ac:dyDescent="0.35">
      <c r="A906" s="224" t="s">
        <v>56</v>
      </c>
      <c r="B906" s="224" t="s">
        <v>93</v>
      </c>
      <c r="C906" s="224" t="s">
        <v>108</v>
      </c>
      <c r="D906" s="224" t="s">
        <v>257</v>
      </c>
      <c r="E906" s="224" t="str">
        <f>VLOOKUP($B906,'FRS geographical categories'!$A$2:$C$45,2,FALSE)</f>
        <v>Significantly Rural</v>
      </c>
      <c r="F906" s="224" t="str">
        <f>VLOOKUP($B906,'FRS geographical categories'!$A$2:$C$45,3,FALSE)</f>
        <v>Non-metropolitan</v>
      </c>
      <c r="G906" s="98">
        <v>2998</v>
      </c>
    </row>
    <row r="907" spans="1:7" ht="15.5" x14ac:dyDescent="0.35">
      <c r="A907" s="224" t="s">
        <v>56</v>
      </c>
      <c r="B907" s="224" t="s">
        <v>93</v>
      </c>
      <c r="C907" s="224" t="s">
        <v>109</v>
      </c>
      <c r="D907" s="224" t="s">
        <v>257</v>
      </c>
      <c r="E907" s="224" t="str">
        <f>VLOOKUP($B907,'FRS geographical categories'!$A$2:$C$45,2,FALSE)</f>
        <v>Significantly Rural</v>
      </c>
      <c r="F907" s="224" t="str">
        <f>VLOOKUP($B907,'FRS geographical categories'!$A$2:$C$45,3,FALSE)</f>
        <v>Non-metropolitan</v>
      </c>
      <c r="G907" s="98">
        <v>0</v>
      </c>
    </row>
    <row r="908" spans="1:7" ht="15.5" x14ac:dyDescent="0.35">
      <c r="A908" s="224" t="s">
        <v>56</v>
      </c>
      <c r="B908" s="224" t="s">
        <v>28</v>
      </c>
      <c r="C908" s="224" t="s">
        <v>102</v>
      </c>
      <c r="D908" s="224" t="s">
        <v>257</v>
      </c>
      <c r="E908" s="224" t="str">
        <f>VLOOKUP($B908,'FRS geographical categories'!$A$2:$C$45,2,FALSE)</f>
        <v>Significantly Rural</v>
      </c>
      <c r="F908" s="224" t="str">
        <f>VLOOKUP($B908,'FRS geographical categories'!$A$2:$C$45,3,FALSE)</f>
        <v>Non-metropolitan</v>
      </c>
      <c r="G908" s="98">
        <v>0</v>
      </c>
    </row>
    <row r="909" spans="1:7" ht="15.5" x14ac:dyDescent="0.35">
      <c r="A909" s="224" t="s">
        <v>56</v>
      </c>
      <c r="B909" s="224" t="s">
        <v>28</v>
      </c>
      <c r="C909" s="224" t="s">
        <v>105</v>
      </c>
      <c r="D909" s="224" t="s">
        <v>257</v>
      </c>
      <c r="E909" s="224" t="str">
        <f>VLOOKUP($B909,'FRS geographical categories'!$A$2:$C$45,2,FALSE)</f>
        <v>Significantly Rural</v>
      </c>
      <c r="F909" s="224" t="str">
        <f>VLOOKUP($B909,'FRS geographical categories'!$A$2:$C$45,3,FALSE)</f>
        <v>Non-metropolitan</v>
      </c>
      <c r="G909" s="98">
        <v>0</v>
      </c>
    </row>
    <row r="910" spans="1:7" ht="15.5" x14ac:dyDescent="0.35">
      <c r="A910" s="224" t="s">
        <v>56</v>
      </c>
      <c r="B910" s="224" t="s">
        <v>28</v>
      </c>
      <c r="C910" s="224" t="s">
        <v>106</v>
      </c>
      <c r="D910" s="224" t="s">
        <v>257</v>
      </c>
      <c r="E910" s="224" t="str">
        <f>VLOOKUP($B910,'FRS geographical categories'!$A$2:$C$45,2,FALSE)</f>
        <v>Significantly Rural</v>
      </c>
      <c r="F910" s="224" t="str">
        <f>VLOOKUP($B910,'FRS geographical categories'!$A$2:$C$45,3,FALSE)</f>
        <v>Non-metropolitan</v>
      </c>
      <c r="G910" s="98">
        <v>910</v>
      </c>
    </row>
    <row r="911" spans="1:7" ht="15.5" x14ac:dyDescent="0.35">
      <c r="A911" s="224" t="s">
        <v>56</v>
      </c>
      <c r="B911" s="224" t="s">
        <v>28</v>
      </c>
      <c r="C911" s="224" t="s">
        <v>107</v>
      </c>
      <c r="D911" s="224" t="s">
        <v>257</v>
      </c>
      <c r="E911" s="224" t="str">
        <f>VLOOKUP($B911,'FRS geographical categories'!$A$2:$C$45,2,FALSE)</f>
        <v>Significantly Rural</v>
      </c>
      <c r="F911" s="224" t="str">
        <f>VLOOKUP($B911,'FRS geographical categories'!$A$2:$C$45,3,FALSE)</f>
        <v>Non-metropolitan</v>
      </c>
      <c r="G911" s="98">
        <v>0</v>
      </c>
    </row>
    <row r="912" spans="1:7" ht="15.5" x14ac:dyDescent="0.35">
      <c r="A912" s="224" t="s">
        <v>56</v>
      </c>
      <c r="B912" s="224" t="s">
        <v>28</v>
      </c>
      <c r="C912" s="224" t="s">
        <v>108</v>
      </c>
      <c r="D912" s="224" t="s">
        <v>257</v>
      </c>
      <c r="E912" s="224" t="str">
        <f>VLOOKUP($B912,'FRS geographical categories'!$A$2:$C$45,2,FALSE)</f>
        <v>Significantly Rural</v>
      </c>
      <c r="F912" s="224" t="str">
        <f>VLOOKUP($B912,'FRS geographical categories'!$A$2:$C$45,3,FALSE)</f>
        <v>Non-metropolitan</v>
      </c>
      <c r="G912" s="98">
        <v>2044</v>
      </c>
    </row>
    <row r="913" spans="1:7" ht="15.5" x14ac:dyDescent="0.35">
      <c r="A913" s="224" t="s">
        <v>56</v>
      </c>
      <c r="B913" s="224" t="s">
        <v>28</v>
      </c>
      <c r="C913" s="224" t="s">
        <v>109</v>
      </c>
      <c r="D913" s="224" t="s">
        <v>257</v>
      </c>
      <c r="E913" s="224" t="str">
        <f>VLOOKUP($B913,'FRS geographical categories'!$A$2:$C$45,2,FALSE)</f>
        <v>Significantly Rural</v>
      </c>
      <c r="F913" s="224" t="str">
        <f>VLOOKUP($B913,'FRS geographical categories'!$A$2:$C$45,3,FALSE)</f>
        <v>Non-metropolitan</v>
      </c>
      <c r="G913" s="98">
        <v>0</v>
      </c>
    </row>
    <row r="914" spans="1:7" ht="15.5" x14ac:dyDescent="0.35">
      <c r="A914" s="224" t="s">
        <v>56</v>
      </c>
      <c r="B914" s="224" t="s">
        <v>29</v>
      </c>
      <c r="C914" s="224" t="s">
        <v>102</v>
      </c>
      <c r="D914" s="224" t="s">
        <v>257</v>
      </c>
      <c r="E914" s="224" t="str">
        <f>VLOOKUP($B914,'FRS geographical categories'!$A$2:$C$45,2,FALSE)</f>
        <v>Predominantly Urban</v>
      </c>
      <c r="F914" s="224" t="str">
        <f>VLOOKUP($B914,'FRS geographical categories'!$A$2:$C$45,3,FALSE)</f>
        <v>Non-metropolitan</v>
      </c>
      <c r="G914" s="98">
        <v>0</v>
      </c>
    </row>
    <row r="915" spans="1:7" ht="15.5" x14ac:dyDescent="0.35">
      <c r="A915" s="224" t="s">
        <v>56</v>
      </c>
      <c r="B915" s="224" t="s">
        <v>29</v>
      </c>
      <c r="C915" s="224" t="s">
        <v>105</v>
      </c>
      <c r="D915" s="224" t="s">
        <v>257</v>
      </c>
      <c r="E915" s="224" t="str">
        <f>VLOOKUP($B915,'FRS geographical categories'!$A$2:$C$45,2,FALSE)</f>
        <v>Predominantly Urban</v>
      </c>
      <c r="F915" s="224" t="str">
        <f>VLOOKUP($B915,'FRS geographical categories'!$A$2:$C$45,3,FALSE)</f>
        <v>Non-metropolitan</v>
      </c>
      <c r="G915" s="98">
        <v>0</v>
      </c>
    </row>
    <row r="916" spans="1:7" ht="15.5" x14ac:dyDescent="0.35">
      <c r="A916" s="224" t="s">
        <v>56</v>
      </c>
      <c r="B916" s="224" t="s">
        <v>29</v>
      </c>
      <c r="C916" s="224" t="s">
        <v>106</v>
      </c>
      <c r="D916" s="224" t="s">
        <v>257</v>
      </c>
      <c r="E916" s="224" t="str">
        <f>VLOOKUP($B916,'FRS geographical categories'!$A$2:$C$45,2,FALSE)</f>
        <v>Predominantly Urban</v>
      </c>
      <c r="F916" s="224" t="str">
        <f>VLOOKUP($B916,'FRS geographical categories'!$A$2:$C$45,3,FALSE)</f>
        <v>Non-metropolitan</v>
      </c>
      <c r="G916" s="98">
        <v>5939</v>
      </c>
    </row>
    <row r="917" spans="1:7" ht="15.5" x14ac:dyDescent="0.35">
      <c r="A917" s="224" t="s">
        <v>56</v>
      </c>
      <c r="B917" s="224" t="s">
        <v>29</v>
      </c>
      <c r="C917" s="224" t="s">
        <v>107</v>
      </c>
      <c r="D917" s="224" t="s">
        <v>257</v>
      </c>
      <c r="E917" s="224" t="str">
        <f>VLOOKUP($B917,'FRS geographical categories'!$A$2:$C$45,2,FALSE)</f>
        <v>Predominantly Urban</v>
      </c>
      <c r="F917" s="224" t="str">
        <f>VLOOKUP($B917,'FRS geographical categories'!$A$2:$C$45,3,FALSE)</f>
        <v>Non-metropolitan</v>
      </c>
      <c r="G917" s="98">
        <v>0</v>
      </c>
    </row>
    <row r="918" spans="1:7" ht="15.5" x14ac:dyDescent="0.35">
      <c r="A918" s="224" t="s">
        <v>56</v>
      </c>
      <c r="B918" s="224" t="s">
        <v>29</v>
      </c>
      <c r="C918" s="224" t="s">
        <v>108</v>
      </c>
      <c r="D918" s="224" t="s">
        <v>257</v>
      </c>
      <c r="E918" s="224" t="str">
        <f>VLOOKUP($B918,'FRS geographical categories'!$A$2:$C$45,2,FALSE)</f>
        <v>Predominantly Urban</v>
      </c>
      <c r="F918" s="224" t="str">
        <f>VLOOKUP($B918,'FRS geographical categories'!$A$2:$C$45,3,FALSE)</f>
        <v>Non-metropolitan</v>
      </c>
      <c r="G918" s="98">
        <v>3722</v>
      </c>
    </row>
    <row r="919" spans="1:7" ht="15.5" x14ac:dyDescent="0.35">
      <c r="A919" s="224" t="s">
        <v>56</v>
      </c>
      <c r="B919" s="224" t="s">
        <v>29</v>
      </c>
      <c r="C919" s="224" t="s">
        <v>109</v>
      </c>
      <c r="D919" s="224" t="s">
        <v>257</v>
      </c>
      <c r="E919" s="224" t="str">
        <f>VLOOKUP($B919,'FRS geographical categories'!$A$2:$C$45,2,FALSE)</f>
        <v>Predominantly Urban</v>
      </c>
      <c r="F919" s="224" t="str">
        <f>VLOOKUP($B919,'FRS geographical categories'!$A$2:$C$45,3,FALSE)</f>
        <v>Non-metropolitan</v>
      </c>
      <c r="G919" s="98">
        <v>0</v>
      </c>
    </row>
    <row r="920" spans="1:7" ht="15.5" x14ac:dyDescent="0.35">
      <c r="A920" s="224" t="s">
        <v>56</v>
      </c>
      <c r="B920" s="224" t="s">
        <v>30</v>
      </c>
      <c r="C920" s="224" t="s">
        <v>102</v>
      </c>
      <c r="D920" s="224" t="s">
        <v>257</v>
      </c>
      <c r="E920" s="224" t="str">
        <f>VLOOKUP($B920,'FRS geographical categories'!$A$2:$C$45,2,FALSE)</f>
        <v>Significantly Rural</v>
      </c>
      <c r="F920" s="224" t="str">
        <f>VLOOKUP($B920,'FRS geographical categories'!$A$2:$C$45,3,FALSE)</f>
        <v>Non-metropolitan</v>
      </c>
      <c r="G920" s="98">
        <v>1623</v>
      </c>
    </row>
    <row r="921" spans="1:7" ht="15.5" x14ac:dyDescent="0.35">
      <c r="A921" s="224" t="s">
        <v>56</v>
      </c>
      <c r="B921" s="224" t="s">
        <v>30</v>
      </c>
      <c r="C921" s="224" t="s">
        <v>105</v>
      </c>
      <c r="D921" s="224" t="s">
        <v>257</v>
      </c>
      <c r="E921" s="224" t="str">
        <f>VLOOKUP($B921,'FRS geographical categories'!$A$2:$C$45,2,FALSE)</f>
        <v>Significantly Rural</v>
      </c>
      <c r="F921" s="224" t="str">
        <f>VLOOKUP($B921,'FRS geographical categories'!$A$2:$C$45,3,FALSE)</f>
        <v>Non-metropolitan</v>
      </c>
      <c r="G921" s="98">
        <v>0</v>
      </c>
    </row>
    <row r="922" spans="1:7" ht="15.5" x14ac:dyDescent="0.35">
      <c r="A922" s="224" t="s">
        <v>56</v>
      </c>
      <c r="B922" s="224" t="s">
        <v>30</v>
      </c>
      <c r="C922" s="224" t="s">
        <v>106</v>
      </c>
      <c r="D922" s="224" t="s">
        <v>257</v>
      </c>
      <c r="E922" s="224" t="str">
        <f>VLOOKUP($B922,'FRS geographical categories'!$A$2:$C$45,2,FALSE)</f>
        <v>Significantly Rural</v>
      </c>
      <c r="F922" s="224" t="str">
        <f>VLOOKUP($B922,'FRS geographical categories'!$A$2:$C$45,3,FALSE)</f>
        <v>Non-metropolitan</v>
      </c>
      <c r="G922" s="98">
        <v>26452</v>
      </c>
    </row>
    <row r="923" spans="1:7" ht="15.5" x14ac:dyDescent="0.35">
      <c r="A923" s="224" t="s">
        <v>56</v>
      </c>
      <c r="B923" s="224" t="s">
        <v>30</v>
      </c>
      <c r="C923" s="224" t="s">
        <v>107</v>
      </c>
      <c r="D923" s="224" t="s">
        <v>257</v>
      </c>
      <c r="E923" s="224" t="str">
        <f>VLOOKUP($B923,'FRS geographical categories'!$A$2:$C$45,2,FALSE)</f>
        <v>Significantly Rural</v>
      </c>
      <c r="F923" s="224" t="str">
        <f>VLOOKUP($B923,'FRS geographical categories'!$A$2:$C$45,3,FALSE)</f>
        <v>Non-metropolitan</v>
      </c>
      <c r="G923" s="98">
        <v>0</v>
      </c>
    </row>
    <row r="924" spans="1:7" ht="15.5" x14ac:dyDescent="0.35">
      <c r="A924" s="224" t="s">
        <v>56</v>
      </c>
      <c r="B924" s="224" t="s">
        <v>30</v>
      </c>
      <c r="C924" s="224" t="s">
        <v>108</v>
      </c>
      <c r="D924" s="224" t="s">
        <v>257</v>
      </c>
      <c r="E924" s="224" t="str">
        <f>VLOOKUP($B924,'FRS geographical categories'!$A$2:$C$45,2,FALSE)</f>
        <v>Significantly Rural</v>
      </c>
      <c r="F924" s="224" t="str">
        <f>VLOOKUP($B924,'FRS geographical categories'!$A$2:$C$45,3,FALSE)</f>
        <v>Non-metropolitan</v>
      </c>
      <c r="G924" s="98">
        <v>0</v>
      </c>
    </row>
    <row r="925" spans="1:7" ht="15.5" x14ac:dyDescent="0.35">
      <c r="A925" s="224" t="s">
        <v>56</v>
      </c>
      <c r="B925" s="224" t="s">
        <v>30</v>
      </c>
      <c r="C925" s="224" t="s">
        <v>109</v>
      </c>
      <c r="D925" s="224" t="s">
        <v>257</v>
      </c>
      <c r="E925" s="224" t="str">
        <f>VLOOKUP($B925,'FRS geographical categories'!$A$2:$C$45,2,FALSE)</f>
        <v>Significantly Rural</v>
      </c>
      <c r="F925" s="224" t="str">
        <f>VLOOKUP($B925,'FRS geographical categories'!$A$2:$C$45,3,FALSE)</f>
        <v>Non-metropolitan</v>
      </c>
      <c r="G925" s="98">
        <v>0</v>
      </c>
    </row>
    <row r="926" spans="1:7" ht="15.5" x14ac:dyDescent="0.35">
      <c r="A926" s="224" t="s">
        <v>56</v>
      </c>
      <c r="B926" s="224" t="s">
        <v>31</v>
      </c>
      <c r="C926" s="224" t="s">
        <v>102</v>
      </c>
      <c r="D926" s="224" t="s">
        <v>257</v>
      </c>
      <c r="E926" s="224" t="str">
        <f>VLOOKUP($B926,'FRS geographical categories'!$A$2:$C$45,2,FALSE)</f>
        <v>Predominantly Rural</v>
      </c>
      <c r="F926" s="224" t="str">
        <f>VLOOKUP($B926,'FRS geographical categories'!$A$2:$C$45,3,FALSE)</f>
        <v>Non-metropolitan</v>
      </c>
      <c r="G926" s="98">
        <v>0</v>
      </c>
    </row>
    <row r="927" spans="1:7" ht="15.5" x14ac:dyDescent="0.35">
      <c r="A927" s="224" t="s">
        <v>56</v>
      </c>
      <c r="B927" s="224" t="s">
        <v>31</v>
      </c>
      <c r="C927" s="224" t="s">
        <v>105</v>
      </c>
      <c r="D927" s="224" t="s">
        <v>257</v>
      </c>
      <c r="E927" s="224" t="str">
        <f>VLOOKUP($B927,'FRS geographical categories'!$A$2:$C$45,2,FALSE)</f>
        <v>Predominantly Rural</v>
      </c>
      <c r="F927" s="224" t="str">
        <f>VLOOKUP($B927,'FRS geographical categories'!$A$2:$C$45,3,FALSE)</f>
        <v>Non-metropolitan</v>
      </c>
      <c r="G927" s="98">
        <v>0</v>
      </c>
    </row>
    <row r="928" spans="1:7" ht="15.5" x14ac:dyDescent="0.35">
      <c r="A928" s="224" t="s">
        <v>56</v>
      </c>
      <c r="B928" s="224" t="s">
        <v>31</v>
      </c>
      <c r="C928" s="224" t="s">
        <v>106</v>
      </c>
      <c r="D928" s="224" t="s">
        <v>257</v>
      </c>
      <c r="E928" s="224" t="str">
        <f>VLOOKUP($B928,'FRS geographical categories'!$A$2:$C$45,2,FALSE)</f>
        <v>Predominantly Rural</v>
      </c>
      <c r="F928" s="224" t="str">
        <f>VLOOKUP($B928,'FRS geographical categories'!$A$2:$C$45,3,FALSE)</f>
        <v>Non-metropolitan</v>
      </c>
      <c r="G928" s="98">
        <v>102</v>
      </c>
    </row>
    <row r="929" spans="1:7" ht="15.5" x14ac:dyDescent="0.35">
      <c r="A929" s="224" t="s">
        <v>56</v>
      </c>
      <c r="B929" s="224" t="s">
        <v>31</v>
      </c>
      <c r="C929" s="224" t="s">
        <v>107</v>
      </c>
      <c r="D929" s="224" t="s">
        <v>257</v>
      </c>
      <c r="E929" s="224" t="str">
        <f>VLOOKUP($B929,'FRS geographical categories'!$A$2:$C$45,2,FALSE)</f>
        <v>Predominantly Rural</v>
      </c>
      <c r="F929" s="224" t="str">
        <f>VLOOKUP($B929,'FRS geographical categories'!$A$2:$C$45,3,FALSE)</f>
        <v>Non-metropolitan</v>
      </c>
      <c r="G929" s="98">
        <v>0</v>
      </c>
    </row>
    <row r="930" spans="1:7" ht="15.5" x14ac:dyDescent="0.35">
      <c r="A930" s="224" t="s">
        <v>56</v>
      </c>
      <c r="B930" s="224" t="s">
        <v>31</v>
      </c>
      <c r="C930" s="224" t="s">
        <v>108</v>
      </c>
      <c r="D930" s="224" t="s">
        <v>257</v>
      </c>
      <c r="E930" s="224" t="str">
        <f>VLOOKUP($B930,'FRS geographical categories'!$A$2:$C$45,2,FALSE)</f>
        <v>Predominantly Rural</v>
      </c>
      <c r="F930" s="224" t="str">
        <f>VLOOKUP($B930,'FRS geographical categories'!$A$2:$C$45,3,FALSE)</f>
        <v>Non-metropolitan</v>
      </c>
      <c r="G930" s="98">
        <v>0</v>
      </c>
    </row>
    <row r="931" spans="1:7" ht="15.5" x14ac:dyDescent="0.35">
      <c r="A931" s="224" t="s">
        <v>56</v>
      </c>
      <c r="B931" s="224" t="s">
        <v>31</v>
      </c>
      <c r="C931" s="224" t="s">
        <v>109</v>
      </c>
      <c r="D931" s="224" t="s">
        <v>257</v>
      </c>
      <c r="E931" s="224" t="str">
        <f>VLOOKUP($B931,'FRS geographical categories'!$A$2:$C$45,2,FALSE)</f>
        <v>Predominantly Rural</v>
      </c>
      <c r="F931" s="224" t="str">
        <f>VLOOKUP($B931,'FRS geographical categories'!$A$2:$C$45,3,FALSE)</f>
        <v>Non-metropolitan</v>
      </c>
      <c r="G931" s="98">
        <v>0</v>
      </c>
    </row>
    <row r="932" spans="1:7" ht="15.5" x14ac:dyDescent="0.35">
      <c r="A932" s="224" t="s">
        <v>56</v>
      </c>
      <c r="B932" s="224" t="s">
        <v>32</v>
      </c>
      <c r="C932" s="224" t="s">
        <v>102</v>
      </c>
      <c r="D932" s="224" t="s">
        <v>257</v>
      </c>
      <c r="E932" s="224" t="str">
        <f>VLOOKUP($B932,'FRS geographical categories'!$A$2:$C$45,2,FALSE)</f>
        <v>Significantly Rural</v>
      </c>
      <c r="F932" s="224" t="str">
        <f>VLOOKUP($B932,'FRS geographical categories'!$A$2:$C$45,3,FALSE)</f>
        <v>Non-metropolitan</v>
      </c>
      <c r="G932" s="98">
        <v>11306</v>
      </c>
    </row>
    <row r="933" spans="1:7" ht="15.5" x14ac:dyDescent="0.35">
      <c r="A933" s="224" t="s">
        <v>56</v>
      </c>
      <c r="B933" s="224" t="s">
        <v>32</v>
      </c>
      <c r="C933" s="224" t="s">
        <v>105</v>
      </c>
      <c r="D933" s="224" t="s">
        <v>257</v>
      </c>
      <c r="E933" s="224" t="str">
        <f>VLOOKUP($B933,'FRS geographical categories'!$A$2:$C$45,2,FALSE)</f>
        <v>Significantly Rural</v>
      </c>
      <c r="F933" s="224" t="str">
        <f>VLOOKUP($B933,'FRS geographical categories'!$A$2:$C$45,3,FALSE)</f>
        <v>Non-metropolitan</v>
      </c>
      <c r="G933" s="98">
        <v>0</v>
      </c>
    </row>
    <row r="934" spans="1:7" ht="15.5" x14ac:dyDescent="0.35">
      <c r="A934" s="224" t="s">
        <v>56</v>
      </c>
      <c r="B934" s="224" t="s">
        <v>32</v>
      </c>
      <c r="C934" s="224" t="s">
        <v>106</v>
      </c>
      <c r="D934" s="224" t="s">
        <v>257</v>
      </c>
      <c r="E934" s="224" t="str">
        <f>VLOOKUP($B934,'FRS geographical categories'!$A$2:$C$45,2,FALSE)</f>
        <v>Significantly Rural</v>
      </c>
      <c r="F934" s="224" t="str">
        <f>VLOOKUP($B934,'FRS geographical categories'!$A$2:$C$45,3,FALSE)</f>
        <v>Non-metropolitan</v>
      </c>
      <c r="G934" s="98">
        <v>21246</v>
      </c>
    </row>
    <row r="935" spans="1:7" ht="15.5" x14ac:dyDescent="0.35">
      <c r="A935" s="224" t="s">
        <v>56</v>
      </c>
      <c r="B935" s="224" t="s">
        <v>32</v>
      </c>
      <c r="C935" s="224" t="s">
        <v>107</v>
      </c>
      <c r="D935" s="224" t="s">
        <v>257</v>
      </c>
      <c r="E935" s="224" t="str">
        <f>VLOOKUP($B935,'FRS geographical categories'!$A$2:$C$45,2,FALSE)</f>
        <v>Significantly Rural</v>
      </c>
      <c r="F935" s="224" t="str">
        <f>VLOOKUP($B935,'FRS geographical categories'!$A$2:$C$45,3,FALSE)</f>
        <v>Non-metropolitan</v>
      </c>
      <c r="G935" s="98">
        <v>0</v>
      </c>
    </row>
    <row r="936" spans="1:7" ht="15.5" x14ac:dyDescent="0.35">
      <c r="A936" s="224" t="s">
        <v>56</v>
      </c>
      <c r="B936" s="224" t="s">
        <v>32</v>
      </c>
      <c r="C936" s="224" t="s">
        <v>108</v>
      </c>
      <c r="D936" s="224" t="s">
        <v>257</v>
      </c>
      <c r="E936" s="224" t="str">
        <f>VLOOKUP($B936,'FRS geographical categories'!$A$2:$C$45,2,FALSE)</f>
        <v>Significantly Rural</v>
      </c>
      <c r="F936" s="224" t="str">
        <f>VLOOKUP($B936,'FRS geographical categories'!$A$2:$C$45,3,FALSE)</f>
        <v>Non-metropolitan</v>
      </c>
      <c r="G936" s="98">
        <v>0</v>
      </c>
    </row>
    <row r="937" spans="1:7" ht="15.5" x14ac:dyDescent="0.35">
      <c r="A937" s="224" t="s">
        <v>56</v>
      </c>
      <c r="B937" s="224" t="s">
        <v>32</v>
      </c>
      <c r="C937" s="224" t="s">
        <v>109</v>
      </c>
      <c r="D937" s="224" t="s">
        <v>257</v>
      </c>
      <c r="E937" s="224" t="str">
        <f>VLOOKUP($B937,'FRS geographical categories'!$A$2:$C$45,2,FALSE)</f>
        <v>Significantly Rural</v>
      </c>
      <c r="F937" s="224" t="str">
        <f>VLOOKUP($B937,'FRS geographical categories'!$A$2:$C$45,3,FALSE)</f>
        <v>Non-metropolitan</v>
      </c>
      <c r="G937" s="98">
        <v>0</v>
      </c>
    </row>
    <row r="938" spans="1:7" ht="15.5" x14ac:dyDescent="0.35">
      <c r="A938" s="224" t="s">
        <v>56</v>
      </c>
      <c r="B938" s="224" t="s">
        <v>33</v>
      </c>
      <c r="C938" s="224" t="s">
        <v>102</v>
      </c>
      <c r="D938" s="224" t="s">
        <v>257</v>
      </c>
      <c r="E938" s="224" t="str">
        <f>VLOOKUP($B938,'FRS geographical categories'!$A$2:$C$45,2,FALSE)</f>
        <v>Predominantly Urban</v>
      </c>
      <c r="F938" s="224" t="str">
        <f>VLOOKUP($B938,'FRS geographical categories'!$A$2:$C$45,3,FALSE)</f>
        <v>Non-metropolitan</v>
      </c>
      <c r="G938" s="98">
        <v>9731</v>
      </c>
    </row>
    <row r="939" spans="1:7" ht="15.5" x14ac:dyDescent="0.35">
      <c r="A939" s="224" t="s">
        <v>56</v>
      </c>
      <c r="B939" s="224" t="s">
        <v>33</v>
      </c>
      <c r="C939" s="224" t="s">
        <v>105</v>
      </c>
      <c r="D939" s="224" t="s">
        <v>257</v>
      </c>
      <c r="E939" s="224" t="str">
        <f>VLOOKUP($B939,'FRS geographical categories'!$A$2:$C$45,2,FALSE)</f>
        <v>Predominantly Urban</v>
      </c>
      <c r="F939" s="224" t="str">
        <f>VLOOKUP($B939,'FRS geographical categories'!$A$2:$C$45,3,FALSE)</f>
        <v>Non-metropolitan</v>
      </c>
      <c r="G939" s="98">
        <v>0</v>
      </c>
    </row>
    <row r="940" spans="1:7" ht="15.5" x14ac:dyDescent="0.35">
      <c r="A940" s="224" t="s">
        <v>56</v>
      </c>
      <c r="B940" s="224" t="s">
        <v>33</v>
      </c>
      <c r="C940" s="224" t="s">
        <v>106</v>
      </c>
      <c r="D940" s="224" t="s">
        <v>257</v>
      </c>
      <c r="E940" s="224" t="str">
        <f>VLOOKUP($B940,'FRS geographical categories'!$A$2:$C$45,2,FALSE)</f>
        <v>Predominantly Urban</v>
      </c>
      <c r="F940" s="224" t="str">
        <f>VLOOKUP($B940,'FRS geographical categories'!$A$2:$C$45,3,FALSE)</f>
        <v>Non-metropolitan</v>
      </c>
      <c r="G940" s="98">
        <v>19702</v>
      </c>
    </row>
    <row r="941" spans="1:7" ht="15.5" x14ac:dyDescent="0.35">
      <c r="A941" s="224" t="s">
        <v>56</v>
      </c>
      <c r="B941" s="224" t="s">
        <v>33</v>
      </c>
      <c r="C941" s="224" t="s">
        <v>107</v>
      </c>
      <c r="D941" s="224" t="s">
        <v>257</v>
      </c>
      <c r="E941" s="224" t="str">
        <f>VLOOKUP($B941,'FRS geographical categories'!$A$2:$C$45,2,FALSE)</f>
        <v>Predominantly Urban</v>
      </c>
      <c r="F941" s="224" t="str">
        <f>VLOOKUP($B941,'FRS geographical categories'!$A$2:$C$45,3,FALSE)</f>
        <v>Non-metropolitan</v>
      </c>
      <c r="G941" s="98">
        <v>0</v>
      </c>
    </row>
    <row r="942" spans="1:7" ht="15.5" x14ac:dyDescent="0.35">
      <c r="A942" s="224" t="s">
        <v>56</v>
      </c>
      <c r="B942" s="224" t="s">
        <v>33</v>
      </c>
      <c r="C942" s="224" t="s">
        <v>108</v>
      </c>
      <c r="D942" s="224" t="s">
        <v>257</v>
      </c>
      <c r="E942" s="224" t="str">
        <f>VLOOKUP($B942,'FRS geographical categories'!$A$2:$C$45,2,FALSE)</f>
        <v>Predominantly Urban</v>
      </c>
      <c r="F942" s="224" t="str">
        <f>VLOOKUP($B942,'FRS geographical categories'!$A$2:$C$45,3,FALSE)</f>
        <v>Non-metropolitan</v>
      </c>
      <c r="G942" s="98">
        <v>0</v>
      </c>
    </row>
    <row r="943" spans="1:7" ht="15.5" x14ac:dyDescent="0.35">
      <c r="A943" s="224" t="s">
        <v>56</v>
      </c>
      <c r="B943" s="224" t="s">
        <v>33</v>
      </c>
      <c r="C943" s="224" t="s">
        <v>109</v>
      </c>
      <c r="D943" s="224" t="s">
        <v>257</v>
      </c>
      <c r="E943" s="224" t="str">
        <f>VLOOKUP($B943,'FRS geographical categories'!$A$2:$C$45,2,FALSE)</f>
        <v>Predominantly Urban</v>
      </c>
      <c r="F943" s="224" t="str">
        <f>VLOOKUP($B943,'FRS geographical categories'!$A$2:$C$45,3,FALSE)</f>
        <v>Non-metropolitan</v>
      </c>
      <c r="G943" s="98">
        <v>0</v>
      </c>
    </row>
    <row r="944" spans="1:7" ht="15.5" x14ac:dyDescent="0.35">
      <c r="A944" s="224" t="s">
        <v>56</v>
      </c>
      <c r="B944" s="224" t="s">
        <v>34</v>
      </c>
      <c r="C944" s="224" t="s">
        <v>102</v>
      </c>
      <c r="D944" s="224" t="s">
        <v>257</v>
      </c>
      <c r="E944" s="224" t="str">
        <f>VLOOKUP($B944,'FRS geographical categories'!$A$2:$C$45,2,FALSE)</f>
        <v>Significantly Rural</v>
      </c>
      <c r="F944" s="224" t="str">
        <f>VLOOKUP($B944,'FRS geographical categories'!$A$2:$C$45,3,FALSE)</f>
        <v>Non-metropolitan</v>
      </c>
      <c r="G944" s="98">
        <v>0</v>
      </c>
    </row>
    <row r="945" spans="1:7" ht="15.5" x14ac:dyDescent="0.35">
      <c r="A945" s="224" t="s">
        <v>56</v>
      </c>
      <c r="B945" s="224" t="s">
        <v>34</v>
      </c>
      <c r="C945" s="224" t="s">
        <v>105</v>
      </c>
      <c r="D945" s="224" t="s">
        <v>257</v>
      </c>
      <c r="E945" s="224" t="str">
        <f>VLOOKUP($B945,'FRS geographical categories'!$A$2:$C$45,2,FALSE)</f>
        <v>Significantly Rural</v>
      </c>
      <c r="F945" s="224" t="str">
        <f>VLOOKUP($B945,'FRS geographical categories'!$A$2:$C$45,3,FALSE)</f>
        <v>Non-metropolitan</v>
      </c>
      <c r="G945" s="98">
        <v>9</v>
      </c>
    </row>
    <row r="946" spans="1:7" ht="15.5" x14ac:dyDescent="0.35">
      <c r="A946" s="224" t="s">
        <v>56</v>
      </c>
      <c r="B946" s="224" t="s">
        <v>34</v>
      </c>
      <c r="C946" s="224" t="s">
        <v>106</v>
      </c>
      <c r="D946" s="224" t="s">
        <v>257</v>
      </c>
      <c r="E946" s="224" t="str">
        <f>VLOOKUP($B946,'FRS geographical categories'!$A$2:$C$45,2,FALSE)</f>
        <v>Significantly Rural</v>
      </c>
      <c r="F946" s="224" t="str">
        <f>VLOOKUP($B946,'FRS geographical categories'!$A$2:$C$45,3,FALSE)</f>
        <v>Non-metropolitan</v>
      </c>
      <c r="G946" s="98">
        <v>19488</v>
      </c>
    </row>
    <row r="947" spans="1:7" ht="15.5" x14ac:dyDescent="0.35">
      <c r="A947" s="224" t="s">
        <v>56</v>
      </c>
      <c r="B947" s="224" t="s">
        <v>34</v>
      </c>
      <c r="C947" s="224" t="s">
        <v>107</v>
      </c>
      <c r="D947" s="224" t="s">
        <v>257</v>
      </c>
      <c r="E947" s="224" t="str">
        <f>VLOOKUP($B947,'FRS geographical categories'!$A$2:$C$45,2,FALSE)</f>
        <v>Significantly Rural</v>
      </c>
      <c r="F947" s="224" t="str">
        <f>VLOOKUP($B947,'FRS geographical categories'!$A$2:$C$45,3,FALSE)</f>
        <v>Non-metropolitan</v>
      </c>
      <c r="G947" s="98">
        <v>0</v>
      </c>
    </row>
    <row r="948" spans="1:7" ht="15.5" x14ac:dyDescent="0.35">
      <c r="A948" s="224" t="s">
        <v>56</v>
      </c>
      <c r="B948" s="224" t="s">
        <v>34</v>
      </c>
      <c r="C948" s="224" t="s">
        <v>108</v>
      </c>
      <c r="D948" s="224" t="s">
        <v>257</v>
      </c>
      <c r="E948" s="224" t="str">
        <f>VLOOKUP($B948,'FRS geographical categories'!$A$2:$C$45,2,FALSE)</f>
        <v>Significantly Rural</v>
      </c>
      <c r="F948" s="224" t="str">
        <f>VLOOKUP($B948,'FRS geographical categories'!$A$2:$C$45,3,FALSE)</f>
        <v>Non-metropolitan</v>
      </c>
      <c r="G948" s="98">
        <v>3006</v>
      </c>
    </row>
    <row r="949" spans="1:7" ht="15.5" x14ac:dyDescent="0.35">
      <c r="A949" s="224" t="s">
        <v>56</v>
      </c>
      <c r="B949" s="224" t="s">
        <v>34</v>
      </c>
      <c r="C949" s="224" t="s">
        <v>109</v>
      </c>
      <c r="D949" s="224" t="s">
        <v>257</v>
      </c>
      <c r="E949" s="224" t="str">
        <f>VLOOKUP($B949,'FRS geographical categories'!$A$2:$C$45,2,FALSE)</f>
        <v>Significantly Rural</v>
      </c>
      <c r="F949" s="224" t="str">
        <f>VLOOKUP($B949,'FRS geographical categories'!$A$2:$C$45,3,FALSE)</f>
        <v>Non-metropolitan</v>
      </c>
      <c r="G949" s="98">
        <v>180</v>
      </c>
    </row>
    <row r="950" spans="1:7" ht="15.5" x14ac:dyDescent="0.35">
      <c r="A950" s="224" t="s">
        <v>56</v>
      </c>
      <c r="B950" s="224" t="s">
        <v>35</v>
      </c>
      <c r="C950" s="224" t="s">
        <v>102</v>
      </c>
      <c r="D950" s="224" t="s">
        <v>257</v>
      </c>
      <c r="E950" s="224" t="str">
        <f>VLOOKUP($B950,'FRS geographical categories'!$A$2:$C$45,2,FALSE)</f>
        <v>Predominantly Rural</v>
      </c>
      <c r="F950" s="224" t="str">
        <f>VLOOKUP($B950,'FRS geographical categories'!$A$2:$C$45,3,FALSE)</f>
        <v>Non-metropolitan</v>
      </c>
      <c r="G950" s="98">
        <v>2332</v>
      </c>
    </row>
    <row r="951" spans="1:7" ht="15.5" x14ac:dyDescent="0.35">
      <c r="A951" s="224" t="s">
        <v>56</v>
      </c>
      <c r="B951" s="224" t="s">
        <v>35</v>
      </c>
      <c r="C951" s="224" t="s">
        <v>105</v>
      </c>
      <c r="D951" s="224" t="s">
        <v>257</v>
      </c>
      <c r="E951" s="224" t="str">
        <f>VLOOKUP($B951,'FRS geographical categories'!$A$2:$C$45,2,FALSE)</f>
        <v>Predominantly Rural</v>
      </c>
      <c r="F951" s="224" t="str">
        <f>VLOOKUP($B951,'FRS geographical categories'!$A$2:$C$45,3,FALSE)</f>
        <v>Non-metropolitan</v>
      </c>
      <c r="G951" s="98">
        <v>0</v>
      </c>
    </row>
    <row r="952" spans="1:7" ht="15.5" x14ac:dyDescent="0.35">
      <c r="A952" s="224" t="s">
        <v>56</v>
      </c>
      <c r="B952" s="224" t="s">
        <v>35</v>
      </c>
      <c r="C952" s="224" t="s">
        <v>106</v>
      </c>
      <c r="D952" s="224" t="s">
        <v>257</v>
      </c>
      <c r="E952" s="224" t="str">
        <f>VLOOKUP($B952,'FRS geographical categories'!$A$2:$C$45,2,FALSE)</f>
        <v>Predominantly Rural</v>
      </c>
      <c r="F952" s="224" t="str">
        <f>VLOOKUP($B952,'FRS geographical categories'!$A$2:$C$45,3,FALSE)</f>
        <v>Non-metropolitan</v>
      </c>
      <c r="G952" s="98">
        <v>4692</v>
      </c>
    </row>
    <row r="953" spans="1:7" ht="15.5" x14ac:dyDescent="0.35">
      <c r="A953" s="224" t="s">
        <v>56</v>
      </c>
      <c r="B953" s="224" t="s">
        <v>35</v>
      </c>
      <c r="C953" s="224" t="s">
        <v>107</v>
      </c>
      <c r="D953" s="224" t="s">
        <v>257</v>
      </c>
      <c r="E953" s="224" t="str">
        <f>VLOOKUP($B953,'FRS geographical categories'!$A$2:$C$45,2,FALSE)</f>
        <v>Predominantly Rural</v>
      </c>
      <c r="F953" s="224" t="str">
        <f>VLOOKUP($B953,'FRS geographical categories'!$A$2:$C$45,3,FALSE)</f>
        <v>Non-metropolitan</v>
      </c>
      <c r="G953" s="98">
        <v>0</v>
      </c>
    </row>
    <row r="954" spans="1:7" ht="15.5" x14ac:dyDescent="0.35">
      <c r="A954" s="224" t="s">
        <v>56</v>
      </c>
      <c r="B954" s="224" t="s">
        <v>35</v>
      </c>
      <c r="C954" s="224" t="s">
        <v>108</v>
      </c>
      <c r="D954" s="224" t="s">
        <v>257</v>
      </c>
      <c r="E954" s="224" t="str">
        <f>VLOOKUP($B954,'FRS geographical categories'!$A$2:$C$45,2,FALSE)</f>
        <v>Predominantly Rural</v>
      </c>
      <c r="F954" s="224" t="str">
        <f>VLOOKUP($B954,'FRS geographical categories'!$A$2:$C$45,3,FALSE)</f>
        <v>Non-metropolitan</v>
      </c>
      <c r="G954" s="98">
        <v>0</v>
      </c>
    </row>
    <row r="955" spans="1:7" ht="15.5" x14ac:dyDescent="0.35">
      <c r="A955" s="224" t="s">
        <v>56</v>
      </c>
      <c r="B955" s="224" t="s">
        <v>35</v>
      </c>
      <c r="C955" s="224" t="s">
        <v>109</v>
      </c>
      <c r="D955" s="224" t="s">
        <v>257</v>
      </c>
      <c r="E955" s="224" t="str">
        <f>VLOOKUP($B955,'FRS geographical categories'!$A$2:$C$45,2,FALSE)</f>
        <v>Predominantly Rural</v>
      </c>
      <c r="F955" s="224" t="str">
        <f>VLOOKUP($B955,'FRS geographical categories'!$A$2:$C$45,3,FALSE)</f>
        <v>Non-metropolitan</v>
      </c>
      <c r="G955" s="98">
        <v>0</v>
      </c>
    </row>
    <row r="956" spans="1:7" ht="15.5" x14ac:dyDescent="0.35">
      <c r="A956" s="224" t="s">
        <v>56</v>
      </c>
      <c r="B956" s="224" t="s">
        <v>36</v>
      </c>
      <c r="C956" s="224" t="s">
        <v>102</v>
      </c>
      <c r="D956" s="224" t="s">
        <v>257</v>
      </c>
      <c r="E956" s="224" t="str">
        <f>VLOOKUP($B956,'FRS geographical categories'!$A$2:$C$45,2,FALSE)</f>
        <v>Predominantly Urban</v>
      </c>
      <c r="F956" s="224" t="str">
        <f>VLOOKUP($B956,'FRS geographical categories'!$A$2:$C$45,3,FALSE)</f>
        <v>Metropolitan</v>
      </c>
      <c r="G956" s="98">
        <v>9305</v>
      </c>
    </row>
    <row r="957" spans="1:7" ht="15.5" x14ac:dyDescent="0.35">
      <c r="A957" s="224" t="s">
        <v>56</v>
      </c>
      <c r="B957" s="224" t="s">
        <v>36</v>
      </c>
      <c r="C957" s="224" t="s">
        <v>105</v>
      </c>
      <c r="D957" s="224" t="s">
        <v>257</v>
      </c>
      <c r="E957" s="224" t="str">
        <f>VLOOKUP($B957,'FRS geographical categories'!$A$2:$C$45,2,FALSE)</f>
        <v>Predominantly Urban</v>
      </c>
      <c r="F957" s="224" t="str">
        <f>VLOOKUP($B957,'FRS geographical categories'!$A$2:$C$45,3,FALSE)</f>
        <v>Metropolitan</v>
      </c>
      <c r="G957" s="98">
        <v>0</v>
      </c>
    </row>
    <row r="958" spans="1:7" ht="15.5" x14ac:dyDescent="0.35">
      <c r="A958" s="224" t="s">
        <v>56</v>
      </c>
      <c r="B958" s="224" t="s">
        <v>36</v>
      </c>
      <c r="C958" s="224" t="s">
        <v>106</v>
      </c>
      <c r="D958" s="224" t="s">
        <v>257</v>
      </c>
      <c r="E958" s="224" t="str">
        <f>VLOOKUP($B958,'FRS geographical categories'!$A$2:$C$45,2,FALSE)</f>
        <v>Predominantly Urban</v>
      </c>
      <c r="F958" s="224" t="str">
        <f>VLOOKUP($B958,'FRS geographical categories'!$A$2:$C$45,3,FALSE)</f>
        <v>Metropolitan</v>
      </c>
      <c r="G958" s="98">
        <v>79886</v>
      </c>
    </row>
    <row r="959" spans="1:7" ht="15.5" x14ac:dyDescent="0.35">
      <c r="A959" s="224" t="s">
        <v>56</v>
      </c>
      <c r="B959" s="224" t="s">
        <v>36</v>
      </c>
      <c r="C959" s="224" t="s">
        <v>107</v>
      </c>
      <c r="D959" s="224" t="s">
        <v>257</v>
      </c>
      <c r="E959" s="224" t="str">
        <f>VLOOKUP($B959,'FRS geographical categories'!$A$2:$C$45,2,FALSE)</f>
        <v>Predominantly Urban</v>
      </c>
      <c r="F959" s="224" t="str">
        <f>VLOOKUP($B959,'FRS geographical categories'!$A$2:$C$45,3,FALSE)</f>
        <v>Metropolitan</v>
      </c>
      <c r="G959" s="98">
        <v>0</v>
      </c>
    </row>
    <row r="960" spans="1:7" ht="15.5" x14ac:dyDescent="0.35">
      <c r="A960" s="224" t="s">
        <v>56</v>
      </c>
      <c r="B960" s="224" t="s">
        <v>36</v>
      </c>
      <c r="C960" s="224" t="s">
        <v>108</v>
      </c>
      <c r="D960" s="224" t="s">
        <v>257</v>
      </c>
      <c r="E960" s="224" t="str">
        <f>VLOOKUP($B960,'FRS geographical categories'!$A$2:$C$45,2,FALSE)</f>
        <v>Predominantly Urban</v>
      </c>
      <c r="F960" s="224" t="str">
        <f>VLOOKUP($B960,'FRS geographical categories'!$A$2:$C$45,3,FALSE)</f>
        <v>Metropolitan</v>
      </c>
      <c r="G960" s="98">
        <v>0</v>
      </c>
    </row>
    <row r="961" spans="1:7" ht="15.5" x14ac:dyDescent="0.35">
      <c r="A961" s="224" t="s">
        <v>56</v>
      </c>
      <c r="B961" s="224" t="s">
        <v>36</v>
      </c>
      <c r="C961" s="224" t="s">
        <v>109</v>
      </c>
      <c r="D961" s="224" t="s">
        <v>257</v>
      </c>
      <c r="E961" s="224" t="str">
        <f>VLOOKUP($B961,'FRS geographical categories'!$A$2:$C$45,2,FALSE)</f>
        <v>Predominantly Urban</v>
      </c>
      <c r="F961" s="224" t="str">
        <f>VLOOKUP($B961,'FRS geographical categories'!$A$2:$C$45,3,FALSE)</f>
        <v>Metropolitan</v>
      </c>
      <c r="G961" s="98">
        <v>0</v>
      </c>
    </row>
    <row r="962" spans="1:7" ht="15.5" x14ac:dyDescent="0.35">
      <c r="A962" s="224" t="s">
        <v>56</v>
      </c>
      <c r="B962" s="224" t="s">
        <v>37</v>
      </c>
      <c r="C962" s="224" t="s">
        <v>102</v>
      </c>
      <c r="D962" s="224" t="s">
        <v>257</v>
      </c>
      <c r="E962" s="224" t="str">
        <f>VLOOKUP($B962,'FRS geographical categories'!$A$2:$C$45,2,FALSE)</f>
        <v>Predominantly Rural</v>
      </c>
      <c r="F962" s="224" t="str">
        <f>VLOOKUP($B962,'FRS geographical categories'!$A$2:$C$45,3,FALSE)</f>
        <v>Non-metropolitan</v>
      </c>
      <c r="G962" s="98">
        <v>695</v>
      </c>
    </row>
    <row r="963" spans="1:7" ht="15.5" x14ac:dyDescent="0.35">
      <c r="A963" s="224" t="s">
        <v>56</v>
      </c>
      <c r="B963" s="224" t="s">
        <v>37</v>
      </c>
      <c r="C963" s="224" t="s">
        <v>105</v>
      </c>
      <c r="D963" s="224" t="s">
        <v>257</v>
      </c>
      <c r="E963" s="224" t="str">
        <f>VLOOKUP($B963,'FRS geographical categories'!$A$2:$C$45,2,FALSE)</f>
        <v>Predominantly Rural</v>
      </c>
      <c r="F963" s="224" t="str">
        <f>VLOOKUP($B963,'FRS geographical categories'!$A$2:$C$45,3,FALSE)</f>
        <v>Non-metropolitan</v>
      </c>
      <c r="G963" s="98">
        <v>0</v>
      </c>
    </row>
    <row r="964" spans="1:7" ht="15.5" x14ac:dyDescent="0.35">
      <c r="A964" s="224" t="s">
        <v>56</v>
      </c>
      <c r="B964" s="224" t="s">
        <v>37</v>
      </c>
      <c r="C964" s="224" t="s">
        <v>106</v>
      </c>
      <c r="D964" s="224" t="s">
        <v>257</v>
      </c>
      <c r="E964" s="224" t="str">
        <f>VLOOKUP($B964,'FRS geographical categories'!$A$2:$C$45,2,FALSE)</f>
        <v>Predominantly Rural</v>
      </c>
      <c r="F964" s="224" t="str">
        <f>VLOOKUP($B964,'FRS geographical categories'!$A$2:$C$45,3,FALSE)</f>
        <v>Non-metropolitan</v>
      </c>
      <c r="G964" s="98">
        <v>914</v>
      </c>
    </row>
    <row r="965" spans="1:7" ht="15.5" x14ac:dyDescent="0.35">
      <c r="A965" s="224" t="s">
        <v>56</v>
      </c>
      <c r="B965" s="224" t="s">
        <v>37</v>
      </c>
      <c r="C965" s="224" t="s">
        <v>107</v>
      </c>
      <c r="D965" s="224" t="s">
        <v>257</v>
      </c>
      <c r="E965" s="224" t="str">
        <f>VLOOKUP($B965,'FRS geographical categories'!$A$2:$C$45,2,FALSE)</f>
        <v>Predominantly Rural</v>
      </c>
      <c r="F965" s="224" t="str">
        <f>VLOOKUP($B965,'FRS geographical categories'!$A$2:$C$45,3,FALSE)</f>
        <v>Non-metropolitan</v>
      </c>
      <c r="G965" s="98">
        <v>0</v>
      </c>
    </row>
    <row r="966" spans="1:7" ht="15.5" x14ac:dyDescent="0.35">
      <c r="A966" s="224" t="s">
        <v>56</v>
      </c>
      <c r="B966" s="224" t="s">
        <v>37</v>
      </c>
      <c r="C966" s="224" t="s">
        <v>108</v>
      </c>
      <c r="D966" s="224" t="s">
        <v>257</v>
      </c>
      <c r="E966" s="224" t="str">
        <f>VLOOKUP($B966,'FRS geographical categories'!$A$2:$C$45,2,FALSE)</f>
        <v>Predominantly Rural</v>
      </c>
      <c r="F966" s="224" t="str">
        <f>VLOOKUP($B966,'FRS geographical categories'!$A$2:$C$45,3,FALSE)</f>
        <v>Non-metropolitan</v>
      </c>
      <c r="G966" s="98">
        <v>0</v>
      </c>
    </row>
    <row r="967" spans="1:7" ht="15.5" x14ac:dyDescent="0.35">
      <c r="A967" s="224" t="s">
        <v>56</v>
      </c>
      <c r="B967" s="224" t="s">
        <v>37</v>
      </c>
      <c r="C967" s="224" t="s">
        <v>109</v>
      </c>
      <c r="D967" s="224" t="s">
        <v>257</v>
      </c>
      <c r="E967" s="224" t="str">
        <f>VLOOKUP($B967,'FRS geographical categories'!$A$2:$C$45,2,FALSE)</f>
        <v>Predominantly Rural</v>
      </c>
      <c r="F967" s="224" t="str">
        <f>VLOOKUP($B967,'FRS geographical categories'!$A$2:$C$45,3,FALSE)</f>
        <v>Non-metropolitan</v>
      </c>
      <c r="G967" s="98">
        <v>0</v>
      </c>
    </row>
    <row r="968" spans="1:7" ht="15.5" x14ac:dyDescent="0.35">
      <c r="A968" s="224" t="s">
        <v>56</v>
      </c>
      <c r="B968" s="224" t="s">
        <v>38</v>
      </c>
      <c r="C968" s="224" t="s">
        <v>102</v>
      </c>
      <c r="D968" s="224" t="s">
        <v>257</v>
      </c>
      <c r="E968" s="224" t="str">
        <f>VLOOKUP($B968,'FRS geographical categories'!$A$2:$C$45,2,FALSE)</f>
        <v>Predominantly Rural</v>
      </c>
      <c r="F968" s="224" t="str">
        <f>VLOOKUP($B968,'FRS geographical categories'!$A$2:$C$45,3,FALSE)</f>
        <v>Non-metropolitan</v>
      </c>
      <c r="G968" s="98">
        <v>10</v>
      </c>
    </row>
    <row r="969" spans="1:7" ht="15.5" x14ac:dyDescent="0.35">
      <c r="A969" s="224" t="s">
        <v>56</v>
      </c>
      <c r="B969" s="224" t="s">
        <v>38</v>
      </c>
      <c r="C969" s="224" t="s">
        <v>105</v>
      </c>
      <c r="D969" s="224" t="s">
        <v>257</v>
      </c>
      <c r="E969" s="224" t="str">
        <f>VLOOKUP($B969,'FRS geographical categories'!$A$2:$C$45,2,FALSE)</f>
        <v>Predominantly Rural</v>
      </c>
      <c r="F969" s="224" t="str">
        <f>VLOOKUP($B969,'FRS geographical categories'!$A$2:$C$45,3,FALSE)</f>
        <v>Non-metropolitan</v>
      </c>
      <c r="G969" s="98">
        <v>0</v>
      </c>
    </row>
    <row r="970" spans="1:7" ht="15.5" x14ac:dyDescent="0.35">
      <c r="A970" s="224" t="s">
        <v>56</v>
      </c>
      <c r="B970" s="224" t="s">
        <v>38</v>
      </c>
      <c r="C970" s="224" t="s">
        <v>106</v>
      </c>
      <c r="D970" s="224" t="s">
        <v>257</v>
      </c>
      <c r="E970" s="224" t="str">
        <f>VLOOKUP($B970,'FRS geographical categories'!$A$2:$C$45,2,FALSE)</f>
        <v>Predominantly Rural</v>
      </c>
      <c r="F970" s="224" t="str">
        <f>VLOOKUP($B970,'FRS geographical categories'!$A$2:$C$45,3,FALSE)</f>
        <v>Non-metropolitan</v>
      </c>
      <c r="G970" s="98">
        <v>3860</v>
      </c>
    </row>
    <row r="971" spans="1:7" ht="15.5" x14ac:dyDescent="0.35">
      <c r="A971" s="224" t="s">
        <v>56</v>
      </c>
      <c r="B971" s="224" t="s">
        <v>38</v>
      </c>
      <c r="C971" s="224" t="s">
        <v>107</v>
      </c>
      <c r="D971" s="224" t="s">
        <v>257</v>
      </c>
      <c r="E971" s="224" t="str">
        <f>VLOOKUP($B971,'FRS geographical categories'!$A$2:$C$45,2,FALSE)</f>
        <v>Predominantly Rural</v>
      </c>
      <c r="F971" s="224" t="str">
        <f>VLOOKUP($B971,'FRS geographical categories'!$A$2:$C$45,3,FALSE)</f>
        <v>Non-metropolitan</v>
      </c>
      <c r="G971" s="98">
        <v>0</v>
      </c>
    </row>
    <row r="972" spans="1:7" ht="15.5" x14ac:dyDescent="0.35">
      <c r="A972" s="224" t="s">
        <v>56</v>
      </c>
      <c r="B972" s="224" t="s">
        <v>38</v>
      </c>
      <c r="C972" s="224" t="s">
        <v>108</v>
      </c>
      <c r="D972" s="224" t="s">
        <v>257</v>
      </c>
      <c r="E972" s="224" t="str">
        <f>VLOOKUP($B972,'FRS geographical categories'!$A$2:$C$45,2,FALSE)</f>
        <v>Predominantly Rural</v>
      </c>
      <c r="F972" s="224" t="str">
        <f>VLOOKUP($B972,'FRS geographical categories'!$A$2:$C$45,3,FALSE)</f>
        <v>Non-metropolitan</v>
      </c>
      <c r="G972" s="98">
        <v>0</v>
      </c>
    </row>
    <row r="973" spans="1:7" ht="15.5" x14ac:dyDescent="0.35">
      <c r="A973" s="224" t="s">
        <v>56</v>
      </c>
      <c r="B973" s="224" t="s">
        <v>38</v>
      </c>
      <c r="C973" s="224" t="s">
        <v>109</v>
      </c>
      <c r="D973" s="224" t="s">
        <v>257</v>
      </c>
      <c r="E973" s="224" t="str">
        <f>VLOOKUP($B973,'FRS geographical categories'!$A$2:$C$45,2,FALSE)</f>
        <v>Predominantly Rural</v>
      </c>
      <c r="F973" s="224" t="str">
        <f>VLOOKUP($B973,'FRS geographical categories'!$A$2:$C$45,3,FALSE)</f>
        <v>Non-metropolitan</v>
      </c>
      <c r="G973" s="98">
        <v>0</v>
      </c>
    </row>
    <row r="974" spans="1:7" ht="15.5" x14ac:dyDescent="0.35">
      <c r="A974" s="224" t="s">
        <v>56</v>
      </c>
      <c r="B974" s="224" t="s">
        <v>39</v>
      </c>
      <c r="C974" s="224" t="s">
        <v>102</v>
      </c>
      <c r="D974" s="224" t="s">
        <v>257</v>
      </c>
      <c r="E974" s="224" t="str">
        <f>VLOOKUP($B974,'FRS geographical categories'!$A$2:$C$45,2,FALSE)</f>
        <v>Significantly Rural</v>
      </c>
      <c r="F974" s="224" t="str">
        <f>VLOOKUP($B974,'FRS geographical categories'!$A$2:$C$45,3,FALSE)</f>
        <v>Non-metropolitan</v>
      </c>
      <c r="G974" s="98">
        <v>0</v>
      </c>
    </row>
    <row r="975" spans="1:7" ht="15.5" x14ac:dyDescent="0.35">
      <c r="A975" s="224" t="s">
        <v>56</v>
      </c>
      <c r="B975" s="224" t="s">
        <v>39</v>
      </c>
      <c r="C975" s="224" t="s">
        <v>105</v>
      </c>
      <c r="D975" s="224" t="s">
        <v>257</v>
      </c>
      <c r="E975" s="224" t="str">
        <f>VLOOKUP($B975,'FRS geographical categories'!$A$2:$C$45,2,FALSE)</f>
        <v>Significantly Rural</v>
      </c>
      <c r="F975" s="224" t="str">
        <f>VLOOKUP($B975,'FRS geographical categories'!$A$2:$C$45,3,FALSE)</f>
        <v>Non-metropolitan</v>
      </c>
      <c r="G975" s="98">
        <v>91</v>
      </c>
    </row>
    <row r="976" spans="1:7" ht="15.5" x14ac:dyDescent="0.35">
      <c r="A976" s="224" t="s">
        <v>56</v>
      </c>
      <c r="B976" s="224" t="s">
        <v>39</v>
      </c>
      <c r="C976" s="224" t="s">
        <v>106</v>
      </c>
      <c r="D976" s="224" t="s">
        <v>257</v>
      </c>
      <c r="E976" s="224" t="str">
        <f>VLOOKUP($B976,'FRS geographical categories'!$A$2:$C$45,2,FALSE)</f>
        <v>Significantly Rural</v>
      </c>
      <c r="F976" s="224" t="str">
        <f>VLOOKUP($B976,'FRS geographical categories'!$A$2:$C$45,3,FALSE)</f>
        <v>Non-metropolitan</v>
      </c>
      <c r="G976" s="98">
        <v>5804</v>
      </c>
    </row>
    <row r="977" spans="1:7" ht="15.5" x14ac:dyDescent="0.35">
      <c r="A977" s="224" t="s">
        <v>56</v>
      </c>
      <c r="B977" s="224" t="s">
        <v>39</v>
      </c>
      <c r="C977" s="224" t="s">
        <v>107</v>
      </c>
      <c r="D977" s="224" t="s">
        <v>257</v>
      </c>
      <c r="E977" s="224" t="str">
        <f>VLOOKUP($B977,'FRS geographical categories'!$A$2:$C$45,2,FALSE)</f>
        <v>Significantly Rural</v>
      </c>
      <c r="F977" s="224" t="str">
        <f>VLOOKUP($B977,'FRS geographical categories'!$A$2:$C$45,3,FALSE)</f>
        <v>Non-metropolitan</v>
      </c>
      <c r="G977" s="98">
        <v>0</v>
      </c>
    </row>
    <row r="978" spans="1:7" ht="15.5" x14ac:dyDescent="0.35">
      <c r="A978" s="224" t="s">
        <v>56</v>
      </c>
      <c r="B978" s="224" t="s">
        <v>39</v>
      </c>
      <c r="C978" s="224" t="s">
        <v>108</v>
      </c>
      <c r="D978" s="224" t="s">
        <v>257</v>
      </c>
      <c r="E978" s="224" t="str">
        <f>VLOOKUP($B978,'FRS geographical categories'!$A$2:$C$45,2,FALSE)</f>
        <v>Significantly Rural</v>
      </c>
      <c r="F978" s="224" t="str">
        <f>VLOOKUP($B978,'FRS geographical categories'!$A$2:$C$45,3,FALSE)</f>
        <v>Non-metropolitan</v>
      </c>
      <c r="G978" s="98">
        <v>1389</v>
      </c>
    </row>
    <row r="979" spans="1:7" ht="15.5" x14ac:dyDescent="0.35">
      <c r="A979" s="224" t="s">
        <v>56</v>
      </c>
      <c r="B979" s="224" t="s">
        <v>39</v>
      </c>
      <c r="C979" s="224" t="s">
        <v>109</v>
      </c>
      <c r="D979" s="224" t="s">
        <v>257</v>
      </c>
      <c r="E979" s="224" t="str">
        <f>VLOOKUP($B979,'FRS geographical categories'!$A$2:$C$45,2,FALSE)</f>
        <v>Significantly Rural</v>
      </c>
      <c r="F979" s="224" t="str">
        <f>VLOOKUP($B979,'FRS geographical categories'!$A$2:$C$45,3,FALSE)</f>
        <v>Non-metropolitan</v>
      </c>
      <c r="G979" s="98">
        <v>0</v>
      </c>
    </row>
    <row r="980" spans="1:7" ht="15.5" x14ac:dyDescent="0.35">
      <c r="A980" s="224" t="s">
        <v>56</v>
      </c>
      <c r="B980" s="224" t="s">
        <v>40</v>
      </c>
      <c r="C980" s="224" t="s">
        <v>102</v>
      </c>
      <c r="D980" s="224" t="s">
        <v>257</v>
      </c>
      <c r="E980" s="224" t="str">
        <f>VLOOKUP($B980,'FRS geographical categories'!$A$2:$C$45,2,FALSE)</f>
        <v>Predominantly Rural</v>
      </c>
      <c r="F980" s="224" t="str">
        <f>VLOOKUP($B980,'FRS geographical categories'!$A$2:$C$45,3,FALSE)</f>
        <v>Non-metropolitan</v>
      </c>
      <c r="G980" s="98">
        <v>0</v>
      </c>
    </row>
    <row r="981" spans="1:7" ht="15.5" x14ac:dyDescent="0.35">
      <c r="A981" s="224" t="s">
        <v>56</v>
      </c>
      <c r="B981" s="224" t="s">
        <v>40</v>
      </c>
      <c r="C981" s="224" t="s">
        <v>105</v>
      </c>
      <c r="D981" s="224" t="s">
        <v>257</v>
      </c>
      <c r="E981" s="224" t="str">
        <f>VLOOKUP($B981,'FRS geographical categories'!$A$2:$C$45,2,FALSE)</f>
        <v>Predominantly Rural</v>
      </c>
      <c r="F981" s="224" t="str">
        <f>VLOOKUP($B981,'FRS geographical categories'!$A$2:$C$45,3,FALSE)</f>
        <v>Non-metropolitan</v>
      </c>
      <c r="G981" s="98">
        <v>0</v>
      </c>
    </row>
    <row r="982" spans="1:7" ht="15.5" x14ac:dyDescent="0.35">
      <c r="A982" s="224" t="s">
        <v>56</v>
      </c>
      <c r="B982" s="224" t="s">
        <v>40</v>
      </c>
      <c r="C982" s="224" t="s">
        <v>106</v>
      </c>
      <c r="D982" s="224" t="s">
        <v>257</v>
      </c>
      <c r="E982" s="224" t="str">
        <f>VLOOKUP($B982,'FRS geographical categories'!$A$2:$C$45,2,FALSE)</f>
        <v>Predominantly Rural</v>
      </c>
      <c r="F982" s="224" t="str">
        <f>VLOOKUP($B982,'FRS geographical categories'!$A$2:$C$45,3,FALSE)</f>
        <v>Non-metropolitan</v>
      </c>
      <c r="G982" s="98">
        <v>7058</v>
      </c>
    </row>
    <row r="983" spans="1:7" ht="15.5" x14ac:dyDescent="0.35">
      <c r="A983" s="224" t="s">
        <v>56</v>
      </c>
      <c r="B983" s="224" t="s">
        <v>40</v>
      </c>
      <c r="C983" s="224" t="s">
        <v>107</v>
      </c>
      <c r="D983" s="224" t="s">
        <v>257</v>
      </c>
      <c r="E983" s="224" t="str">
        <f>VLOOKUP($B983,'FRS geographical categories'!$A$2:$C$45,2,FALSE)</f>
        <v>Predominantly Rural</v>
      </c>
      <c r="F983" s="224" t="str">
        <f>VLOOKUP($B983,'FRS geographical categories'!$A$2:$C$45,3,FALSE)</f>
        <v>Non-metropolitan</v>
      </c>
      <c r="G983" s="98">
        <v>0</v>
      </c>
    </row>
    <row r="984" spans="1:7" ht="15.5" x14ac:dyDescent="0.35">
      <c r="A984" s="224" t="s">
        <v>56</v>
      </c>
      <c r="B984" s="224" t="s">
        <v>40</v>
      </c>
      <c r="C984" s="224" t="s">
        <v>108</v>
      </c>
      <c r="D984" s="224" t="s">
        <v>257</v>
      </c>
      <c r="E984" s="224" t="str">
        <f>VLOOKUP($B984,'FRS geographical categories'!$A$2:$C$45,2,FALSE)</f>
        <v>Predominantly Rural</v>
      </c>
      <c r="F984" s="224" t="str">
        <f>VLOOKUP($B984,'FRS geographical categories'!$A$2:$C$45,3,FALSE)</f>
        <v>Non-metropolitan</v>
      </c>
      <c r="G984" s="98">
        <v>2394</v>
      </c>
    </row>
    <row r="985" spans="1:7" ht="15.5" x14ac:dyDescent="0.35">
      <c r="A985" s="224" t="s">
        <v>56</v>
      </c>
      <c r="B985" s="224" t="s">
        <v>40</v>
      </c>
      <c r="C985" s="224" t="s">
        <v>109</v>
      </c>
      <c r="D985" s="224" t="s">
        <v>257</v>
      </c>
      <c r="E985" s="224" t="str">
        <f>VLOOKUP($B985,'FRS geographical categories'!$A$2:$C$45,2,FALSE)</f>
        <v>Predominantly Rural</v>
      </c>
      <c r="F985" s="224" t="str">
        <f>VLOOKUP($B985,'FRS geographical categories'!$A$2:$C$45,3,FALSE)</f>
        <v>Non-metropolitan</v>
      </c>
      <c r="G985" s="98">
        <v>0</v>
      </c>
    </row>
    <row r="986" spans="1:7" ht="15.5" x14ac:dyDescent="0.35">
      <c r="A986" s="224" t="s">
        <v>56</v>
      </c>
      <c r="B986" s="224" t="s">
        <v>41</v>
      </c>
      <c r="C986" s="224" t="s">
        <v>102</v>
      </c>
      <c r="D986" s="224" t="s">
        <v>257</v>
      </c>
      <c r="E986" s="224" t="str">
        <f>VLOOKUP($B986,'FRS geographical categories'!$A$2:$C$45,2,FALSE)</f>
        <v>Predominantly Urban</v>
      </c>
      <c r="F986" s="224" t="str">
        <f>VLOOKUP($B986,'FRS geographical categories'!$A$2:$C$45,3,FALSE)</f>
        <v>Non-metropolitan</v>
      </c>
      <c r="G986" s="98">
        <v>0</v>
      </c>
    </row>
    <row r="987" spans="1:7" ht="15.5" x14ac:dyDescent="0.35">
      <c r="A987" s="224" t="s">
        <v>56</v>
      </c>
      <c r="B987" s="224" t="s">
        <v>41</v>
      </c>
      <c r="C987" s="224" t="s">
        <v>105</v>
      </c>
      <c r="D987" s="224" t="s">
        <v>257</v>
      </c>
      <c r="E987" s="224" t="str">
        <f>VLOOKUP($B987,'FRS geographical categories'!$A$2:$C$45,2,FALSE)</f>
        <v>Predominantly Urban</v>
      </c>
      <c r="F987" s="224" t="str">
        <f>VLOOKUP($B987,'FRS geographical categories'!$A$2:$C$45,3,FALSE)</f>
        <v>Non-metropolitan</v>
      </c>
      <c r="G987" s="98">
        <v>0</v>
      </c>
    </row>
    <row r="988" spans="1:7" ht="15.5" x14ac:dyDescent="0.35">
      <c r="A988" s="224" t="s">
        <v>56</v>
      </c>
      <c r="B988" s="224" t="s">
        <v>41</v>
      </c>
      <c r="C988" s="224" t="s">
        <v>106</v>
      </c>
      <c r="D988" s="224" t="s">
        <v>257</v>
      </c>
      <c r="E988" s="224" t="str">
        <f>VLOOKUP($B988,'FRS geographical categories'!$A$2:$C$45,2,FALSE)</f>
        <v>Predominantly Urban</v>
      </c>
      <c r="F988" s="224" t="str">
        <f>VLOOKUP($B988,'FRS geographical categories'!$A$2:$C$45,3,FALSE)</f>
        <v>Non-metropolitan</v>
      </c>
      <c r="G988" s="98">
        <v>25435</v>
      </c>
    </row>
    <row r="989" spans="1:7" ht="15.5" x14ac:dyDescent="0.35">
      <c r="A989" s="224" t="s">
        <v>56</v>
      </c>
      <c r="B989" s="224" t="s">
        <v>41</v>
      </c>
      <c r="C989" s="224" t="s">
        <v>107</v>
      </c>
      <c r="D989" s="224" t="s">
        <v>257</v>
      </c>
      <c r="E989" s="224" t="str">
        <f>VLOOKUP($B989,'FRS geographical categories'!$A$2:$C$45,2,FALSE)</f>
        <v>Predominantly Urban</v>
      </c>
      <c r="F989" s="224" t="str">
        <f>VLOOKUP($B989,'FRS geographical categories'!$A$2:$C$45,3,FALSE)</f>
        <v>Non-metropolitan</v>
      </c>
      <c r="G989" s="98">
        <v>0</v>
      </c>
    </row>
    <row r="990" spans="1:7" ht="15.5" x14ac:dyDescent="0.35">
      <c r="A990" s="224" t="s">
        <v>56</v>
      </c>
      <c r="B990" s="224" t="s">
        <v>41</v>
      </c>
      <c r="C990" s="224" t="s">
        <v>108</v>
      </c>
      <c r="D990" s="224" t="s">
        <v>257</v>
      </c>
      <c r="E990" s="224" t="str">
        <f>VLOOKUP($B990,'FRS geographical categories'!$A$2:$C$45,2,FALSE)</f>
        <v>Predominantly Urban</v>
      </c>
      <c r="F990" s="224" t="str">
        <f>VLOOKUP($B990,'FRS geographical categories'!$A$2:$C$45,3,FALSE)</f>
        <v>Non-metropolitan</v>
      </c>
      <c r="G990" s="98">
        <v>3044</v>
      </c>
    </row>
    <row r="991" spans="1:7" ht="15.5" x14ac:dyDescent="0.35">
      <c r="A991" s="224" t="s">
        <v>56</v>
      </c>
      <c r="B991" s="224" t="s">
        <v>41</v>
      </c>
      <c r="C991" s="224" t="s">
        <v>109</v>
      </c>
      <c r="D991" s="224" t="s">
        <v>257</v>
      </c>
      <c r="E991" s="224" t="str">
        <f>VLOOKUP($B991,'FRS geographical categories'!$A$2:$C$45,2,FALSE)</f>
        <v>Predominantly Urban</v>
      </c>
      <c r="F991" s="224" t="str">
        <f>VLOOKUP($B991,'FRS geographical categories'!$A$2:$C$45,3,FALSE)</f>
        <v>Non-metropolitan</v>
      </c>
      <c r="G991" s="98">
        <v>0</v>
      </c>
    </row>
    <row r="992" spans="1:7" ht="15.5" x14ac:dyDescent="0.35">
      <c r="A992" s="224" t="s">
        <v>56</v>
      </c>
      <c r="B992" s="224" t="s">
        <v>42</v>
      </c>
      <c r="C992" s="224" t="s">
        <v>102</v>
      </c>
      <c r="D992" s="224" t="s">
        <v>257</v>
      </c>
      <c r="E992" s="224" t="str">
        <f>VLOOKUP($B992,'FRS geographical categories'!$A$2:$C$45,2,FALSE)</f>
        <v>Predominantly Rural</v>
      </c>
      <c r="F992" s="224" t="str">
        <f>VLOOKUP($B992,'FRS geographical categories'!$A$2:$C$45,3,FALSE)</f>
        <v>Non-metropolitan</v>
      </c>
      <c r="G992" s="98">
        <v>1476</v>
      </c>
    </row>
    <row r="993" spans="1:7" ht="15.5" x14ac:dyDescent="0.35">
      <c r="A993" s="224" t="s">
        <v>56</v>
      </c>
      <c r="B993" s="224" t="s">
        <v>42</v>
      </c>
      <c r="C993" s="224" t="s">
        <v>105</v>
      </c>
      <c r="D993" s="224" t="s">
        <v>257</v>
      </c>
      <c r="E993" s="224" t="str">
        <f>VLOOKUP($B993,'FRS geographical categories'!$A$2:$C$45,2,FALSE)</f>
        <v>Predominantly Rural</v>
      </c>
      <c r="F993" s="224" t="str">
        <f>VLOOKUP($B993,'FRS geographical categories'!$A$2:$C$45,3,FALSE)</f>
        <v>Non-metropolitan</v>
      </c>
      <c r="G993" s="98">
        <v>0</v>
      </c>
    </row>
    <row r="994" spans="1:7" ht="15.5" x14ac:dyDescent="0.35">
      <c r="A994" s="224" t="s">
        <v>56</v>
      </c>
      <c r="B994" s="224" t="s">
        <v>42</v>
      </c>
      <c r="C994" s="224" t="s">
        <v>106</v>
      </c>
      <c r="D994" s="224" t="s">
        <v>257</v>
      </c>
      <c r="E994" s="224" t="str">
        <f>VLOOKUP($B994,'FRS geographical categories'!$A$2:$C$45,2,FALSE)</f>
        <v>Predominantly Rural</v>
      </c>
      <c r="F994" s="224" t="str">
        <f>VLOOKUP($B994,'FRS geographical categories'!$A$2:$C$45,3,FALSE)</f>
        <v>Non-metropolitan</v>
      </c>
      <c r="G994" s="98">
        <v>1490</v>
      </c>
    </row>
    <row r="995" spans="1:7" ht="15.5" x14ac:dyDescent="0.35">
      <c r="A995" s="224" t="s">
        <v>56</v>
      </c>
      <c r="B995" s="224" t="s">
        <v>42</v>
      </c>
      <c r="C995" s="224" t="s">
        <v>107</v>
      </c>
      <c r="D995" s="224" t="s">
        <v>257</v>
      </c>
      <c r="E995" s="224" t="str">
        <f>VLOOKUP($B995,'FRS geographical categories'!$A$2:$C$45,2,FALSE)</f>
        <v>Predominantly Rural</v>
      </c>
      <c r="F995" s="224" t="str">
        <f>VLOOKUP($B995,'FRS geographical categories'!$A$2:$C$45,3,FALSE)</f>
        <v>Non-metropolitan</v>
      </c>
      <c r="G995" s="98">
        <v>0</v>
      </c>
    </row>
    <row r="996" spans="1:7" ht="15.5" x14ac:dyDescent="0.35">
      <c r="A996" s="224" t="s">
        <v>56</v>
      </c>
      <c r="B996" s="224" t="s">
        <v>42</v>
      </c>
      <c r="C996" s="224" t="s">
        <v>108</v>
      </c>
      <c r="D996" s="224" t="s">
        <v>257</v>
      </c>
      <c r="E996" s="224" t="str">
        <f>VLOOKUP($B996,'FRS geographical categories'!$A$2:$C$45,2,FALSE)</f>
        <v>Predominantly Rural</v>
      </c>
      <c r="F996" s="224" t="str">
        <f>VLOOKUP($B996,'FRS geographical categories'!$A$2:$C$45,3,FALSE)</f>
        <v>Non-metropolitan</v>
      </c>
      <c r="G996" s="98">
        <v>1644</v>
      </c>
    </row>
    <row r="997" spans="1:7" ht="15.5" x14ac:dyDescent="0.35">
      <c r="A997" s="224" t="s">
        <v>56</v>
      </c>
      <c r="B997" s="224" t="s">
        <v>42</v>
      </c>
      <c r="C997" s="224" t="s">
        <v>109</v>
      </c>
      <c r="D997" s="224" t="s">
        <v>257</v>
      </c>
      <c r="E997" s="224" t="str">
        <f>VLOOKUP($B997,'FRS geographical categories'!$A$2:$C$45,2,FALSE)</f>
        <v>Predominantly Rural</v>
      </c>
      <c r="F997" s="224" t="str">
        <f>VLOOKUP($B997,'FRS geographical categories'!$A$2:$C$45,3,FALSE)</f>
        <v>Non-metropolitan</v>
      </c>
      <c r="G997" s="98">
        <v>0</v>
      </c>
    </row>
    <row r="998" spans="1:7" ht="15.5" x14ac:dyDescent="0.35">
      <c r="A998" s="224" t="s">
        <v>56</v>
      </c>
      <c r="B998" s="224" t="s">
        <v>43</v>
      </c>
      <c r="C998" s="224" t="s">
        <v>102</v>
      </c>
      <c r="D998" s="224" t="s">
        <v>257</v>
      </c>
      <c r="E998" s="224" t="str">
        <f>VLOOKUP($B998,'FRS geographical categories'!$A$2:$C$45,2,FALSE)</f>
        <v>Predominantly Rural</v>
      </c>
      <c r="F998" s="224" t="str">
        <f>VLOOKUP($B998,'FRS geographical categories'!$A$2:$C$45,3,FALSE)</f>
        <v>Non-metropolitan</v>
      </c>
      <c r="G998" s="98">
        <v>783</v>
      </c>
    </row>
    <row r="999" spans="1:7" ht="15.5" x14ac:dyDescent="0.35">
      <c r="A999" s="224" t="s">
        <v>56</v>
      </c>
      <c r="B999" s="224" t="s">
        <v>43</v>
      </c>
      <c r="C999" s="224" t="s">
        <v>105</v>
      </c>
      <c r="D999" s="224" t="s">
        <v>257</v>
      </c>
      <c r="E999" s="224" t="str">
        <f>VLOOKUP($B999,'FRS geographical categories'!$A$2:$C$45,2,FALSE)</f>
        <v>Predominantly Rural</v>
      </c>
      <c r="F999" s="224" t="str">
        <f>VLOOKUP($B999,'FRS geographical categories'!$A$2:$C$45,3,FALSE)</f>
        <v>Non-metropolitan</v>
      </c>
      <c r="G999" s="98">
        <v>0</v>
      </c>
    </row>
    <row r="1000" spans="1:7" ht="15.5" x14ac:dyDescent="0.35">
      <c r="A1000" s="224" t="s">
        <v>56</v>
      </c>
      <c r="B1000" s="224" t="s">
        <v>43</v>
      </c>
      <c r="C1000" s="224" t="s">
        <v>106</v>
      </c>
      <c r="D1000" s="224" t="s">
        <v>257</v>
      </c>
      <c r="E1000" s="224" t="str">
        <f>VLOOKUP($B1000,'FRS geographical categories'!$A$2:$C$45,2,FALSE)</f>
        <v>Predominantly Rural</v>
      </c>
      <c r="F1000" s="224" t="str">
        <f>VLOOKUP($B1000,'FRS geographical categories'!$A$2:$C$45,3,FALSE)</f>
        <v>Non-metropolitan</v>
      </c>
      <c r="G1000" s="98">
        <v>1674</v>
      </c>
    </row>
    <row r="1001" spans="1:7" ht="15.5" x14ac:dyDescent="0.35">
      <c r="A1001" s="224" t="s">
        <v>56</v>
      </c>
      <c r="B1001" s="224" t="s">
        <v>43</v>
      </c>
      <c r="C1001" s="224" t="s">
        <v>107</v>
      </c>
      <c r="D1001" s="224" t="s">
        <v>257</v>
      </c>
      <c r="E1001" s="224" t="str">
        <f>VLOOKUP($B1001,'FRS geographical categories'!$A$2:$C$45,2,FALSE)</f>
        <v>Predominantly Rural</v>
      </c>
      <c r="F1001" s="224" t="str">
        <f>VLOOKUP($B1001,'FRS geographical categories'!$A$2:$C$45,3,FALSE)</f>
        <v>Non-metropolitan</v>
      </c>
      <c r="G1001" s="98">
        <v>0</v>
      </c>
    </row>
    <row r="1002" spans="1:7" ht="15.5" x14ac:dyDescent="0.35">
      <c r="A1002" s="224" t="s">
        <v>56</v>
      </c>
      <c r="B1002" s="224" t="s">
        <v>43</v>
      </c>
      <c r="C1002" s="224" t="s">
        <v>108</v>
      </c>
      <c r="D1002" s="224" t="s">
        <v>257</v>
      </c>
      <c r="E1002" s="224" t="str">
        <f>VLOOKUP($B1002,'FRS geographical categories'!$A$2:$C$45,2,FALSE)</f>
        <v>Predominantly Rural</v>
      </c>
      <c r="F1002" s="224" t="str">
        <f>VLOOKUP($B1002,'FRS geographical categories'!$A$2:$C$45,3,FALSE)</f>
        <v>Non-metropolitan</v>
      </c>
      <c r="G1002" s="98">
        <v>0</v>
      </c>
    </row>
    <row r="1003" spans="1:7" ht="15.5" x14ac:dyDescent="0.35">
      <c r="A1003" s="224" t="s">
        <v>56</v>
      </c>
      <c r="B1003" s="224" t="s">
        <v>43</v>
      </c>
      <c r="C1003" s="224" t="s">
        <v>109</v>
      </c>
      <c r="D1003" s="224" t="s">
        <v>257</v>
      </c>
      <c r="E1003" s="224" t="str">
        <f>VLOOKUP($B1003,'FRS geographical categories'!$A$2:$C$45,2,FALSE)</f>
        <v>Predominantly Rural</v>
      </c>
      <c r="F1003" s="224" t="str">
        <f>VLOOKUP($B1003,'FRS geographical categories'!$A$2:$C$45,3,FALSE)</f>
        <v>Non-metropolitan</v>
      </c>
      <c r="G1003" s="98">
        <v>1222</v>
      </c>
    </row>
    <row r="1004" spans="1:7" ht="15.5" x14ac:dyDescent="0.35">
      <c r="A1004" s="224" t="s">
        <v>56</v>
      </c>
      <c r="B1004" s="224" t="s">
        <v>44</v>
      </c>
      <c r="C1004" s="224" t="s">
        <v>102</v>
      </c>
      <c r="D1004" s="224" t="s">
        <v>257</v>
      </c>
      <c r="E1004" s="224" t="str">
        <f>VLOOKUP($B1004,'FRS geographical categories'!$A$2:$C$45,2,FALSE)</f>
        <v>Predominantly Urban</v>
      </c>
      <c r="F1004" s="224" t="str">
        <f>VLOOKUP($B1004,'FRS geographical categories'!$A$2:$C$45,3,FALSE)</f>
        <v>Metropolitan</v>
      </c>
      <c r="G1004" s="98">
        <v>3351</v>
      </c>
    </row>
    <row r="1005" spans="1:7" ht="15.5" x14ac:dyDescent="0.35">
      <c r="A1005" s="224" t="s">
        <v>56</v>
      </c>
      <c r="B1005" s="224" t="s">
        <v>44</v>
      </c>
      <c r="C1005" s="224" t="s">
        <v>105</v>
      </c>
      <c r="D1005" s="224" t="s">
        <v>257</v>
      </c>
      <c r="E1005" s="224" t="str">
        <f>VLOOKUP($B1005,'FRS geographical categories'!$A$2:$C$45,2,FALSE)</f>
        <v>Predominantly Urban</v>
      </c>
      <c r="F1005" s="224" t="str">
        <f>VLOOKUP($B1005,'FRS geographical categories'!$A$2:$C$45,3,FALSE)</f>
        <v>Metropolitan</v>
      </c>
      <c r="G1005" s="98">
        <v>0</v>
      </c>
    </row>
    <row r="1006" spans="1:7" ht="15.5" x14ac:dyDescent="0.35">
      <c r="A1006" s="224" t="s">
        <v>56</v>
      </c>
      <c r="B1006" s="224" t="s">
        <v>44</v>
      </c>
      <c r="C1006" s="224" t="s">
        <v>106</v>
      </c>
      <c r="D1006" s="224" t="s">
        <v>257</v>
      </c>
      <c r="E1006" s="224" t="str">
        <f>VLOOKUP($B1006,'FRS geographical categories'!$A$2:$C$45,2,FALSE)</f>
        <v>Predominantly Urban</v>
      </c>
      <c r="F1006" s="224" t="str">
        <f>VLOOKUP($B1006,'FRS geographical categories'!$A$2:$C$45,3,FALSE)</f>
        <v>Metropolitan</v>
      </c>
      <c r="G1006" s="98">
        <v>19039</v>
      </c>
    </row>
    <row r="1007" spans="1:7" ht="15.5" x14ac:dyDescent="0.35">
      <c r="A1007" s="224" t="s">
        <v>56</v>
      </c>
      <c r="B1007" s="224" t="s">
        <v>44</v>
      </c>
      <c r="C1007" s="224" t="s">
        <v>107</v>
      </c>
      <c r="D1007" s="224" t="s">
        <v>257</v>
      </c>
      <c r="E1007" s="224" t="str">
        <f>VLOOKUP($B1007,'FRS geographical categories'!$A$2:$C$45,2,FALSE)</f>
        <v>Predominantly Urban</v>
      </c>
      <c r="F1007" s="224" t="str">
        <f>VLOOKUP($B1007,'FRS geographical categories'!$A$2:$C$45,3,FALSE)</f>
        <v>Metropolitan</v>
      </c>
      <c r="G1007" s="98">
        <v>70</v>
      </c>
    </row>
    <row r="1008" spans="1:7" ht="15.5" x14ac:dyDescent="0.35">
      <c r="A1008" s="224" t="s">
        <v>56</v>
      </c>
      <c r="B1008" s="224" t="s">
        <v>44</v>
      </c>
      <c r="C1008" s="224" t="s">
        <v>108</v>
      </c>
      <c r="D1008" s="224" t="s">
        <v>257</v>
      </c>
      <c r="E1008" s="224" t="str">
        <f>VLOOKUP($B1008,'FRS geographical categories'!$A$2:$C$45,2,FALSE)</f>
        <v>Predominantly Urban</v>
      </c>
      <c r="F1008" s="224" t="str">
        <f>VLOOKUP($B1008,'FRS geographical categories'!$A$2:$C$45,3,FALSE)</f>
        <v>Metropolitan</v>
      </c>
      <c r="G1008" s="98">
        <v>0</v>
      </c>
    </row>
    <row r="1009" spans="1:7" ht="15.5" x14ac:dyDescent="0.35">
      <c r="A1009" s="224" t="s">
        <v>56</v>
      </c>
      <c r="B1009" s="224" t="s">
        <v>44</v>
      </c>
      <c r="C1009" s="224" t="s">
        <v>109</v>
      </c>
      <c r="D1009" s="224" t="s">
        <v>257</v>
      </c>
      <c r="E1009" s="224" t="str">
        <f>VLOOKUP($B1009,'FRS geographical categories'!$A$2:$C$45,2,FALSE)</f>
        <v>Predominantly Urban</v>
      </c>
      <c r="F1009" s="224" t="str">
        <f>VLOOKUP($B1009,'FRS geographical categories'!$A$2:$C$45,3,FALSE)</f>
        <v>Metropolitan</v>
      </c>
      <c r="G1009" s="98">
        <v>0</v>
      </c>
    </row>
    <row r="1010" spans="1:7" ht="15.5" x14ac:dyDescent="0.35">
      <c r="A1010" s="224" t="s">
        <v>56</v>
      </c>
      <c r="B1010" s="224" t="s">
        <v>45</v>
      </c>
      <c r="C1010" s="224" t="s">
        <v>102</v>
      </c>
      <c r="D1010" s="224" t="s">
        <v>257</v>
      </c>
      <c r="E1010" s="224" t="str">
        <f>VLOOKUP($B1010,'FRS geographical categories'!$A$2:$C$45,2,FALSE)</f>
        <v>Significantly Rural</v>
      </c>
      <c r="F1010" s="224" t="str">
        <f>VLOOKUP($B1010,'FRS geographical categories'!$A$2:$C$45,3,FALSE)</f>
        <v>Non-metropolitan</v>
      </c>
      <c r="G1010" s="98">
        <v>0</v>
      </c>
    </row>
    <row r="1011" spans="1:7" ht="15.5" x14ac:dyDescent="0.35">
      <c r="A1011" s="224" t="s">
        <v>56</v>
      </c>
      <c r="B1011" s="224" t="s">
        <v>45</v>
      </c>
      <c r="C1011" s="224" t="s">
        <v>105</v>
      </c>
      <c r="D1011" s="224" t="s">
        <v>257</v>
      </c>
      <c r="E1011" s="224" t="str">
        <f>VLOOKUP($B1011,'FRS geographical categories'!$A$2:$C$45,2,FALSE)</f>
        <v>Significantly Rural</v>
      </c>
      <c r="F1011" s="224" t="str">
        <f>VLOOKUP($B1011,'FRS geographical categories'!$A$2:$C$45,3,FALSE)</f>
        <v>Non-metropolitan</v>
      </c>
      <c r="G1011" s="98">
        <v>0</v>
      </c>
    </row>
    <row r="1012" spans="1:7" ht="15.5" x14ac:dyDescent="0.35">
      <c r="A1012" s="224" t="s">
        <v>56</v>
      </c>
      <c r="B1012" s="224" t="s">
        <v>45</v>
      </c>
      <c r="C1012" s="224" t="s">
        <v>106</v>
      </c>
      <c r="D1012" s="224" t="s">
        <v>257</v>
      </c>
      <c r="E1012" s="224" t="str">
        <f>VLOOKUP($B1012,'FRS geographical categories'!$A$2:$C$45,2,FALSE)</f>
        <v>Significantly Rural</v>
      </c>
      <c r="F1012" s="224" t="str">
        <f>VLOOKUP($B1012,'FRS geographical categories'!$A$2:$C$45,3,FALSE)</f>
        <v>Non-metropolitan</v>
      </c>
      <c r="G1012" s="98">
        <v>0</v>
      </c>
    </row>
    <row r="1013" spans="1:7" ht="15.5" x14ac:dyDescent="0.35">
      <c r="A1013" s="224" t="s">
        <v>56</v>
      </c>
      <c r="B1013" s="224" t="s">
        <v>45</v>
      </c>
      <c r="C1013" s="224" t="s">
        <v>107</v>
      </c>
      <c r="D1013" s="224" t="s">
        <v>257</v>
      </c>
      <c r="E1013" s="224" t="str">
        <f>VLOOKUP($B1013,'FRS geographical categories'!$A$2:$C$45,2,FALSE)</f>
        <v>Significantly Rural</v>
      </c>
      <c r="F1013" s="224" t="str">
        <f>VLOOKUP($B1013,'FRS geographical categories'!$A$2:$C$45,3,FALSE)</f>
        <v>Non-metropolitan</v>
      </c>
      <c r="G1013" s="98">
        <v>0</v>
      </c>
    </row>
    <row r="1014" spans="1:7" ht="15.5" x14ac:dyDescent="0.35">
      <c r="A1014" s="224" t="s">
        <v>56</v>
      </c>
      <c r="B1014" s="224" t="s">
        <v>45</v>
      </c>
      <c r="C1014" s="224" t="s">
        <v>108</v>
      </c>
      <c r="D1014" s="224" t="s">
        <v>257</v>
      </c>
      <c r="E1014" s="224" t="str">
        <f>VLOOKUP($B1014,'FRS geographical categories'!$A$2:$C$45,2,FALSE)</f>
        <v>Significantly Rural</v>
      </c>
      <c r="F1014" s="224" t="str">
        <f>VLOOKUP($B1014,'FRS geographical categories'!$A$2:$C$45,3,FALSE)</f>
        <v>Non-metropolitan</v>
      </c>
      <c r="G1014" s="98">
        <v>0</v>
      </c>
    </row>
    <row r="1015" spans="1:7" ht="15.5" x14ac:dyDescent="0.35">
      <c r="A1015" s="224" t="s">
        <v>56</v>
      </c>
      <c r="B1015" s="224" t="s">
        <v>45</v>
      </c>
      <c r="C1015" s="224" t="s">
        <v>109</v>
      </c>
      <c r="D1015" s="224" t="s">
        <v>257</v>
      </c>
      <c r="E1015" s="224" t="str">
        <f>VLOOKUP($B1015,'FRS geographical categories'!$A$2:$C$45,2,FALSE)</f>
        <v>Significantly Rural</v>
      </c>
      <c r="F1015" s="224" t="str">
        <f>VLOOKUP($B1015,'FRS geographical categories'!$A$2:$C$45,3,FALSE)</f>
        <v>Non-metropolitan</v>
      </c>
      <c r="G1015" s="98">
        <v>0</v>
      </c>
    </row>
    <row r="1016" spans="1:7" ht="15.5" x14ac:dyDescent="0.35">
      <c r="A1016" s="224" t="s">
        <v>56</v>
      </c>
      <c r="B1016" s="224" t="s">
        <v>46</v>
      </c>
      <c r="C1016" s="224" t="s">
        <v>102</v>
      </c>
      <c r="D1016" s="224" t="s">
        <v>257</v>
      </c>
      <c r="E1016" s="224" t="str">
        <f>VLOOKUP($B1016,'FRS geographical categories'!$A$2:$C$45,2,FALSE)</f>
        <v>Predominantly Rural</v>
      </c>
      <c r="F1016" s="224" t="str">
        <f>VLOOKUP($B1016,'FRS geographical categories'!$A$2:$C$45,3,FALSE)</f>
        <v>Non-metropolitan</v>
      </c>
      <c r="G1016" s="98">
        <v>0</v>
      </c>
    </row>
    <row r="1017" spans="1:7" ht="15.5" x14ac:dyDescent="0.35">
      <c r="A1017" s="224" t="s">
        <v>56</v>
      </c>
      <c r="B1017" s="224" t="s">
        <v>46</v>
      </c>
      <c r="C1017" s="224" t="s">
        <v>105</v>
      </c>
      <c r="D1017" s="224" t="s">
        <v>257</v>
      </c>
      <c r="E1017" s="224" t="str">
        <f>VLOOKUP($B1017,'FRS geographical categories'!$A$2:$C$45,2,FALSE)</f>
        <v>Predominantly Rural</v>
      </c>
      <c r="F1017" s="224" t="str">
        <f>VLOOKUP($B1017,'FRS geographical categories'!$A$2:$C$45,3,FALSE)</f>
        <v>Non-metropolitan</v>
      </c>
      <c r="G1017" s="98">
        <v>0</v>
      </c>
    </row>
    <row r="1018" spans="1:7" ht="15.5" x14ac:dyDescent="0.35">
      <c r="A1018" s="224" t="s">
        <v>56</v>
      </c>
      <c r="B1018" s="224" t="s">
        <v>46</v>
      </c>
      <c r="C1018" s="224" t="s">
        <v>106</v>
      </c>
      <c r="D1018" s="224" t="s">
        <v>257</v>
      </c>
      <c r="E1018" s="224" t="str">
        <f>VLOOKUP($B1018,'FRS geographical categories'!$A$2:$C$45,2,FALSE)</f>
        <v>Predominantly Rural</v>
      </c>
      <c r="F1018" s="224" t="str">
        <f>VLOOKUP($B1018,'FRS geographical categories'!$A$2:$C$45,3,FALSE)</f>
        <v>Non-metropolitan</v>
      </c>
      <c r="G1018" s="98">
        <v>5548</v>
      </c>
    </row>
    <row r="1019" spans="1:7" ht="15.5" x14ac:dyDescent="0.35">
      <c r="A1019" s="224" t="s">
        <v>56</v>
      </c>
      <c r="B1019" s="224" t="s">
        <v>46</v>
      </c>
      <c r="C1019" s="224" t="s">
        <v>107</v>
      </c>
      <c r="D1019" s="224" t="s">
        <v>257</v>
      </c>
      <c r="E1019" s="224" t="str">
        <f>VLOOKUP($B1019,'FRS geographical categories'!$A$2:$C$45,2,FALSE)</f>
        <v>Predominantly Rural</v>
      </c>
      <c r="F1019" s="224" t="str">
        <f>VLOOKUP($B1019,'FRS geographical categories'!$A$2:$C$45,3,FALSE)</f>
        <v>Non-metropolitan</v>
      </c>
      <c r="G1019" s="98">
        <v>0</v>
      </c>
    </row>
    <row r="1020" spans="1:7" ht="15.5" x14ac:dyDescent="0.35">
      <c r="A1020" s="224" t="s">
        <v>56</v>
      </c>
      <c r="B1020" s="224" t="s">
        <v>46</v>
      </c>
      <c r="C1020" s="224" t="s">
        <v>108</v>
      </c>
      <c r="D1020" s="224" t="s">
        <v>257</v>
      </c>
      <c r="E1020" s="224" t="str">
        <f>VLOOKUP($B1020,'FRS geographical categories'!$A$2:$C$45,2,FALSE)</f>
        <v>Predominantly Rural</v>
      </c>
      <c r="F1020" s="224" t="str">
        <f>VLOOKUP($B1020,'FRS geographical categories'!$A$2:$C$45,3,FALSE)</f>
        <v>Non-metropolitan</v>
      </c>
      <c r="G1020" s="98">
        <v>1064</v>
      </c>
    </row>
    <row r="1021" spans="1:7" ht="15.5" x14ac:dyDescent="0.35">
      <c r="A1021" s="224" t="s">
        <v>56</v>
      </c>
      <c r="B1021" s="224" t="s">
        <v>46</v>
      </c>
      <c r="C1021" s="224" t="s">
        <v>109</v>
      </c>
      <c r="D1021" s="224" t="s">
        <v>257</v>
      </c>
      <c r="E1021" s="224" t="str">
        <f>VLOOKUP($B1021,'FRS geographical categories'!$A$2:$C$45,2,FALSE)</f>
        <v>Predominantly Rural</v>
      </c>
      <c r="F1021" s="224" t="str">
        <f>VLOOKUP($B1021,'FRS geographical categories'!$A$2:$C$45,3,FALSE)</f>
        <v>Non-metropolitan</v>
      </c>
      <c r="G1021" s="98">
        <v>0</v>
      </c>
    </row>
    <row r="1022" spans="1:7" ht="15.5" x14ac:dyDescent="0.35">
      <c r="A1022" s="224" t="s">
        <v>56</v>
      </c>
      <c r="B1022" s="224" t="s">
        <v>47</v>
      </c>
      <c r="C1022" s="224" t="s">
        <v>102</v>
      </c>
      <c r="D1022" s="224" t="s">
        <v>257</v>
      </c>
      <c r="E1022" s="224" t="str">
        <f>VLOOKUP($B1022,'FRS geographical categories'!$A$2:$C$45,2,FALSE)</f>
        <v>Predominantly Urban</v>
      </c>
      <c r="F1022" s="224" t="str">
        <f>VLOOKUP($B1022,'FRS geographical categories'!$A$2:$C$45,3,FALSE)</f>
        <v>Non-metropolitan</v>
      </c>
      <c r="G1022" s="98">
        <v>1890</v>
      </c>
    </row>
    <row r="1023" spans="1:7" ht="15.5" x14ac:dyDescent="0.35">
      <c r="A1023" s="224" t="s">
        <v>56</v>
      </c>
      <c r="B1023" s="224" t="s">
        <v>47</v>
      </c>
      <c r="C1023" s="224" t="s">
        <v>105</v>
      </c>
      <c r="D1023" s="224" t="s">
        <v>257</v>
      </c>
      <c r="E1023" s="224" t="str">
        <f>VLOOKUP($B1023,'FRS geographical categories'!$A$2:$C$45,2,FALSE)</f>
        <v>Predominantly Urban</v>
      </c>
      <c r="F1023" s="224" t="str">
        <f>VLOOKUP($B1023,'FRS geographical categories'!$A$2:$C$45,3,FALSE)</f>
        <v>Non-metropolitan</v>
      </c>
      <c r="G1023" s="98">
        <v>0</v>
      </c>
    </row>
    <row r="1024" spans="1:7" ht="15.5" x14ac:dyDescent="0.35">
      <c r="A1024" s="224" t="s">
        <v>56</v>
      </c>
      <c r="B1024" s="224" t="s">
        <v>47</v>
      </c>
      <c r="C1024" s="224" t="s">
        <v>106</v>
      </c>
      <c r="D1024" s="224" t="s">
        <v>257</v>
      </c>
      <c r="E1024" s="224" t="str">
        <f>VLOOKUP($B1024,'FRS geographical categories'!$A$2:$C$45,2,FALSE)</f>
        <v>Predominantly Urban</v>
      </c>
      <c r="F1024" s="224" t="str">
        <f>VLOOKUP($B1024,'FRS geographical categories'!$A$2:$C$45,3,FALSE)</f>
        <v>Non-metropolitan</v>
      </c>
      <c r="G1024" s="98">
        <v>5202</v>
      </c>
    </row>
    <row r="1025" spans="1:7" ht="15.5" x14ac:dyDescent="0.35">
      <c r="A1025" s="224" t="s">
        <v>56</v>
      </c>
      <c r="B1025" s="224" t="s">
        <v>47</v>
      </c>
      <c r="C1025" s="224" t="s">
        <v>107</v>
      </c>
      <c r="D1025" s="224" t="s">
        <v>257</v>
      </c>
      <c r="E1025" s="224" t="str">
        <f>VLOOKUP($B1025,'FRS geographical categories'!$A$2:$C$45,2,FALSE)</f>
        <v>Predominantly Urban</v>
      </c>
      <c r="F1025" s="224" t="str">
        <f>VLOOKUP($B1025,'FRS geographical categories'!$A$2:$C$45,3,FALSE)</f>
        <v>Non-metropolitan</v>
      </c>
      <c r="G1025" s="98">
        <v>129</v>
      </c>
    </row>
    <row r="1026" spans="1:7" ht="15.5" x14ac:dyDescent="0.35">
      <c r="A1026" s="224" t="s">
        <v>56</v>
      </c>
      <c r="B1026" s="224" t="s">
        <v>47</v>
      </c>
      <c r="C1026" s="224" t="s">
        <v>108</v>
      </c>
      <c r="D1026" s="224" t="s">
        <v>257</v>
      </c>
      <c r="E1026" s="224" t="str">
        <f>VLOOKUP($B1026,'FRS geographical categories'!$A$2:$C$45,2,FALSE)</f>
        <v>Predominantly Urban</v>
      </c>
      <c r="F1026" s="224" t="str">
        <f>VLOOKUP($B1026,'FRS geographical categories'!$A$2:$C$45,3,FALSE)</f>
        <v>Non-metropolitan</v>
      </c>
      <c r="G1026" s="98">
        <v>0</v>
      </c>
    </row>
    <row r="1027" spans="1:7" ht="15.5" x14ac:dyDescent="0.35">
      <c r="A1027" s="224" t="s">
        <v>56</v>
      </c>
      <c r="B1027" s="224" t="s">
        <v>47</v>
      </c>
      <c r="C1027" s="224" t="s">
        <v>109</v>
      </c>
      <c r="D1027" s="224" t="s">
        <v>257</v>
      </c>
      <c r="E1027" s="224" t="str">
        <f>VLOOKUP($B1027,'FRS geographical categories'!$A$2:$C$45,2,FALSE)</f>
        <v>Predominantly Urban</v>
      </c>
      <c r="F1027" s="224" t="str">
        <f>VLOOKUP($B1027,'FRS geographical categories'!$A$2:$C$45,3,FALSE)</f>
        <v>Non-metropolitan</v>
      </c>
      <c r="G1027" s="98">
        <v>0</v>
      </c>
    </row>
    <row r="1028" spans="1:7" ht="15.5" x14ac:dyDescent="0.35">
      <c r="A1028" s="224" t="s">
        <v>56</v>
      </c>
      <c r="B1028" s="224" t="s">
        <v>48</v>
      </c>
      <c r="C1028" s="224" t="s">
        <v>102</v>
      </c>
      <c r="D1028" s="224" t="s">
        <v>257</v>
      </c>
      <c r="E1028" s="224" t="str">
        <f>VLOOKUP($B1028,'FRS geographical categories'!$A$2:$C$45,2,FALSE)</f>
        <v>Predominantly Urban</v>
      </c>
      <c r="F1028" s="224" t="str">
        <f>VLOOKUP($B1028,'FRS geographical categories'!$A$2:$C$45,3,FALSE)</f>
        <v>Metropolitan</v>
      </c>
      <c r="G1028" s="98">
        <v>0</v>
      </c>
    </row>
    <row r="1029" spans="1:7" ht="15.5" x14ac:dyDescent="0.35">
      <c r="A1029" s="224" t="s">
        <v>56</v>
      </c>
      <c r="B1029" s="224" t="s">
        <v>48</v>
      </c>
      <c r="C1029" s="224" t="s">
        <v>105</v>
      </c>
      <c r="D1029" s="224" t="s">
        <v>257</v>
      </c>
      <c r="E1029" s="224" t="str">
        <f>VLOOKUP($B1029,'FRS geographical categories'!$A$2:$C$45,2,FALSE)</f>
        <v>Predominantly Urban</v>
      </c>
      <c r="F1029" s="224" t="str">
        <f>VLOOKUP($B1029,'FRS geographical categories'!$A$2:$C$45,3,FALSE)</f>
        <v>Metropolitan</v>
      </c>
      <c r="G1029" s="98">
        <v>1474</v>
      </c>
    </row>
    <row r="1030" spans="1:7" ht="15.5" x14ac:dyDescent="0.35">
      <c r="A1030" s="224" t="s">
        <v>56</v>
      </c>
      <c r="B1030" s="224" t="s">
        <v>48</v>
      </c>
      <c r="C1030" s="224" t="s">
        <v>106</v>
      </c>
      <c r="D1030" s="224" t="s">
        <v>257</v>
      </c>
      <c r="E1030" s="224" t="str">
        <f>VLOOKUP($B1030,'FRS geographical categories'!$A$2:$C$45,2,FALSE)</f>
        <v>Predominantly Urban</v>
      </c>
      <c r="F1030" s="224" t="str">
        <f>VLOOKUP($B1030,'FRS geographical categories'!$A$2:$C$45,3,FALSE)</f>
        <v>Metropolitan</v>
      </c>
      <c r="G1030" s="98">
        <v>14306</v>
      </c>
    </row>
    <row r="1031" spans="1:7" ht="15.5" x14ac:dyDescent="0.35">
      <c r="A1031" s="224" t="s">
        <v>56</v>
      </c>
      <c r="B1031" s="224" t="s">
        <v>48</v>
      </c>
      <c r="C1031" s="224" t="s">
        <v>107</v>
      </c>
      <c r="D1031" s="224" t="s">
        <v>257</v>
      </c>
      <c r="E1031" s="224" t="str">
        <f>VLOOKUP($B1031,'FRS geographical categories'!$A$2:$C$45,2,FALSE)</f>
        <v>Predominantly Urban</v>
      </c>
      <c r="F1031" s="224" t="str">
        <f>VLOOKUP($B1031,'FRS geographical categories'!$A$2:$C$45,3,FALSE)</f>
        <v>Metropolitan</v>
      </c>
      <c r="G1031" s="98">
        <v>0</v>
      </c>
    </row>
    <row r="1032" spans="1:7" ht="15.5" x14ac:dyDescent="0.35">
      <c r="A1032" s="224" t="s">
        <v>56</v>
      </c>
      <c r="B1032" s="224" t="s">
        <v>48</v>
      </c>
      <c r="C1032" s="224" t="s">
        <v>108</v>
      </c>
      <c r="D1032" s="224" t="s">
        <v>257</v>
      </c>
      <c r="E1032" s="224" t="str">
        <f>VLOOKUP($B1032,'FRS geographical categories'!$A$2:$C$45,2,FALSE)</f>
        <v>Predominantly Urban</v>
      </c>
      <c r="F1032" s="224" t="str">
        <f>VLOOKUP($B1032,'FRS geographical categories'!$A$2:$C$45,3,FALSE)</f>
        <v>Metropolitan</v>
      </c>
      <c r="G1032" s="98">
        <v>7440</v>
      </c>
    </row>
    <row r="1033" spans="1:7" ht="15.5" x14ac:dyDescent="0.35">
      <c r="A1033" s="224" t="s">
        <v>56</v>
      </c>
      <c r="B1033" s="224" t="s">
        <v>48</v>
      </c>
      <c r="C1033" s="224" t="s">
        <v>109</v>
      </c>
      <c r="D1033" s="224" t="s">
        <v>257</v>
      </c>
      <c r="E1033" s="224" t="str">
        <f>VLOOKUP($B1033,'FRS geographical categories'!$A$2:$C$45,2,FALSE)</f>
        <v>Predominantly Urban</v>
      </c>
      <c r="F1033" s="224" t="str">
        <f>VLOOKUP($B1033,'FRS geographical categories'!$A$2:$C$45,3,FALSE)</f>
        <v>Metropolitan</v>
      </c>
      <c r="G1033" s="98">
        <v>1</v>
      </c>
    </row>
    <row r="1034" spans="1:7" ht="15.5" x14ac:dyDescent="0.35">
      <c r="A1034" s="224" t="s">
        <v>56</v>
      </c>
      <c r="B1034" s="224" t="s">
        <v>49</v>
      </c>
      <c r="C1034" s="224" t="s">
        <v>102</v>
      </c>
      <c r="D1034" s="224" t="s">
        <v>257</v>
      </c>
      <c r="E1034" s="224" t="str">
        <f>VLOOKUP($B1034,'FRS geographical categories'!$A$2:$C$45,2,FALSE)</f>
        <v>Significantly Rural</v>
      </c>
      <c r="F1034" s="224" t="str">
        <f>VLOOKUP($B1034,'FRS geographical categories'!$A$2:$C$45,3,FALSE)</f>
        <v>Non-metropolitan</v>
      </c>
      <c r="G1034" s="98">
        <v>0</v>
      </c>
    </row>
    <row r="1035" spans="1:7" ht="15.5" x14ac:dyDescent="0.35">
      <c r="A1035" s="224" t="s">
        <v>56</v>
      </c>
      <c r="B1035" s="224" t="s">
        <v>49</v>
      </c>
      <c r="C1035" s="224" t="s">
        <v>105</v>
      </c>
      <c r="D1035" s="224" t="s">
        <v>257</v>
      </c>
      <c r="E1035" s="224" t="str">
        <f>VLOOKUP($B1035,'FRS geographical categories'!$A$2:$C$45,2,FALSE)</f>
        <v>Significantly Rural</v>
      </c>
      <c r="F1035" s="224" t="str">
        <f>VLOOKUP($B1035,'FRS geographical categories'!$A$2:$C$45,3,FALSE)</f>
        <v>Non-metropolitan</v>
      </c>
      <c r="G1035" s="98">
        <v>0</v>
      </c>
    </row>
    <row r="1036" spans="1:7" ht="15.5" x14ac:dyDescent="0.35">
      <c r="A1036" s="224" t="s">
        <v>56</v>
      </c>
      <c r="B1036" s="224" t="s">
        <v>49</v>
      </c>
      <c r="C1036" s="224" t="s">
        <v>106</v>
      </c>
      <c r="D1036" s="224" t="s">
        <v>257</v>
      </c>
      <c r="E1036" s="224" t="str">
        <f>VLOOKUP($B1036,'FRS geographical categories'!$A$2:$C$45,2,FALSE)</f>
        <v>Significantly Rural</v>
      </c>
      <c r="F1036" s="224" t="str">
        <f>VLOOKUP($B1036,'FRS geographical categories'!$A$2:$C$45,3,FALSE)</f>
        <v>Non-metropolitan</v>
      </c>
      <c r="G1036" s="98">
        <v>5550</v>
      </c>
    </row>
    <row r="1037" spans="1:7" ht="15.5" x14ac:dyDescent="0.35">
      <c r="A1037" s="224" t="s">
        <v>56</v>
      </c>
      <c r="B1037" s="224" t="s">
        <v>49</v>
      </c>
      <c r="C1037" s="224" t="s">
        <v>107</v>
      </c>
      <c r="D1037" s="224" t="s">
        <v>257</v>
      </c>
      <c r="E1037" s="224" t="str">
        <f>VLOOKUP($B1037,'FRS geographical categories'!$A$2:$C$45,2,FALSE)</f>
        <v>Significantly Rural</v>
      </c>
      <c r="F1037" s="224" t="str">
        <f>VLOOKUP($B1037,'FRS geographical categories'!$A$2:$C$45,3,FALSE)</f>
        <v>Non-metropolitan</v>
      </c>
      <c r="G1037" s="98">
        <v>0</v>
      </c>
    </row>
    <row r="1038" spans="1:7" ht="15.5" x14ac:dyDescent="0.35">
      <c r="A1038" s="224" t="s">
        <v>56</v>
      </c>
      <c r="B1038" s="224" t="s">
        <v>49</v>
      </c>
      <c r="C1038" s="224" t="s">
        <v>108</v>
      </c>
      <c r="D1038" s="224" t="s">
        <v>257</v>
      </c>
      <c r="E1038" s="224" t="str">
        <f>VLOOKUP($B1038,'FRS geographical categories'!$A$2:$C$45,2,FALSE)</f>
        <v>Significantly Rural</v>
      </c>
      <c r="F1038" s="224" t="str">
        <f>VLOOKUP($B1038,'FRS geographical categories'!$A$2:$C$45,3,FALSE)</f>
        <v>Non-metropolitan</v>
      </c>
      <c r="G1038" s="98">
        <v>3664</v>
      </c>
    </row>
    <row r="1039" spans="1:7" ht="15.5" x14ac:dyDescent="0.35">
      <c r="A1039" s="224" t="s">
        <v>56</v>
      </c>
      <c r="B1039" s="224" t="s">
        <v>49</v>
      </c>
      <c r="C1039" s="224" t="s">
        <v>109</v>
      </c>
      <c r="D1039" s="224" t="s">
        <v>257</v>
      </c>
      <c r="E1039" s="224" t="str">
        <f>VLOOKUP($B1039,'FRS geographical categories'!$A$2:$C$45,2,FALSE)</f>
        <v>Significantly Rural</v>
      </c>
      <c r="F1039" s="224" t="str">
        <f>VLOOKUP($B1039,'FRS geographical categories'!$A$2:$C$45,3,FALSE)</f>
        <v>Non-metropolitan</v>
      </c>
      <c r="G1039" s="98">
        <v>0</v>
      </c>
    </row>
    <row r="1040" spans="1:7" ht="15.5" x14ac:dyDescent="0.35">
      <c r="A1040" s="224" t="s">
        <v>56</v>
      </c>
      <c r="B1040" s="224" t="s">
        <v>50</v>
      </c>
      <c r="C1040" s="224" t="s">
        <v>102</v>
      </c>
      <c r="D1040" s="224" t="s">
        <v>257</v>
      </c>
      <c r="E1040" s="224" t="str">
        <f>VLOOKUP($B1040,'FRS geographical categories'!$A$2:$C$45,2,FALSE)</f>
        <v>Predominantly Urban</v>
      </c>
      <c r="F1040" s="224" t="str">
        <f>VLOOKUP($B1040,'FRS geographical categories'!$A$2:$C$45,3,FALSE)</f>
        <v>Metropolitan</v>
      </c>
      <c r="G1040" s="98">
        <v>0</v>
      </c>
    </row>
    <row r="1041" spans="1:7" ht="15.5" x14ac:dyDescent="0.35">
      <c r="A1041" s="224" t="s">
        <v>56</v>
      </c>
      <c r="B1041" s="224" t="s">
        <v>50</v>
      </c>
      <c r="C1041" s="224" t="s">
        <v>105</v>
      </c>
      <c r="D1041" s="224" t="s">
        <v>257</v>
      </c>
      <c r="E1041" s="224" t="str">
        <f>VLOOKUP($B1041,'FRS geographical categories'!$A$2:$C$45,2,FALSE)</f>
        <v>Predominantly Urban</v>
      </c>
      <c r="F1041" s="224" t="str">
        <f>VLOOKUP($B1041,'FRS geographical categories'!$A$2:$C$45,3,FALSE)</f>
        <v>Metropolitan</v>
      </c>
      <c r="G1041" s="98">
        <v>0</v>
      </c>
    </row>
    <row r="1042" spans="1:7" ht="15.5" x14ac:dyDescent="0.35">
      <c r="A1042" s="224" t="s">
        <v>56</v>
      </c>
      <c r="B1042" s="224" t="s">
        <v>50</v>
      </c>
      <c r="C1042" s="224" t="s">
        <v>106</v>
      </c>
      <c r="D1042" s="224" t="s">
        <v>257</v>
      </c>
      <c r="E1042" s="224" t="str">
        <f>VLOOKUP($B1042,'FRS geographical categories'!$A$2:$C$45,2,FALSE)</f>
        <v>Predominantly Urban</v>
      </c>
      <c r="F1042" s="224" t="str">
        <f>VLOOKUP($B1042,'FRS geographical categories'!$A$2:$C$45,3,FALSE)</f>
        <v>Metropolitan</v>
      </c>
      <c r="G1042" s="98">
        <v>147916</v>
      </c>
    </row>
    <row r="1043" spans="1:7" ht="15.5" x14ac:dyDescent="0.35">
      <c r="A1043" s="224" t="s">
        <v>56</v>
      </c>
      <c r="B1043" s="224" t="s">
        <v>50</v>
      </c>
      <c r="C1043" s="224" t="s">
        <v>107</v>
      </c>
      <c r="D1043" s="224" t="s">
        <v>257</v>
      </c>
      <c r="E1043" s="224" t="str">
        <f>VLOOKUP($B1043,'FRS geographical categories'!$A$2:$C$45,2,FALSE)</f>
        <v>Predominantly Urban</v>
      </c>
      <c r="F1043" s="224" t="str">
        <f>VLOOKUP($B1043,'FRS geographical categories'!$A$2:$C$45,3,FALSE)</f>
        <v>Metropolitan</v>
      </c>
      <c r="G1043" s="98">
        <v>0</v>
      </c>
    </row>
    <row r="1044" spans="1:7" ht="15.5" x14ac:dyDescent="0.35">
      <c r="A1044" s="224" t="s">
        <v>56</v>
      </c>
      <c r="B1044" s="224" t="s">
        <v>50</v>
      </c>
      <c r="C1044" s="224" t="s">
        <v>108</v>
      </c>
      <c r="D1044" s="224" t="s">
        <v>257</v>
      </c>
      <c r="E1044" s="224" t="str">
        <f>VLOOKUP($B1044,'FRS geographical categories'!$A$2:$C$45,2,FALSE)</f>
        <v>Predominantly Urban</v>
      </c>
      <c r="F1044" s="224" t="str">
        <f>VLOOKUP($B1044,'FRS geographical categories'!$A$2:$C$45,3,FALSE)</f>
        <v>Metropolitan</v>
      </c>
      <c r="G1044" s="98">
        <v>0</v>
      </c>
    </row>
    <row r="1045" spans="1:7" ht="15.5" x14ac:dyDescent="0.35">
      <c r="A1045" s="224" t="s">
        <v>56</v>
      </c>
      <c r="B1045" s="224" t="s">
        <v>50</v>
      </c>
      <c r="C1045" s="224" t="s">
        <v>109</v>
      </c>
      <c r="D1045" s="224" t="s">
        <v>257</v>
      </c>
      <c r="E1045" s="224" t="str">
        <f>VLOOKUP($B1045,'FRS geographical categories'!$A$2:$C$45,2,FALSE)</f>
        <v>Predominantly Urban</v>
      </c>
      <c r="F1045" s="224" t="str">
        <f>VLOOKUP($B1045,'FRS geographical categories'!$A$2:$C$45,3,FALSE)</f>
        <v>Metropolitan</v>
      </c>
      <c r="G1045" s="98">
        <v>0</v>
      </c>
    </row>
    <row r="1046" spans="1:7" ht="15.5" x14ac:dyDescent="0.35">
      <c r="A1046" s="224" t="s">
        <v>56</v>
      </c>
      <c r="B1046" s="224" t="s">
        <v>51</v>
      </c>
      <c r="C1046" s="224" t="s">
        <v>102</v>
      </c>
      <c r="D1046" s="224" t="s">
        <v>257</v>
      </c>
      <c r="E1046" s="224" t="str">
        <f>VLOOKUP($B1046,'FRS geographical categories'!$A$2:$C$45,2,FALSE)</f>
        <v>Significantly Rural</v>
      </c>
      <c r="F1046" s="224" t="str">
        <f>VLOOKUP($B1046,'FRS geographical categories'!$A$2:$C$45,3,FALSE)</f>
        <v>Non-metropolitan</v>
      </c>
      <c r="G1046" s="98">
        <v>0</v>
      </c>
    </row>
    <row r="1047" spans="1:7" ht="15.5" x14ac:dyDescent="0.35">
      <c r="A1047" s="224" t="s">
        <v>56</v>
      </c>
      <c r="B1047" s="224" t="s">
        <v>51</v>
      </c>
      <c r="C1047" s="224" t="s">
        <v>105</v>
      </c>
      <c r="D1047" s="224" t="s">
        <v>257</v>
      </c>
      <c r="E1047" s="224" t="str">
        <f>VLOOKUP($B1047,'FRS geographical categories'!$A$2:$C$45,2,FALSE)</f>
        <v>Significantly Rural</v>
      </c>
      <c r="F1047" s="224" t="str">
        <f>VLOOKUP($B1047,'FRS geographical categories'!$A$2:$C$45,3,FALSE)</f>
        <v>Non-metropolitan</v>
      </c>
      <c r="G1047" s="98">
        <v>0</v>
      </c>
    </row>
    <row r="1048" spans="1:7" ht="15.5" x14ac:dyDescent="0.35">
      <c r="A1048" s="224" t="s">
        <v>56</v>
      </c>
      <c r="B1048" s="224" t="s">
        <v>51</v>
      </c>
      <c r="C1048" s="224" t="s">
        <v>106</v>
      </c>
      <c r="D1048" s="224" t="s">
        <v>257</v>
      </c>
      <c r="E1048" s="224" t="str">
        <f>VLOOKUP($B1048,'FRS geographical categories'!$A$2:$C$45,2,FALSE)</f>
        <v>Significantly Rural</v>
      </c>
      <c r="F1048" s="224" t="str">
        <f>VLOOKUP($B1048,'FRS geographical categories'!$A$2:$C$45,3,FALSE)</f>
        <v>Non-metropolitan</v>
      </c>
      <c r="G1048" s="98">
        <v>1584</v>
      </c>
    </row>
    <row r="1049" spans="1:7" ht="15.5" x14ac:dyDescent="0.35">
      <c r="A1049" s="224" t="s">
        <v>56</v>
      </c>
      <c r="B1049" s="224" t="s">
        <v>51</v>
      </c>
      <c r="C1049" s="224" t="s">
        <v>107</v>
      </c>
      <c r="D1049" s="224" t="s">
        <v>257</v>
      </c>
      <c r="E1049" s="224" t="str">
        <f>VLOOKUP($B1049,'FRS geographical categories'!$A$2:$C$45,2,FALSE)</f>
        <v>Significantly Rural</v>
      </c>
      <c r="F1049" s="224" t="str">
        <f>VLOOKUP($B1049,'FRS geographical categories'!$A$2:$C$45,3,FALSE)</f>
        <v>Non-metropolitan</v>
      </c>
      <c r="G1049" s="98">
        <v>0</v>
      </c>
    </row>
    <row r="1050" spans="1:7" ht="15.5" x14ac:dyDescent="0.35">
      <c r="A1050" s="224" t="s">
        <v>56</v>
      </c>
      <c r="B1050" s="224" t="s">
        <v>51</v>
      </c>
      <c r="C1050" s="224" t="s">
        <v>108</v>
      </c>
      <c r="D1050" s="224" t="s">
        <v>257</v>
      </c>
      <c r="E1050" s="224" t="str">
        <f>VLOOKUP($B1050,'FRS geographical categories'!$A$2:$C$45,2,FALSE)</f>
        <v>Significantly Rural</v>
      </c>
      <c r="F1050" s="224" t="str">
        <f>VLOOKUP($B1050,'FRS geographical categories'!$A$2:$C$45,3,FALSE)</f>
        <v>Non-metropolitan</v>
      </c>
      <c r="G1050" s="98">
        <v>3123</v>
      </c>
    </row>
    <row r="1051" spans="1:7" ht="15.5" x14ac:dyDescent="0.35">
      <c r="A1051" s="224" t="s">
        <v>56</v>
      </c>
      <c r="B1051" s="224" t="s">
        <v>51</v>
      </c>
      <c r="C1051" s="224" t="s">
        <v>109</v>
      </c>
      <c r="D1051" s="224" t="s">
        <v>257</v>
      </c>
      <c r="E1051" s="224" t="str">
        <f>VLOOKUP($B1051,'FRS geographical categories'!$A$2:$C$45,2,FALSE)</f>
        <v>Significantly Rural</v>
      </c>
      <c r="F1051" s="224" t="str">
        <f>VLOOKUP($B1051,'FRS geographical categories'!$A$2:$C$45,3,FALSE)</f>
        <v>Non-metropolitan</v>
      </c>
      <c r="G1051" s="98">
        <v>0</v>
      </c>
    </row>
    <row r="1052" spans="1:7" ht="15.5" x14ac:dyDescent="0.35">
      <c r="A1052" s="224" t="s">
        <v>56</v>
      </c>
      <c r="B1052" s="224" t="s">
        <v>52</v>
      </c>
      <c r="C1052" s="224" t="s">
        <v>102</v>
      </c>
      <c r="D1052" s="224" t="s">
        <v>257</v>
      </c>
      <c r="E1052" s="224" t="str">
        <f>VLOOKUP($B1052,'FRS geographical categories'!$A$2:$C$45,2,FALSE)</f>
        <v>Predominantly Urban</v>
      </c>
      <c r="F1052" s="224" t="str">
        <f>VLOOKUP($B1052,'FRS geographical categories'!$A$2:$C$45,3,FALSE)</f>
        <v>Metropolitan</v>
      </c>
      <c r="G1052" s="98">
        <v>0</v>
      </c>
    </row>
    <row r="1053" spans="1:7" ht="15.5" x14ac:dyDescent="0.35">
      <c r="A1053" s="224" t="s">
        <v>56</v>
      </c>
      <c r="B1053" s="224" t="s">
        <v>52</v>
      </c>
      <c r="C1053" s="224" t="s">
        <v>105</v>
      </c>
      <c r="D1053" s="224" t="s">
        <v>257</v>
      </c>
      <c r="E1053" s="224" t="str">
        <f>VLOOKUP($B1053,'FRS geographical categories'!$A$2:$C$45,2,FALSE)</f>
        <v>Predominantly Urban</v>
      </c>
      <c r="F1053" s="224" t="str">
        <f>VLOOKUP($B1053,'FRS geographical categories'!$A$2:$C$45,3,FALSE)</f>
        <v>Metropolitan</v>
      </c>
      <c r="G1053" s="98">
        <v>0</v>
      </c>
    </row>
    <row r="1054" spans="1:7" ht="15.5" x14ac:dyDescent="0.35">
      <c r="A1054" s="224" t="s">
        <v>56</v>
      </c>
      <c r="B1054" s="224" t="s">
        <v>52</v>
      </c>
      <c r="C1054" s="224" t="s">
        <v>106</v>
      </c>
      <c r="D1054" s="224" t="s">
        <v>257</v>
      </c>
      <c r="E1054" s="224" t="str">
        <f>VLOOKUP($B1054,'FRS geographical categories'!$A$2:$C$45,2,FALSE)</f>
        <v>Predominantly Urban</v>
      </c>
      <c r="F1054" s="224" t="str">
        <f>VLOOKUP($B1054,'FRS geographical categories'!$A$2:$C$45,3,FALSE)</f>
        <v>Metropolitan</v>
      </c>
      <c r="G1054" s="98">
        <v>26424</v>
      </c>
    </row>
    <row r="1055" spans="1:7" ht="15.5" x14ac:dyDescent="0.35">
      <c r="A1055" s="224" t="s">
        <v>56</v>
      </c>
      <c r="B1055" s="224" t="s">
        <v>52</v>
      </c>
      <c r="C1055" s="224" t="s">
        <v>107</v>
      </c>
      <c r="D1055" s="224" t="s">
        <v>257</v>
      </c>
      <c r="E1055" s="224" t="str">
        <f>VLOOKUP($B1055,'FRS geographical categories'!$A$2:$C$45,2,FALSE)</f>
        <v>Predominantly Urban</v>
      </c>
      <c r="F1055" s="224" t="str">
        <f>VLOOKUP($B1055,'FRS geographical categories'!$A$2:$C$45,3,FALSE)</f>
        <v>Metropolitan</v>
      </c>
      <c r="G1055" s="98">
        <v>0</v>
      </c>
    </row>
    <row r="1056" spans="1:7" ht="15.5" x14ac:dyDescent="0.35">
      <c r="A1056" s="224" t="s">
        <v>56</v>
      </c>
      <c r="B1056" s="224" t="s">
        <v>52</v>
      </c>
      <c r="C1056" s="224" t="s">
        <v>108</v>
      </c>
      <c r="D1056" s="224" t="s">
        <v>257</v>
      </c>
      <c r="E1056" s="224" t="str">
        <f>VLOOKUP($B1056,'FRS geographical categories'!$A$2:$C$45,2,FALSE)</f>
        <v>Predominantly Urban</v>
      </c>
      <c r="F1056" s="224" t="str">
        <f>VLOOKUP($B1056,'FRS geographical categories'!$A$2:$C$45,3,FALSE)</f>
        <v>Metropolitan</v>
      </c>
      <c r="G1056" s="98">
        <v>4245</v>
      </c>
    </row>
    <row r="1057" spans="1:7" ht="15.5" x14ac:dyDescent="0.35">
      <c r="A1057" s="224" t="s">
        <v>56</v>
      </c>
      <c r="B1057" s="224" t="s">
        <v>52</v>
      </c>
      <c r="C1057" s="224" t="s">
        <v>109</v>
      </c>
      <c r="D1057" s="224" t="s">
        <v>257</v>
      </c>
      <c r="E1057" s="224" t="str">
        <f>VLOOKUP($B1057,'FRS geographical categories'!$A$2:$C$45,2,FALSE)</f>
        <v>Predominantly Urban</v>
      </c>
      <c r="F1057" s="224" t="str">
        <f>VLOOKUP($B1057,'FRS geographical categories'!$A$2:$C$45,3,FALSE)</f>
        <v>Metropolitan</v>
      </c>
      <c r="G1057" s="98">
        <v>0</v>
      </c>
    </row>
    <row r="1058" spans="1:7" ht="15.5" x14ac:dyDescent="0.35">
      <c r="A1058" s="224" t="s">
        <v>81</v>
      </c>
      <c r="B1058" s="224" t="s">
        <v>8</v>
      </c>
      <c r="C1058" s="224" t="s">
        <v>102</v>
      </c>
      <c r="D1058" s="224" t="s">
        <v>257</v>
      </c>
      <c r="E1058" s="224" t="str">
        <f>VLOOKUP($B1058,'FRS geographical categories'!$A$2:$C$45,2,FALSE)</f>
        <v>Predominantly Urban</v>
      </c>
      <c r="F1058" s="224" t="str">
        <f>VLOOKUP($B1058,'FRS geographical categories'!$A$2:$C$45,3,FALSE)</f>
        <v>Non-metropolitan</v>
      </c>
      <c r="G1058" s="98">
        <v>3684</v>
      </c>
    </row>
    <row r="1059" spans="1:7" ht="15.5" x14ac:dyDescent="0.35">
      <c r="A1059" s="224" t="s">
        <v>81</v>
      </c>
      <c r="B1059" s="224" t="s">
        <v>8</v>
      </c>
      <c r="C1059" s="224" t="s">
        <v>105</v>
      </c>
      <c r="D1059" s="224" t="s">
        <v>257</v>
      </c>
      <c r="E1059" s="224" t="str">
        <f>VLOOKUP($B1059,'FRS geographical categories'!$A$2:$C$45,2,FALSE)</f>
        <v>Predominantly Urban</v>
      </c>
      <c r="F1059" s="224" t="str">
        <f>VLOOKUP($B1059,'FRS geographical categories'!$A$2:$C$45,3,FALSE)</f>
        <v>Non-metropolitan</v>
      </c>
      <c r="G1059" s="98">
        <v>0</v>
      </c>
    </row>
    <row r="1060" spans="1:7" ht="15.5" x14ac:dyDescent="0.35">
      <c r="A1060" s="224" t="s">
        <v>81</v>
      </c>
      <c r="B1060" s="224" t="s">
        <v>8</v>
      </c>
      <c r="C1060" s="224" t="s">
        <v>106</v>
      </c>
      <c r="D1060" s="224" t="s">
        <v>257</v>
      </c>
      <c r="E1060" s="224" t="str">
        <f>VLOOKUP($B1060,'FRS geographical categories'!$A$2:$C$45,2,FALSE)</f>
        <v>Predominantly Urban</v>
      </c>
      <c r="F1060" s="224" t="str">
        <f>VLOOKUP($B1060,'FRS geographical categories'!$A$2:$C$45,3,FALSE)</f>
        <v>Non-metropolitan</v>
      </c>
      <c r="G1060" s="98">
        <v>9115</v>
      </c>
    </row>
    <row r="1061" spans="1:7" ht="15.5" x14ac:dyDescent="0.35">
      <c r="A1061" s="224" t="s">
        <v>81</v>
      </c>
      <c r="B1061" s="224" t="s">
        <v>8</v>
      </c>
      <c r="C1061" s="224" t="s">
        <v>107</v>
      </c>
      <c r="D1061" s="224" t="s">
        <v>257</v>
      </c>
      <c r="E1061" s="224" t="str">
        <f>VLOOKUP($B1061,'FRS geographical categories'!$A$2:$C$45,2,FALSE)</f>
        <v>Predominantly Urban</v>
      </c>
      <c r="F1061" s="224" t="str">
        <f>VLOOKUP($B1061,'FRS geographical categories'!$A$2:$C$45,3,FALSE)</f>
        <v>Non-metropolitan</v>
      </c>
      <c r="G1061" s="98">
        <v>0</v>
      </c>
    </row>
    <row r="1062" spans="1:7" ht="15.5" x14ac:dyDescent="0.35">
      <c r="A1062" s="224" t="s">
        <v>81</v>
      </c>
      <c r="B1062" s="224" t="s">
        <v>8</v>
      </c>
      <c r="C1062" s="224" t="s">
        <v>108</v>
      </c>
      <c r="D1062" s="224" t="s">
        <v>257</v>
      </c>
      <c r="E1062" s="224" t="str">
        <f>VLOOKUP($B1062,'FRS geographical categories'!$A$2:$C$45,2,FALSE)</f>
        <v>Predominantly Urban</v>
      </c>
      <c r="F1062" s="224" t="str">
        <f>VLOOKUP($B1062,'FRS geographical categories'!$A$2:$C$45,3,FALSE)</f>
        <v>Non-metropolitan</v>
      </c>
      <c r="G1062" s="98">
        <v>0</v>
      </c>
    </row>
    <row r="1063" spans="1:7" ht="15.5" x14ac:dyDescent="0.35">
      <c r="A1063" s="224" t="s">
        <v>81</v>
      </c>
      <c r="B1063" s="224" t="s">
        <v>8</v>
      </c>
      <c r="C1063" s="224" t="s">
        <v>109</v>
      </c>
      <c r="D1063" s="224" t="s">
        <v>257</v>
      </c>
      <c r="E1063" s="224" t="str">
        <f>VLOOKUP($B1063,'FRS geographical categories'!$A$2:$C$45,2,FALSE)</f>
        <v>Predominantly Urban</v>
      </c>
      <c r="F1063" s="224" t="str">
        <f>VLOOKUP($B1063,'FRS geographical categories'!$A$2:$C$45,3,FALSE)</f>
        <v>Non-metropolitan</v>
      </c>
      <c r="G1063" s="98">
        <v>0</v>
      </c>
    </row>
    <row r="1064" spans="1:7" ht="15.5" x14ac:dyDescent="0.35">
      <c r="A1064" s="224" t="s">
        <v>81</v>
      </c>
      <c r="B1064" s="224" t="s">
        <v>11</v>
      </c>
      <c r="C1064" s="224" t="s">
        <v>102</v>
      </c>
      <c r="D1064" s="224" t="s">
        <v>257</v>
      </c>
      <c r="E1064" s="224" t="str">
        <f>VLOOKUP($B1064,'FRS geographical categories'!$A$2:$C$45,2,FALSE)</f>
        <v>Significantly Rural</v>
      </c>
      <c r="F1064" s="224" t="str">
        <f>VLOOKUP($B1064,'FRS geographical categories'!$A$2:$C$45,3,FALSE)</f>
        <v>Non-metropolitan</v>
      </c>
      <c r="G1064" s="98">
        <v>0</v>
      </c>
    </row>
    <row r="1065" spans="1:7" ht="15.5" x14ac:dyDescent="0.35">
      <c r="A1065" s="224" t="s">
        <v>81</v>
      </c>
      <c r="B1065" s="224" t="s">
        <v>11</v>
      </c>
      <c r="C1065" s="224" t="s">
        <v>105</v>
      </c>
      <c r="D1065" s="224" t="s">
        <v>257</v>
      </c>
      <c r="E1065" s="224" t="str">
        <f>VLOOKUP($B1065,'FRS geographical categories'!$A$2:$C$45,2,FALSE)</f>
        <v>Significantly Rural</v>
      </c>
      <c r="F1065" s="224" t="str">
        <f>VLOOKUP($B1065,'FRS geographical categories'!$A$2:$C$45,3,FALSE)</f>
        <v>Non-metropolitan</v>
      </c>
      <c r="G1065" s="98">
        <v>0</v>
      </c>
    </row>
    <row r="1066" spans="1:7" ht="15.5" x14ac:dyDescent="0.35">
      <c r="A1066" s="224" t="s">
        <v>81</v>
      </c>
      <c r="B1066" s="224" t="s">
        <v>11</v>
      </c>
      <c r="C1066" s="224" t="s">
        <v>106</v>
      </c>
      <c r="D1066" s="224" t="s">
        <v>257</v>
      </c>
      <c r="E1066" s="224" t="str">
        <f>VLOOKUP($B1066,'FRS geographical categories'!$A$2:$C$45,2,FALSE)</f>
        <v>Significantly Rural</v>
      </c>
      <c r="F1066" s="224" t="str">
        <f>VLOOKUP($B1066,'FRS geographical categories'!$A$2:$C$45,3,FALSE)</f>
        <v>Non-metropolitan</v>
      </c>
      <c r="G1066" s="98">
        <v>16138</v>
      </c>
    </row>
    <row r="1067" spans="1:7" ht="15.5" x14ac:dyDescent="0.35">
      <c r="A1067" s="224" t="s">
        <v>81</v>
      </c>
      <c r="B1067" s="224" t="s">
        <v>11</v>
      </c>
      <c r="C1067" s="224" t="s">
        <v>107</v>
      </c>
      <c r="D1067" s="224" t="s">
        <v>257</v>
      </c>
      <c r="E1067" s="224" t="str">
        <f>VLOOKUP($B1067,'FRS geographical categories'!$A$2:$C$45,2,FALSE)</f>
        <v>Significantly Rural</v>
      </c>
      <c r="F1067" s="224" t="str">
        <f>VLOOKUP($B1067,'FRS geographical categories'!$A$2:$C$45,3,FALSE)</f>
        <v>Non-metropolitan</v>
      </c>
      <c r="G1067" s="98">
        <v>0</v>
      </c>
    </row>
    <row r="1068" spans="1:7" ht="15.5" x14ac:dyDescent="0.35">
      <c r="A1068" s="224" t="s">
        <v>81</v>
      </c>
      <c r="B1068" s="224" t="s">
        <v>11</v>
      </c>
      <c r="C1068" s="224" t="s">
        <v>108</v>
      </c>
      <c r="D1068" s="224" t="s">
        <v>257</v>
      </c>
      <c r="E1068" s="224" t="str">
        <f>VLOOKUP($B1068,'FRS geographical categories'!$A$2:$C$45,2,FALSE)</f>
        <v>Significantly Rural</v>
      </c>
      <c r="F1068" s="224" t="str">
        <f>VLOOKUP($B1068,'FRS geographical categories'!$A$2:$C$45,3,FALSE)</f>
        <v>Non-metropolitan</v>
      </c>
      <c r="G1068" s="98">
        <v>1363</v>
      </c>
    </row>
    <row r="1069" spans="1:7" ht="15.5" x14ac:dyDescent="0.35">
      <c r="A1069" s="224" t="s">
        <v>81</v>
      </c>
      <c r="B1069" s="224" t="s">
        <v>11</v>
      </c>
      <c r="C1069" s="224" t="s">
        <v>109</v>
      </c>
      <c r="D1069" s="224" t="s">
        <v>257</v>
      </c>
      <c r="E1069" s="224" t="str">
        <f>VLOOKUP($B1069,'FRS geographical categories'!$A$2:$C$45,2,FALSE)</f>
        <v>Significantly Rural</v>
      </c>
      <c r="F1069" s="224" t="str">
        <f>VLOOKUP($B1069,'FRS geographical categories'!$A$2:$C$45,3,FALSE)</f>
        <v>Non-metropolitan</v>
      </c>
      <c r="G1069" s="98">
        <v>816</v>
      </c>
    </row>
    <row r="1070" spans="1:7" ht="15.5" x14ac:dyDescent="0.35">
      <c r="A1070" s="224" t="s">
        <v>81</v>
      </c>
      <c r="B1070" s="224" t="s">
        <v>12</v>
      </c>
      <c r="C1070" s="224" t="s">
        <v>102</v>
      </c>
      <c r="D1070" s="224" t="s">
        <v>257</v>
      </c>
      <c r="E1070" s="224" t="str">
        <f>VLOOKUP($B1070,'FRS geographical categories'!$A$2:$C$45,2,FALSE)</f>
        <v>Predominantly Urban</v>
      </c>
      <c r="F1070" s="224" t="str">
        <f>VLOOKUP($B1070,'FRS geographical categories'!$A$2:$C$45,3,FALSE)</f>
        <v>Non-metropolitan</v>
      </c>
      <c r="G1070" s="98">
        <v>0</v>
      </c>
    </row>
    <row r="1071" spans="1:7" ht="15.5" x14ac:dyDescent="0.35">
      <c r="A1071" s="224" t="s">
        <v>81</v>
      </c>
      <c r="B1071" s="224" t="s">
        <v>12</v>
      </c>
      <c r="C1071" s="224" t="s">
        <v>105</v>
      </c>
      <c r="D1071" s="224" t="s">
        <v>257</v>
      </c>
      <c r="E1071" s="224" t="str">
        <f>VLOOKUP($B1071,'FRS geographical categories'!$A$2:$C$45,2,FALSE)</f>
        <v>Predominantly Urban</v>
      </c>
      <c r="F1071" s="224" t="str">
        <f>VLOOKUP($B1071,'FRS geographical categories'!$A$2:$C$45,3,FALSE)</f>
        <v>Non-metropolitan</v>
      </c>
      <c r="G1071" s="98">
        <v>0</v>
      </c>
    </row>
    <row r="1072" spans="1:7" ht="15.5" x14ac:dyDescent="0.35">
      <c r="A1072" s="224" t="s">
        <v>81</v>
      </c>
      <c r="B1072" s="224" t="s">
        <v>12</v>
      </c>
      <c r="C1072" s="224" t="s">
        <v>106</v>
      </c>
      <c r="D1072" s="224" t="s">
        <v>257</v>
      </c>
      <c r="E1072" s="224" t="str">
        <f>VLOOKUP($B1072,'FRS geographical categories'!$A$2:$C$45,2,FALSE)</f>
        <v>Predominantly Urban</v>
      </c>
      <c r="F1072" s="224" t="str">
        <f>VLOOKUP($B1072,'FRS geographical categories'!$A$2:$C$45,3,FALSE)</f>
        <v>Non-metropolitan</v>
      </c>
      <c r="G1072" s="98">
        <v>8139</v>
      </c>
    </row>
    <row r="1073" spans="1:7" ht="15.5" x14ac:dyDescent="0.35">
      <c r="A1073" s="224" t="s">
        <v>81</v>
      </c>
      <c r="B1073" s="224" t="s">
        <v>12</v>
      </c>
      <c r="C1073" s="224" t="s">
        <v>107</v>
      </c>
      <c r="D1073" s="224" t="s">
        <v>257</v>
      </c>
      <c r="E1073" s="224" t="str">
        <f>VLOOKUP($B1073,'FRS geographical categories'!$A$2:$C$45,2,FALSE)</f>
        <v>Predominantly Urban</v>
      </c>
      <c r="F1073" s="224" t="str">
        <f>VLOOKUP($B1073,'FRS geographical categories'!$A$2:$C$45,3,FALSE)</f>
        <v>Non-metropolitan</v>
      </c>
      <c r="G1073" s="98">
        <v>0</v>
      </c>
    </row>
    <row r="1074" spans="1:7" ht="15.5" x14ac:dyDescent="0.35">
      <c r="A1074" s="224" t="s">
        <v>81</v>
      </c>
      <c r="B1074" s="224" t="s">
        <v>12</v>
      </c>
      <c r="C1074" s="224" t="s">
        <v>108</v>
      </c>
      <c r="D1074" s="224" t="s">
        <v>257</v>
      </c>
      <c r="E1074" s="224" t="str">
        <f>VLOOKUP($B1074,'FRS geographical categories'!$A$2:$C$45,2,FALSE)</f>
        <v>Predominantly Urban</v>
      </c>
      <c r="F1074" s="224" t="str">
        <f>VLOOKUP($B1074,'FRS geographical categories'!$A$2:$C$45,3,FALSE)</f>
        <v>Non-metropolitan</v>
      </c>
      <c r="G1074" s="98">
        <v>2807</v>
      </c>
    </row>
    <row r="1075" spans="1:7" ht="15.5" x14ac:dyDescent="0.35">
      <c r="A1075" s="224" t="s">
        <v>81</v>
      </c>
      <c r="B1075" s="224" t="s">
        <v>12</v>
      </c>
      <c r="C1075" s="224" t="s">
        <v>109</v>
      </c>
      <c r="D1075" s="224" t="s">
        <v>257</v>
      </c>
      <c r="E1075" s="224" t="str">
        <f>VLOOKUP($B1075,'FRS geographical categories'!$A$2:$C$45,2,FALSE)</f>
        <v>Predominantly Urban</v>
      </c>
      <c r="F1075" s="224" t="str">
        <f>VLOOKUP($B1075,'FRS geographical categories'!$A$2:$C$45,3,FALSE)</f>
        <v>Non-metropolitan</v>
      </c>
      <c r="G1075" s="98">
        <v>0</v>
      </c>
    </row>
    <row r="1076" spans="1:7" ht="15.5" x14ac:dyDescent="0.35">
      <c r="A1076" s="224" t="s">
        <v>81</v>
      </c>
      <c r="B1076" s="224" t="s">
        <v>13</v>
      </c>
      <c r="C1076" s="224" t="s">
        <v>102</v>
      </c>
      <c r="D1076" s="224" t="s">
        <v>257</v>
      </c>
      <c r="E1076" s="224" t="str">
        <f>VLOOKUP($B1076,'FRS geographical categories'!$A$2:$C$45,2,FALSE)</f>
        <v>Significantly Rural</v>
      </c>
      <c r="F1076" s="224" t="str">
        <f>VLOOKUP($B1076,'FRS geographical categories'!$A$2:$C$45,3,FALSE)</f>
        <v>Non-metropolitan</v>
      </c>
      <c r="G1076" s="98">
        <v>810</v>
      </c>
    </row>
    <row r="1077" spans="1:7" ht="15.5" x14ac:dyDescent="0.35">
      <c r="A1077" s="224" t="s">
        <v>81</v>
      </c>
      <c r="B1077" s="224" t="s">
        <v>13</v>
      </c>
      <c r="C1077" s="224" t="s">
        <v>105</v>
      </c>
      <c r="D1077" s="224" t="s">
        <v>257</v>
      </c>
      <c r="E1077" s="224" t="str">
        <f>VLOOKUP($B1077,'FRS geographical categories'!$A$2:$C$45,2,FALSE)</f>
        <v>Significantly Rural</v>
      </c>
      <c r="F1077" s="224" t="str">
        <f>VLOOKUP($B1077,'FRS geographical categories'!$A$2:$C$45,3,FALSE)</f>
        <v>Non-metropolitan</v>
      </c>
      <c r="G1077" s="98">
        <v>0</v>
      </c>
    </row>
    <row r="1078" spans="1:7" ht="15.5" x14ac:dyDescent="0.35">
      <c r="A1078" s="224" t="s">
        <v>81</v>
      </c>
      <c r="B1078" s="224" t="s">
        <v>13</v>
      </c>
      <c r="C1078" s="224" t="s">
        <v>106</v>
      </c>
      <c r="D1078" s="224" t="s">
        <v>257</v>
      </c>
      <c r="E1078" s="224" t="str">
        <f>VLOOKUP($B1078,'FRS geographical categories'!$A$2:$C$45,2,FALSE)</f>
        <v>Significantly Rural</v>
      </c>
      <c r="F1078" s="224" t="str">
        <f>VLOOKUP($B1078,'FRS geographical categories'!$A$2:$C$45,3,FALSE)</f>
        <v>Non-metropolitan</v>
      </c>
      <c r="G1078" s="98">
        <v>4283</v>
      </c>
    </row>
    <row r="1079" spans="1:7" ht="15.5" x14ac:dyDescent="0.35">
      <c r="A1079" s="224" t="s">
        <v>81</v>
      </c>
      <c r="B1079" s="224" t="s">
        <v>13</v>
      </c>
      <c r="C1079" s="224" t="s">
        <v>107</v>
      </c>
      <c r="D1079" s="224" t="s">
        <v>257</v>
      </c>
      <c r="E1079" s="224" t="str">
        <f>VLOOKUP($B1079,'FRS geographical categories'!$A$2:$C$45,2,FALSE)</f>
        <v>Significantly Rural</v>
      </c>
      <c r="F1079" s="224" t="str">
        <f>VLOOKUP($B1079,'FRS geographical categories'!$A$2:$C$45,3,FALSE)</f>
        <v>Non-metropolitan</v>
      </c>
      <c r="G1079" s="98">
        <v>0</v>
      </c>
    </row>
    <row r="1080" spans="1:7" ht="15.5" x14ac:dyDescent="0.35">
      <c r="A1080" s="224" t="s">
        <v>81</v>
      </c>
      <c r="B1080" s="224" t="s">
        <v>13</v>
      </c>
      <c r="C1080" s="224" t="s">
        <v>108</v>
      </c>
      <c r="D1080" s="224" t="s">
        <v>257</v>
      </c>
      <c r="E1080" s="224" t="str">
        <f>VLOOKUP($B1080,'FRS geographical categories'!$A$2:$C$45,2,FALSE)</f>
        <v>Significantly Rural</v>
      </c>
      <c r="F1080" s="224" t="str">
        <f>VLOOKUP($B1080,'FRS geographical categories'!$A$2:$C$45,3,FALSE)</f>
        <v>Non-metropolitan</v>
      </c>
      <c r="G1080" s="98">
        <v>52</v>
      </c>
    </row>
    <row r="1081" spans="1:7" ht="15.5" x14ac:dyDescent="0.35">
      <c r="A1081" s="224" t="s">
        <v>81</v>
      </c>
      <c r="B1081" s="224" t="s">
        <v>13</v>
      </c>
      <c r="C1081" s="224" t="s">
        <v>109</v>
      </c>
      <c r="D1081" s="224" t="s">
        <v>257</v>
      </c>
      <c r="E1081" s="224" t="str">
        <f>VLOOKUP($B1081,'FRS geographical categories'!$A$2:$C$45,2,FALSE)</f>
        <v>Significantly Rural</v>
      </c>
      <c r="F1081" s="224" t="str">
        <f>VLOOKUP($B1081,'FRS geographical categories'!$A$2:$C$45,3,FALSE)</f>
        <v>Non-metropolitan</v>
      </c>
      <c r="G1081" s="98">
        <v>0</v>
      </c>
    </row>
    <row r="1082" spans="1:7" ht="15.5" x14ac:dyDescent="0.35">
      <c r="A1082" s="224" t="s">
        <v>81</v>
      </c>
      <c r="B1082" s="224" t="s">
        <v>14</v>
      </c>
      <c r="C1082" s="224" t="s">
        <v>102</v>
      </c>
      <c r="D1082" s="224" t="s">
        <v>257</v>
      </c>
      <c r="E1082" s="224" t="str">
        <f>VLOOKUP($B1082,'FRS geographical categories'!$A$2:$C$45,2,FALSE)</f>
        <v>Predominantly Rural</v>
      </c>
      <c r="F1082" s="224" t="str">
        <f>VLOOKUP($B1082,'FRS geographical categories'!$A$2:$C$45,3,FALSE)</f>
        <v>Non-metropolitan</v>
      </c>
      <c r="G1082" s="98">
        <v>0</v>
      </c>
    </row>
    <row r="1083" spans="1:7" ht="15.5" x14ac:dyDescent="0.35">
      <c r="A1083" s="224" t="s">
        <v>81</v>
      </c>
      <c r="B1083" s="224" t="s">
        <v>14</v>
      </c>
      <c r="C1083" s="224" t="s">
        <v>105</v>
      </c>
      <c r="D1083" s="224" t="s">
        <v>257</v>
      </c>
      <c r="E1083" s="224" t="str">
        <f>VLOOKUP($B1083,'FRS geographical categories'!$A$2:$C$45,2,FALSE)</f>
        <v>Predominantly Rural</v>
      </c>
      <c r="F1083" s="224" t="str">
        <f>VLOOKUP($B1083,'FRS geographical categories'!$A$2:$C$45,3,FALSE)</f>
        <v>Non-metropolitan</v>
      </c>
      <c r="G1083" s="98">
        <v>0</v>
      </c>
    </row>
    <row r="1084" spans="1:7" ht="15.5" x14ac:dyDescent="0.35">
      <c r="A1084" s="224" t="s">
        <v>81</v>
      </c>
      <c r="B1084" s="224" t="s">
        <v>14</v>
      </c>
      <c r="C1084" s="224" t="s">
        <v>106</v>
      </c>
      <c r="D1084" s="224" t="s">
        <v>257</v>
      </c>
      <c r="E1084" s="224" t="str">
        <f>VLOOKUP($B1084,'FRS geographical categories'!$A$2:$C$45,2,FALSE)</f>
        <v>Predominantly Rural</v>
      </c>
      <c r="F1084" s="224" t="str">
        <f>VLOOKUP($B1084,'FRS geographical categories'!$A$2:$C$45,3,FALSE)</f>
        <v>Non-metropolitan</v>
      </c>
      <c r="G1084" s="98">
        <v>10945</v>
      </c>
    </row>
    <row r="1085" spans="1:7" ht="15.5" x14ac:dyDescent="0.35">
      <c r="A1085" s="224" t="s">
        <v>81</v>
      </c>
      <c r="B1085" s="224" t="s">
        <v>14</v>
      </c>
      <c r="C1085" s="224" t="s">
        <v>107</v>
      </c>
      <c r="D1085" s="224" t="s">
        <v>257</v>
      </c>
      <c r="E1085" s="224" t="str">
        <f>VLOOKUP($B1085,'FRS geographical categories'!$A$2:$C$45,2,FALSE)</f>
        <v>Predominantly Rural</v>
      </c>
      <c r="F1085" s="224" t="str">
        <f>VLOOKUP($B1085,'FRS geographical categories'!$A$2:$C$45,3,FALSE)</f>
        <v>Non-metropolitan</v>
      </c>
      <c r="G1085" s="98">
        <v>0</v>
      </c>
    </row>
    <row r="1086" spans="1:7" ht="15.5" x14ac:dyDescent="0.35">
      <c r="A1086" s="224" t="s">
        <v>81</v>
      </c>
      <c r="B1086" s="224" t="s">
        <v>14</v>
      </c>
      <c r="C1086" s="224" t="s">
        <v>108</v>
      </c>
      <c r="D1086" s="224" t="s">
        <v>257</v>
      </c>
      <c r="E1086" s="224" t="str">
        <f>VLOOKUP($B1086,'FRS geographical categories'!$A$2:$C$45,2,FALSE)</f>
        <v>Predominantly Rural</v>
      </c>
      <c r="F1086" s="224" t="str">
        <f>VLOOKUP($B1086,'FRS geographical categories'!$A$2:$C$45,3,FALSE)</f>
        <v>Non-metropolitan</v>
      </c>
      <c r="G1086" s="98">
        <v>2498</v>
      </c>
    </row>
    <row r="1087" spans="1:7" ht="15.5" x14ac:dyDescent="0.35">
      <c r="A1087" s="224" t="s">
        <v>81</v>
      </c>
      <c r="B1087" s="224" t="s">
        <v>14</v>
      </c>
      <c r="C1087" s="224" t="s">
        <v>109</v>
      </c>
      <c r="D1087" s="224" t="s">
        <v>257</v>
      </c>
      <c r="E1087" s="224" t="str">
        <f>VLOOKUP($B1087,'FRS geographical categories'!$A$2:$C$45,2,FALSE)</f>
        <v>Predominantly Rural</v>
      </c>
      <c r="F1087" s="224" t="str">
        <f>VLOOKUP($B1087,'FRS geographical categories'!$A$2:$C$45,3,FALSE)</f>
        <v>Non-metropolitan</v>
      </c>
      <c r="G1087" s="98">
        <v>360</v>
      </c>
    </row>
    <row r="1088" spans="1:7" ht="15.5" x14ac:dyDescent="0.35">
      <c r="A1088" s="224" t="s">
        <v>81</v>
      </c>
      <c r="B1088" s="224" t="s">
        <v>15</v>
      </c>
      <c r="C1088" s="224" t="s">
        <v>102</v>
      </c>
      <c r="D1088" s="224" t="s">
        <v>257</v>
      </c>
      <c r="E1088" s="224" t="str">
        <f>VLOOKUP($B1088,'FRS geographical categories'!$A$2:$C$45,2,FALSE)</f>
        <v>Significantly Rural</v>
      </c>
      <c r="F1088" s="224" t="str">
        <f>VLOOKUP($B1088,'FRS geographical categories'!$A$2:$C$45,3,FALSE)</f>
        <v>Non-metropolitan</v>
      </c>
      <c r="G1088" s="98">
        <v>12337</v>
      </c>
    </row>
    <row r="1089" spans="1:7" ht="15.5" x14ac:dyDescent="0.35">
      <c r="A1089" s="224" t="s">
        <v>81</v>
      </c>
      <c r="B1089" s="224" t="s">
        <v>15</v>
      </c>
      <c r="C1089" s="224" t="s">
        <v>105</v>
      </c>
      <c r="D1089" s="224" t="s">
        <v>257</v>
      </c>
      <c r="E1089" s="224" t="str">
        <f>VLOOKUP($B1089,'FRS geographical categories'!$A$2:$C$45,2,FALSE)</f>
        <v>Significantly Rural</v>
      </c>
      <c r="F1089" s="224" t="str">
        <f>VLOOKUP($B1089,'FRS geographical categories'!$A$2:$C$45,3,FALSE)</f>
        <v>Non-metropolitan</v>
      </c>
      <c r="G1089" s="98">
        <v>0</v>
      </c>
    </row>
    <row r="1090" spans="1:7" ht="15.5" x14ac:dyDescent="0.35">
      <c r="A1090" s="224" t="s">
        <v>81</v>
      </c>
      <c r="B1090" s="224" t="s">
        <v>15</v>
      </c>
      <c r="C1090" s="224" t="s">
        <v>106</v>
      </c>
      <c r="D1090" s="224" t="s">
        <v>257</v>
      </c>
      <c r="E1090" s="224" t="str">
        <f>VLOOKUP($B1090,'FRS geographical categories'!$A$2:$C$45,2,FALSE)</f>
        <v>Significantly Rural</v>
      </c>
      <c r="F1090" s="224" t="str">
        <f>VLOOKUP($B1090,'FRS geographical categories'!$A$2:$C$45,3,FALSE)</f>
        <v>Non-metropolitan</v>
      </c>
      <c r="G1090" s="98">
        <v>12902</v>
      </c>
    </row>
    <row r="1091" spans="1:7" ht="15.5" x14ac:dyDescent="0.35">
      <c r="A1091" s="224" t="s">
        <v>81</v>
      </c>
      <c r="B1091" s="224" t="s">
        <v>15</v>
      </c>
      <c r="C1091" s="224" t="s">
        <v>107</v>
      </c>
      <c r="D1091" s="224" t="s">
        <v>257</v>
      </c>
      <c r="E1091" s="224" t="str">
        <f>VLOOKUP($B1091,'FRS geographical categories'!$A$2:$C$45,2,FALSE)</f>
        <v>Significantly Rural</v>
      </c>
      <c r="F1091" s="224" t="str">
        <f>VLOOKUP($B1091,'FRS geographical categories'!$A$2:$C$45,3,FALSE)</f>
        <v>Non-metropolitan</v>
      </c>
      <c r="G1091" s="98">
        <v>0</v>
      </c>
    </row>
    <row r="1092" spans="1:7" ht="15.5" x14ac:dyDescent="0.35">
      <c r="A1092" s="224" t="s">
        <v>81</v>
      </c>
      <c r="B1092" s="224" t="s">
        <v>15</v>
      </c>
      <c r="C1092" s="224" t="s">
        <v>108</v>
      </c>
      <c r="D1092" s="224" t="s">
        <v>257</v>
      </c>
      <c r="E1092" s="224" t="str">
        <f>VLOOKUP($B1092,'FRS geographical categories'!$A$2:$C$45,2,FALSE)</f>
        <v>Significantly Rural</v>
      </c>
      <c r="F1092" s="224" t="str">
        <f>VLOOKUP($B1092,'FRS geographical categories'!$A$2:$C$45,3,FALSE)</f>
        <v>Non-metropolitan</v>
      </c>
      <c r="G1092" s="98">
        <v>0</v>
      </c>
    </row>
    <row r="1093" spans="1:7" ht="15.5" x14ac:dyDescent="0.35">
      <c r="A1093" s="224" t="s">
        <v>81</v>
      </c>
      <c r="B1093" s="224" t="s">
        <v>15</v>
      </c>
      <c r="C1093" s="224" t="s">
        <v>109</v>
      </c>
      <c r="D1093" s="224" t="s">
        <v>257</v>
      </c>
      <c r="E1093" s="224" t="str">
        <f>VLOOKUP($B1093,'FRS geographical categories'!$A$2:$C$45,2,FALSE)</f>
        <v>Significantly Rural</v>
      </c>
      <c r="F1093" s="224" t="str">
        <f>VLOOKUP($B1093,'FRS geographical categories'!$A$2:$C$45,3,FALSE)</f>
        <v>Non-metropolitan</v>
      </c>
      <c r="G1093" s="98">
        <v>0</v>
      </c>
    </row>
    <row r="1094" spans="1:7" ht="15.5" x14ac:dyDescent="0.35">
      <c r="A1094" s="224" t="s">
        <v>81</v>
      </c>
      <c r="B1094" s="224" t="s">
        <v>16</v>
      </c>
      <c r="C1094" s="224" t="s">
        <v>102</v>
      </c>
      <c r="D1094" s="224" t="s">
        <v>257</v>
      </c>
      <c r="E1094" s="224" t="str">
        <f>VLOOKUP($B1094,'FRS geographical categories'!$A$2:$C$45,2,FALSE)</f>
        <v>Predominantly Urban</v>
      </c>
      <c r="F1094" s="224" t="str">
        <f>VLOOKUP($B1094,'FRS geographical categories'!$A$2:$C$45,3,FALSE)</f>
        <v>Non-metropolitan</v>
      </c>
      <c r="G1094" s="98">
        <v>1670</v>
      </c>
    </row>
    <row r="1095" spans="1:7" ht="15.5" x14ac:dyDescent="0.35">
      <c r="A1095" s="224" t="s">
        <v>81</v>
      </c>
      <c r="B1095" s="224" t="s">
        <v>16</v>
      </c>
      <c r="C1095" s="224" t="s">
        <v>105</v>
      </c>
      <c r="D1095" s="224" t="s">
        <v>257</v>
      </c>
      <c r="E1095" s="224" t="str">
        <f>VLOOKUP($B1095,'FRS geographical categories'!$A$2:$C$45,2,FALSE)</f>
        <v>Predominantly Urban</v>
      </c>
      <c r="F1095" s="224" t="str">
        <f>VLOOKUP($B1095,'FRS geographical categories'!$A$2:$C$45,3,FALSE)</f>
        <v>Non-metropolitan</v>
      </c>
      <c r="G1095" s="98">
        <v>0</v>
      </c>
    </row>
    <row r="1096" spans="1:7" ht="15.5" x14ac:dyDescent="0.35">
      <c r="A1096" s="224" t="s">
        <v>81</v>
      </c>
      <c r="B1096" s="224" t="s">
        <v>16</v>
      </c>
      <c r="C1096" s="224" t="s">
        <v>106</v>
      </c>
      <c r="D1096" s="224" t="s">
        <v>257</v>
      </c>
      <c r="E1096" s="224" t="str">
        <f>VLOOKUP($B1096,'FRS geographical categories'!$A$2:$C$45,2,FALSE)</f>
        <v>Predominantly Urban</v>
      </c>
      <c r="F1096" s="224" t="str">
        <f>VLOOKUP($B1096,'FRS geographical categories'!$A$2:$C$45,3,FALSE)</f>
        <v>Non-metropolitan</v>
      </c>
      <c r="G1096" s="98">
        <v>35158</v>
      </c>
    </row>
    <row r="1097" spans="1:7" ht="15.5" x14ac:dyDescent="0.35">
      <c r="A1097" s="224" t="s">
        <v>81</v>
      </c>
      <c r="B1097" s="224" t="s">
        <v>16</v>
      </c>
      <c r="C1097" s="224" t="s">
        <v>107</v>
      </c>
      <c r="D1097" s="224" t="s">
        <v>257</v>
      </c>
      <c r="E1097" s="224" t="str">
        <f>VLOOKUP($B1097,'FRS geographical categories'!$A$2:$C$45,2,FALSE)</f>
        <v>Predominantly Urban</v>
      </c>
      <c r="F1097" s="224" t="str">
        <f>VLOOKUP($B1097,'FRS geographical categories'!$A$2:$C$45,3,FALSE)</f>
        <v>Non-metropolitan</v>
      </c>
      <c r="G1097" s="98">
        <v>0</v>
      </c>
    </row>
    <row r="1098" spans="1:7" ht="15.5" x14ac:dyDescent="0.35">
      <c r="A1098" s="224" t="s">
        <v>81</v>
      </c>
      <c r="B1098" s="224" t="s">
        <v>16</v>
      </c>
      <c r="C1098" s="224" t="s">
        <v>108</v>
      </c>
      <c r="D1098" s="224" t="s">
        <v>257</v>
      </c>
      <c r="E1098" s="224" t="str">
        <f>VLOOKUP($B1098,'FRS geographical categories'!$A$2:$C$45,2,FALSE)</f>
        <v>Predominantly Urban</v>
      </c>
      <c r="F1098" s="224" t="str">
        <f>VLOOKUP($B1098,'FRS geographical categories'!$A$2:$C$45,3,FALSE)</f>
        <v>Non-metropolitan</v>
      </c>
      <c r="G1098" s="98">
        <v>4312</v>
      </c>
    </row>
    <row r="1099" spans="1:7" ht="15.5" x14ac:dyDescent="0.35">
      <c r="A1099" s="224" t="s">
        <v>81</v>
      </c>
      <c r="B1099" s="224" t="s">
        <v>16</v>
      </c>
      <c r="C1099" s="224" t="s">
        <v>109</v>
      </c>
      <c r="D1099" s="224" t="s">
        <v>257</v>
      </c>
      <c r="E1099" s="224" t="str">
        <f>VLOOKUP($B1099,'FRS geographical categories'!$A$2:$C$45,2,FALSE)</f>
        <v>Predominantly Urban</v>
      </c>
      <c r="F1099" s="224" t="str">
        <f>VLOOKUP($B1099,'FRS geographical categories'!$A$2:$C$45,3,FALSE)</f>
        <v>Non-metropolitan</v>
      </c>
      <c r="G1099" s="98">
        <v>0</v>
      </c>
    </row>
    <row r="1100" spans="1:7" ht="15.5" x14ac:dyDescent="0.35">
      <c r="A1100" s="224" t="s">
        <v>81</v>
      </c>
      <c r="B1100" s="224" t="s">
        <v>17</v>
      </c>
      <c r="C1100" s="224" t="s">
        <v>102</v>
      </c>
      <c r="D1100" s="224" t="s">
        <v>257</v>
      </c>
      <c r="E1100" s="224" t="str">
        <f>VLOOKUP($B1100,'FRS geographical categories'!$A$2:$C$45,2,FALSE)</f>
        <v>Predominantly Rural</v>
      </c>
      <c r="F1100" s="224" t="str">
        <f>VLOOKUP($B1100,'FRS geographical categories'!$A$2:$C$45,3,FALSE)</f>
        <v>Non-metropolitan</v>
      </c>
      <c r="G1100" s="98">
        <v>0</v>
      </c>
    </row>
    <row r="1101" spans="1:7" ht="15.5" x14ac:dyDescent="0.35">
      <c r="A1101" s="224" t="s">
        <v>81</v>
      </c>
      <c r="B1101" s="224" t="s">
        <v>17</v>
      </c>
      <c r="C1101" s="224" t="s">
        <v>105</v>
      </c>
      <c r="D1101" s="224" t="s">
        <v>257</v>
      </c>
      <c r="E1101" s="224" t="str">
        <f>VLOOKUP($B1101,'FRS geographical categories'!$A$2:$C$45,2,FALSE)</f>
        <v>Predominantly Rural</v>
      </c>
      <c r="F1101" s="224" t="str">
        <f>VLOOKUP($B1101,'FRS geographical categories'!$A$2:$C$45,3,FALSE)</f>
        <v>Non-metropolitan</v>
      </c>
      <c r="G1101" s="98">
        <v>0</v>
      </c>
    </row>
    <row r="1102" spans="1:7" ht="15.5" x14ac:dyDescent="0.35">
      <c r="A1102" s="224" t="s">
        <v>81</v>
      </c>
      <c r="B1102" s="224" t="s">
        <v>17</v>
      </c>
      <c r="C1102" s="224" t="s">
        <v>106</v>
      </c>
      <c r="D1102" s="224" t="s">
        <v>257</v>
      </c>
      <c r="E1102" s="224" t="str">
        <f>VLOOKUP($B1102,'FRS geographical categories'!$A$2:$C$45,2,FALSE)</f>
        <v>Predominantly Rural</v>
      </c>
      <c r="F1102" s="224" t="str">
        <f>VLOOKUP($B1102,'FRS geographical categories'!$A$2:$C$45,3,FALSE)</f>
        <v>Non-metropolitan</v>
      </c>
      <c r="G1102" s="98">
        <v>3698</v>
      </c>
    </row>
    <row r="1103" spans="1:7" ht="15.5" x14ac:dyDescent="0.35">
      <c r="A1103" s="224" t="s">
        <v>81</v>
      </c>
      <c r="B1103" s="224" t="s">
        <v>17</v>
      </c>
      <c r="C1103" s="224" t="s">
        <v>107</v>
      </c>
      <c r="D1103" s="224" t="s">
        <v>257</v>
      </c>
      <c r="E1103" s="224" t="str">
        <f>VLOOKUP($B1103,'FRS geographical categories'!$A$2:$C$45,2,FALSE)</f>
        <v>Predominantly Rural</v>
      </c>
      <c r="F1103" s="224" t="str">
        <f>VLOOKUP($B1103,'FRS geographical categories'!$A$2:$C$45,3,FALSE)</f>
        <v>Non-metropolitan</v>
      </c>
      <c r="G1103" s="98">
        <v>0</v>
      </c>
    </row>
    <row r="1104" spans="1:7" ht="15.5" x14ac:dyDescent="0.35">
      <c r="A1104" s="224" t="s">
        <v>81</v>
      </c>
      <c r="B1104" s="224" t="s">
        <v>17</v>
      </c>
      <c r="C1104" s="224" t="s">
        <v>108</v>
      </c>
      <c r="D1104" s="224" t="s">
        <v>257</v>
      </c>
      <c r="E1104" s="224" t="str">
        <f>VLOOKUP($B1104,'FRS geographical categories'!$A$2:$C$45,2,FALSE)</f>
        <v>Predominantly Rural</v>
      </c>
      <c r="F1104" s="224" t="str">
        <f>VLOOKUP($B1104,'FRS geographical categories'!$A$2:$C$45,3,FALSE)</f>
        <v>Non-metropolitan</v>
      </c>
      <c r="G1104" s="98">
        <v>555</v>
      </c>
    </row>
    <row r="1105" spans="1:7" ht="15.5" x14ac:dyDescent="0.35">
      <c r="A1105" s="224" t="s">
        <v>81</v>
      </c>
      <c r="B1105" s="224" t="s">
        <v>17</v>
      </c>
      <c r="C1105" s="224" t="s">
        <v>109</v>
      </c>
      <c r="D1105" s="224" t="s">
        <v>257</v>
      </c>
      <c r="E1105" s="224" t="str">
        <f>VLOOKUP($B1105,'FRS geographical categories'!$A$2:$C$45,2,FALSE)</f>
        <v>Predominantly Rural</v>
      </c>
      <c r="F1105" s="224" t="str">
        <f>VLOOKUP($B1105,'FRS geographical categories'!$A$2:$C$45,3,FALSE)</f>
        <v>Non-metropolitan</v>
      </c>
      <c r="G1105" s="98">
        <v>13</v>
      </c>
    </row>
    <row r="1106" spans="1:7" ht="15.5" x14ac:dyDescent="0.35">
      <c r="A1106" s="224" t="s">
        <v>81</v>
      </c>
      <c r="B1106" s="224" t="s">
        <v>18</v>
      </c>
      <c r="C1106" s="224" t="s">
        <v>102</v>
      </c>
      <c r="D1106" s="224" t="s">
        <v>257</v>
      </c>
      <c r="E1106" s="224" t="str">
        <f>VLOOKUP($B1106,'FRS geographical categories'!$A$2:$C$45,2,FALSE)</f>
        <v>Predominantly Rural</v>
      </c>
      <c r="F1106" s="224" t="str">
        <f>VLOOKUP($B1106,'FRS geographical categories'!$A$2:$C$45,3,FALSE)</f>
        <v>Non-metropolitan</v>
      </c>
      <c r="G1106" s="98">
        <v>1172</v>
      </c>
    </row>
    <row r="1107" spans="1:7" ht="15.5" x14ac:dyDescent="0.35">
      <c r="A1107" s="224" t="s">
        <v>81</v>
      </c>
      <c r="B1107" s="224" t="s">
        <v>18</v>
      </c>
      <c r="C1107" s="224" t="s">
        <v>105</v>
      </c>
      <c r="D1107" s="224" t="s">
        <v>257</v>
      </c>
      <c r="E1107" s="224" t="str">
        <f>VLOOKUP($B1107,'FRS geographical categories'!$A$2:$C$45,2,FALSE)</f>
        <v>Predominantly Rural</v>
      </c>
      <c r="F1107" s="224" t="str">
        <f>VLOOKUP($B1107,'FRS geographical categories'!$A$2:$C$45,3,FALSE)</f>
        <v>Non-metropolitan</v>
      </c>
      <c r="G1107" s="98">
        <v>0</v>
      </c>
    </row>
    <row r="1108" spans="1:7" ht="15.5" x14ac:dyDescent="0.35">
      <c r="A1108" s="224" t="s">
        <v>81</v>
      </c>
      <c r="B1108" s="224" t="s">
        <v>18</v>
      </c>
      <c r="C1108" s="224" t="s">
        <v>106</v>
      </c>
      <c r="D1108" s="224" t="s">
        <v>257</v>
      </c>
      <c r="E1108" s="224" t="str">
        <f>VLOOKUP($B1108,'FRS geographical categories'!$A$2:$C$45,2,FALSE)</f>
        <v>Predominantly Rural</v>
      </c>
      <c r="F1108" s="224" t="str">
        <f>VLOOKUP($B1108,'FRS geographical categories'!$A$2:$C$45,3,FALSE)</f>
        <v>Non-metropolitan</v>
      </c>
      <c r="G1108" s="98">
        <v>15526</v>
      </c>
    </row>
    <row r="1109" spans="1:7" ht="15.5" x14ac:dyDescent="0.35">
      <c r="A1109" s="224" t="s">
        <v>81</v>
      </c>
      <c r="B1109" s="224" t="s">
        <v>18</v>
      </c>
      <c r="C1109" s="224" t="s">
        <v>107</v>
      </c>
      <c r="D1109" s="224" t="s">
        <v>257</v>
      </c>
      <c r="E1109" s="224" t="str">
        <f>VLOOKUP($B1109,'FRS geographical categories'!$A$2:$C$45,2,FALSE)</f>
        <v>Predominantly Rural</v>
      </c>
      <c r="F1109" s="224" t="str">
        <f>VLOOKUP($B1109,'FRS geographical categories'!$A$2:$C$45,3,FALSE)</f>
        <v>Non-metropolitan</v>
      </c>
      <c r="G1109" s="98">
        <v>0</v>
      </c>
    </row>
    <row r="1110" spans="1:7" ht="15.5" x14ac:dyDescent="0.35">
      <c r="A1110" s="224" t="s">
        <v>81</v>
      </c>
      <c r="B1110" s="224" t="s">
        <v>18</v>
      </c>
      <c r="C1110" s="224" t="s">
        <v>108</v>
      </c>
      <c r="D1110" s="224" t="s">
        <v>257</v>
      </c>
      <c r="E1110" s="224" t="str">
        <f>VLOOKUP($B1110,'FRS geographical categories'!$A$2:$C$45,2,FALSE)</f>
        <v>Predominantly Rural</v>
      </c>
      <c r="F1110" s="224" t="str">
        <f>VLOOKUP($B1110,'FRS geographical categories'!$A$2:$C$45,3,FALSE)</f>
        <v>Non-metropolitan</v>
      </c>
      <c r="G1110" s="98">
        <v>844</v>
      </c>
    </row>
    <row r="1111" spans="1:7" ht="15.5" x14ac:dyDescent="0.35">
      <c r="A1111" s="224" t="s">
        <v>81</v>
      </c>
      <c r="B1111" s="224" t="s">
        <v>18</v>
      </c>
      <c r="C1111" s="224" t="s">
        <v>109</v>
      </c>
      <c r="D1111" s="224" t="s">
        <v>257</v>
      </c>
      <c r="E1111" s="224" t="str">
        <f>VLOOKUP($B1111,'FRS geographical categories'!$A$2:$C$45,2,FALSE)</f>
        <v>Predominantly Rural</v>
      </c>
      <c r="F1111" s="224" t="str">
        <f>VLOOKUP($B1111,'FRS geographical categories'!$A$2:$C$45,3,FALSE)</f>
        <v>Non-metropolitan</v>
      </c>
      <c r="G1111" s="98">
        <v>31</v>
      </c>
    </row>
    <row r="1112" spans="1:7" ht="15.5" x14ac:dyDescent="0.35">
      <c r="A1112" s="224" t="s">
        <v>81</v>
      </c>
      <c r="B1112" s="224" t="s">
        <v>19</v>
      </c>
      <c r="C1112" s="224" t="s">
        <v>102</v>
      </c>
      <c r="D1112" s="224" t="s">
        <v>257</v>
      </c>
      <c r="E1112" s="224" t="str">
        <f>VLOOKUP($B1112,'FRS geographical categories'!$A$2:$C$45,2,FALSE)</f>
        <v>Significantly Rural</v>
      </c>
      <c r="F1112" s="224" t="str">
        <f>VLOOKUP($B1112,'FRS geographical categories'!$A$2:$C$45,3,FALSE)</f>
        <v>Non-metropolitan</v>
      </c>
      <c r="G1112" s="98">
        <v>4426</v>
      </c>
    </row>
    <row r="1113" spans="1:7" ht="15.5" x14ac:dyDescent="0.35">
      <c r="A1113" s="224" t="s">
        <v>81</v>
      </c>
      <c r="B1113" s="224" t="s">
        <v>19</v>
      </c>
      <c r="C1113" s="224" t="s">
        <v>105</v>
      </c>
      <c r="D1113" s="224" t="s">
        <v>257</v>
      </c>
      <c r="E1113" s="224" t="str">
        <f>VLOOKUP($B1113,'FRS geographical categories'!$A$2:$C$45,2,FALSE)</f>
        <v>Significantly Rural</v>
      </c>
      <c r="F1113" s="224" t="str">
        <f>VLOOKUP($B1113,'FRS geographical categories'!$A$2:$C$45,3,FALSE)</f>
        <v>Non-metropolitan</v>
      </c>
      <c r="G1113" s="98">
        <v>1122</v>
      </c>
    </row>
    <row r="1114" spans="1:7" ht="15.5" x14ac:dyDescent="0.35">
      <c r="A1114" s="224" t="s">
        <v>81</v>
      </c>
      <c r="B1114" s="224" t="s">
        <v>19</v>
      </c>
      <c r="C1114" s="224" t="s">
        <v>106</v>
      </c>
      <c r="D1114" s="224" t="s">
        <v>257</v>
      </c>
      <c r="E1114" s="224" t="str">
        <f>VLOOKUP($B1114,'FRS geographical categories'!$A$2:$C$45,2,FALSE)</f>
        <v>Significantly Rural</v>
      </c>
      <c r="F1114" s="224" t="str">
        <f>VLOOKUP($B1114,'FRS geographical categories'!$A$2:$C$45,3,FALSE)</f>
        <v>Non-metropolitan</v>
      </c>
      <c r="G1114" s="98">
        <v>12652</v>
      </c>
    </row>
    <row r="1115" spans="1:7" ht="15.5" x14ac:dyDescent="0.35">
      <c r="A1115" s="224" t="s">
        <v>81</v>
      </c>
      <c r="B1115" s="224" t="s">
        <v>19</v>
      </c>
      <c r="C1115" s="224" t="s">
        <v>107</v>
      </c>
      <c r="D1115" s="224" t="s">
        <v>257</v>
      </c>
      <c r="E1115" s="224" t="str">
        <f>VLOOKUP($B1115,'FRS geographical categories'!$A$2:$C$45,2,FALSE)</f>
        <v>Significantly Rural</v>
      </c>
      <c r="F1115" s="224" t="str">
        <f>VLOOKUP($B1115,'FRS geographical categories'!$A$2:$C$45,3,FALSE)</f>
        <v>Non-metropolitan</v>
      </c>
      <c r="G1115" s="98">
        <v>0</v>
      </c>
    </row>
    <row r="1116" spans="1:7" ht="15.5" x14ac:dyDescent="0.35">
      <c r="A1116" s="224" t="s">
        <v>81</v>
      </c>
      <c r="B1116" s="224" t="s">
        <v>19</v>
      </c>
      <c r="C1116" s="224" t="s">
        <v>108</v>
      </c>
      <c r="D1116" s="224" t="s">
        <v>257</v>
      </c>
      <c r="E1116" s="224" t="str">
        <f>VLOOKUP($B1116,'FRS geographical categories'!$A$2:$C$45,2,FALSE)</f>
        <v>Significantly Rural</v>
      </c>
      <c r="F1116" s="224" t="str">
        <f>VLOOKUP($B1116,'FRS geographical categories'!$A$2:$C$45,3,FALSE)</f>
        <v>Non-metropolitan</v>
      </c>
      <c r="G1116" s="98">
        <v>376</v>
      </c>
    </row>
    <row r="1117" spans="1:7" ht="15.5" x14ac:dyDescent="0.35">
      <c r="A1117" s="224" t="s">
        <v>81</v>
      </c>
      <c r="B1117" s="224" t="s">
        <v>19</v>
      </c>
      <c r="C1117" s="224" t="s">
        <v>109</v>
      </c>
      <c r="D1117" s="224" t="s">
        <v>257</v>
      </c>
      <c r="E1117" s="224" t="str">
        <f>VLOOKUP($B1117,'FRS geographical categories'!$A$2:$C$45,2,FALSE)</f>
        <v>Significantly Rural</v>
      </c>
      <c r="F1117" s="224" t="str">
        <f>VLOOKUP($B1117,'FRS geographical categories'!$A$2:$C$45,3,FALSE)</f>
        <v>Non-metropolitan</v>
      </c>
      <c r="G1117" s="98">
        <v>0</v>
      </c>
    </row>
    <row r="1118" spans="1:7" ht="15.5" x14ac:dyDescent="0.35">
      <c r="A1118" s="224" t="s">
        <v>81</v>
      </c>
      <c r="B1118" s="224" t="s">
        <v>20</v>
      </c>
      <c r="C1118" s="224" t="s">
        <v>102</v>
      </c>
      <c r="D1118" s="224" t="s">
        <v>257</v>
      </c>
      <c r="E1118" s="224" t="str">
        <f>VLOOKUP($B1118,'FRS geographical categories'!$A$2:$C$45,2,FALSE)</f>
        <v>Predominantly Rural</v>
      </c>
      <c r="F1118" s="224" t="str">
        <f>VLOOKUP($B1118,'FRS geographical categories'!$A$2:$C$45,3,FALSE)</f>
        <v>Non-metropolitan</v>
      </c>
      <c r="G1118" s="98">
        <v>0</v>
      </c>
    </row>
    <row r="1119" spans="1:7" ht="15.5" x14ac:dyDescent="0.35">
      <c r="A1119" s="224" t="s">
        <v>81</v>
      </c>
      <c r="B1119" s="224" t="s">
        <v>20</v>
      </c>
      <c r="C1119" s="224" t="s">
        <v>105</v>
      </c>
      <c r="D1119" s="224" t="s">
        <v>257</v>
      </c>
      <c r="E1119" s="224" t="str">
        <f>VLOOKUP($B1119,'FRS geographical categories'!$A$2:$C$45,2,FALSE)</f>
        <v>Predominantly Rural</v>
      </c>
      <c r="F1119" s="224" t="str">
        <f>VLOOKUP($B1119,'FRS geographical categories'!$A$2:$C$45,3,FALSE)</f>
        <v>Non-metropolitan</v>
      </c>
      <c r="G1119" s="98">
        <v>0</v>
      </c>
    </row>
    <row r="1120" spans="1:7" ht="15.5" x14ac:dyDescent="0.35">
      <c r="A1120" s="224" t="s">
        <v>81</v>
      </c>
      <c r="B1120" s="224" t="s">
        <v>20</v>
      </c>
      <c r="C1120" s="224" t="s">
        <v>106</v>
      </c>
      <c r="D1120" s="224" t="s">
        <v>257</v>
      </c>
      <c r="E1120" s="224" t="str">
        <f>VLOOKUP($B1120,'FRS geographical categories'!$A$2:$C$45,2,FALSE)</f>
        <v>Predominantly Rural</v>
      </c>
      <c r="F1120" s="224" t="str">
        <f>VLOOKUP($B1120,'FRS geographical categories'!$A$2:$C$45,3,FALSE)</f>
        <v>Non-metropolitan</v>
      </c>
      <c r="G1120" s="98">
        <v>8042</v>
      </c>
    </row>
    <row r="1121" spans="1:7" ht="15.5" x14ac:dyDescent="0.35">
      <c r="A1121" s="224" t="s">
        <v>81</v>
      </c>
      <c r="B1121" s="224" t="s">
        <v>20</v>
      </c>
      <c r="C1121" s="224" t="s">
        <v>107</v>
      </c>
      <c r="D1121" s="224" t="s">
        <v>257</v>
      </c>
      <c r="E1121" s="224" t="str">
        <f>VLOOKUP($B1121,'FRS geographical categories'!$A$2:$C$45,2,FALSE)</f>
        <v>Predominantly Rural</v>
      </c>
      <c r="F1121" s="224" t="str">
        <f>VLOOKUP($B1121,'FRS geographical categories'!$A$2:$C$45,3,FALSE)</f>
        <v>Non-metropolitan</v>
      </c>
      <c r="G1121" s="98">
        <v>0</v>
      </c>
    </row>
    <row r="1122" spans="1:7" ht="15.5" x14ac:dyDescent="0.35">
      <c r="A1122" s="224" t="s">
        <v>81</v>
      </c>
      <c r="B1122" s="224" t="s">
        <v>20</v>
      </c>
      <c r="C1122" s="224" t="s">
        <v>108</v>
      </c>
      <c r="D1122" s="224" t="s">
        <v>257</v>
      </c>
      <c r="E1122" s="224" t="str">
        <f>VLOOKUP($B1122,'FRS geographical categories'!$A$2:$C$45,2,FALSE)</f>
        <v>Predominantly Rural</v>
      </c>
      <c r="F1122" s="224" t="str">
        <f>VLOOKUP($B1122,'FRS geographical categories'!$A$2:$C$45,3,FALSE)</f>
        <v>Non-metropolitan</v>
      </c>
      <c r="G1122" s="98">
        <v>13411</v>
      </c>
    </row>
    <row r="1123" spans="1:7" ht="15.5" x14ac:dyDescent="0.35">
      <c r="A1123" s="224" t="s">
        <v>81</v>
      </c>
      <c r="B1123" s="224" t="s">
        <v>20</v>
      </c>
      <c r="C1123" s="224" t="s">
        <v>109</v>
      </c>
      <c r="D1123" s="224" t="s">
        <v>257</v>
      </c>
      <c r="E1123" s="224" t="str">
        <f>VLOOKUP($B1123,'FRS geographical categories'!$A$2:$C$45,2,FALSE)</f>
        <v>Predominantly Rural</v>
      </c>
      <c r="F1123" s="224" t="str">
        <f>VLOOKUP($B1123,'FRS geographical categories'!$A$2:$C$45,3,FALSE)</f>
        <v>Non-metropolitan</v>
      </c>
      <c r="G1123" s="98">
        <v>0</v>
      </c>
    </row>
    <row r="1124" spans="1:7" ht="15.5" x14ac:dyDescent="0.35">
      <c r="A1124" s="224" t="s">
        <v>81</v>
      </c>
      <c r="B1124" s="224" t="s">
        <v>21</v>
      </c>
      <c r="C1124" s="224" t="s">
        <v>102</v>
      </c>
      <c r="D1124" s="224" t="s">
        <v>257</v>
      </c>
      <c r="E1124" s="224" t="str">
        <f>VLOOKUP($B1124,'FRS geographical categories'!$A$2:$C$45,2,FALSE)</f>
        <v>Significantly Rural</v>
      </c>
      <c r="F1124" s="224" t="str">
        <f>VLOOKUP($B1124,'FRS geographical categories'!$A$2:$C$45,3,FALSE)</f>
        <v>Non-metropolitan</v>
      </c>
      <c r="G1124" s="98">
        <v>0</v>
      </c>
    </row>
    <row r="1125" spans="1:7" ht="15.5" x14ac:dyDescent="0.35">
      <c r="A1125" s="224" t="s">
        <v>81</v>
      </c>
      <c r="B1125" s="224" t="s">
        <v>21</v>
      </c>
      <c r="C1125" s="224" t="s">
        <v>105</v>
      </c>
      <c r="D1125" s="224" t="s">
        <v>257</v>
      </c>
      <c r="E1125" s="224" t="str">
        <f>VLOOKUP($B1125,'FRS geographical categories'!$A$2:$C$45,2,FALSE)</f>
        <v>Significantly Rural</v>
      </c>
      <c r="F1125" s="224" t="str">
        <f>VLOOKUP($B1125,'FRS geographical categories'!$A$2:$C$45,3,FALSE)</f>
        <v>Non-metropolitan</v>
      </c>
      <c r="G1125" s="98">
        <v>0</v>
      </c>
    </row>
    <row r="1126" spans="1:7" ht="15.5" x14ac:dyDescent="0.35">
      <c r="A1126" s="224" t="s">
        <v>81</v>
      </c>
      <c r="B1126" s="224" t="s">
        <v>21</v>
      </c>
      <c r="C1126" s="224" t="s">
        <v>106</v>
      </c>
      <c r="D1126" s="224" t="s">
        <v>257</v>
      </c>
      <c r="E1126" s="224" t="str">
        <f>VLOOKUP($B1126,'FRS geographical categories'!$A$2:$C$45,2,FALSE)</f>
        <v>Significantly Rural</v>
      </c>
      <c r="F1126" s="224" t="str">
        <f>VLOOKUP($B1126,'FRS geographical categories'!$A$2:$C$45,3,FALSE)</f>
        <v>Non-metropolitan</v>
      </c>
      <c r="G1126" s="98">
        <v>11472</v>
      </c>
    </row>
    <row r="1127" spans="1:7" ht="15.5" x14ac:dyDescent="0.35">
      <c r="A1127" s="224" t="s">
        <v>81</v>
      </c>
      <c r="B1127" s="224" t="s">
        <v>21</v>
      </c>
      <c r="C1127" s="224" t="s">
        <v>107</v>
      </c>
      <c r="D1127" s="224" t="s">
        <v>257</v>
      </c>
      <c r="E1127" s="224" t="str">
        <f>VLOOKUP($B1127,'FRS geographical categories'!$A$2:$C$45,2,FALSE)</f>
        <v>Significantly Rural</v>
      </c>
      <c r="F1127" s="224" t="str">
        <f>VLOOKUP($B1127,'FRS geographical categories'!$A$2:$C$45,3,FALSE)</f>
        <v>Non-metropolitan</v>
      </c>
      <c r="G1127" s="98">
        <v>0</v>
      </c>
    </row>
    <row r="1128" spans="1:7" ht="15.5" x14ac:dyDescent="0.35">
      <c r="A1128" s="224" t="s">
        <v>81</v>
      </c>
      <c r="B1128" s="224" t="s">
        <v>21</v>
      </c>
      <c r="C1128" s="224" t="s">
        <v>108</v>
      </c>
      <c r="D1128" s="224" t="s">
        <v>257</v>
      </c>
      <c r="E1128" s="224" t="str">
        <f>VLOOKUP($B1128,'FRS geographical categories'!$A$2:$C$45,2,FALSE)</f>
        <v>Significantly Rural</v>
      </c>
      <c r="F1128" s="224" t="str">
        <f>VLOOKUP($B1128,'FRS geographical categories'!$A$2:$C$45,3,FALSE)</f>
        <v>Non-metropolitan</v>
      </c>
      <c r="G1128" s="98">
        <v>3886</v>
      </c>
    </row>
    <row r="1129" spans="1:7" ht="15.5" x14ac:dyDescent="0.35">
      <c r="A1129" s="224" t="s">
        <v>81</v>
      </c>
      <c r="B1129" s="224" t="s">
        <v>21</v>
      </c>
      <c r="C1129" s="224" t="s">
        <v>109</v>
      </c>
      <c r="D1129" s="224" t="s">
        <v>257</v>
      </c>
      <c r="E1129" s="224" t="str">
        <f>VLOOKUP($B1129,'FRS geographical categories'!$A$2:$C$45,2,FALSE)</f>
        <v>Significantly Rural</v>
      </c>
      <c r="F1129" s="224" t="str">
        <f>VLOOKUP($B1129,'FRS geographical categories'!$A$2:$C$45,3,FALSE)</f>
        <v>Non-metropolitan</v>
      </c>
      <c r="G1129" s="98">
        <v>90</v>
      </c>
    </row>
    <row r="1130" spans="1:7" ht="15.5" x14ac:dyDescent="0.35">
      <c r="A1130" s="224" t="s">
        <v>81</v>
      </c>
      <c r="B1130" s="224" t="s">
        <v>22</v>
      </c>
      <c r="C1130" s="224" t="s">
        <v>102</v>
      </c>
      <c r="D1130" s="224" t="s">
        <v>257</v>
      </c>
      <c r="E1130" s="224" t="str">
        <f>VLOOKUP($B1130,'FRS geographical categories'!$A$2:$C$45,2,FALSE)</f>
        <v>Predominantly Rural</v>
      </c>
      <c r="F1130" s="224" t="str">
        <f>VLOOKUP($B1130,'FRS geographical categories'!$A$2:$C$45,3,FALSE)</f>
        <v>Non-metropolitan</v>
      </c>
      <c r="G1130" s="98">
        <v>0</v>
      </c>
    </row>
    <row r="1131" spans="1:7" ht="15.5" x14ac:dyDescent="0.35">
      <c r="A1131" s="224" t="s">
        <v>81</v>
      </c>
      <c r="B1131" s="224" t="s">
        <v>22</v>
      </c>
      <c r="C1131" s="224" t="s">
        <v>105</v>
      </c>
      <c r="D1131" s="224" t="s">
        <v>257</v>
      </c>
      <c r="E1131" s="224" t="str">
        <f>VLOOKUP($B1131,'FRS geographical categories'!$A$2:$C$45,2,FALSE)</f>
        <v>Predominantly Rural</v>
      </c>
      <c r="F1131" s="224" t="str">
        <f>VLOOKUP($B1131,'FRS geographical categories'!$A$2:$C$45,3,FALSE)</f>
        <v>Non-metropolitan</v>
      </c>
      <c r="G1131" s="98">
        <v>0</v>
      </c>
    </row>
    <row r="1132" spans="1:7" ht="15.5" x14ac:dyDescent="0.35">
      <c r="A1132" s="224" t="s">
        <v>81</v>
      </c>
      <c r="B1132" s="224" t="s">
        <v>22</v>
      </c>
      <c r="C1132" s="224" t="s">
        <v>106</v>
      </c>
      <c r="D1132" s="224" t="s">
        <v>257</v>
      </c>
      <c r="E1132" s="224" t="str">
        <f>VLOOKUP($B1132,'FRS geographical categories'!$A$2:$C$45,2,FALSE)</f>
        <v>Predominantly Rural</v>
      </c>
      <c r="F1132" s="224" t="str">
        <f>VLOOKUP($B1132,'FRS geographical categories'!$A$2:$C$45,3,FALSE)</f>
        <v>Non-metropolitan</v>
      </c>
      <c r="G1132" s="98">
        <v>35520</v>
      </c>
    </row>
    <row r="1133" spans="1:7" ht="15.5" x14ac:dyDescent="0.35">
      <c r="A1133" s="224" t="s">
        <v>81</v>
      </c>
      <c r="B1133" s="224" t="s">
        <v>22</v>
      </c>
      <c r="C1133" s="224" t="s">
        <v>107</v>
      </c>
      <c r="D1133" s="224" t="s">
        <v>257</v>
      </c>
      <c r="E1133" s="224" t="str">
        <f>VLOOKUP($B1133,'FRS geographical categories'!$A$2:$C$45,2,FALSE)</f>
        <v>Predominantly Rural</v>
      </c>
      <c r="F1133" s="224" t="str">
        <f>VLOOKUP($B1133,'FRS geographical categories'!$A$2:$C$45,3,FALSE)</f>
        <v>Non-metropolitan</v>
      </c>
      <c r="G1133" s="98">
        <v>0</v>
      </c>
    </row>
    <row r="1134" spans="1:7" ht="15.5" x14ac:dyDescent="0.35">
      <c r="A1134" s="224" t="s">
        <v>81</v>
      </c>
      <c r="B1134" s="224" t="s">
        <v>22</v>
      </c>
      <c r="C1134" s="224" t="s">
        <v>108</v>
      </c>
      <c r="D1134" s="224" t="s">
        <v>257</v>
      </c>
      <c r="E1134" s="224" t="str">
        <f>VLOOKUP($B1134,'FRS geographical categories'!$A$2:$C$45,2,FALSE)</f>
        <v>Predominantly Rural</v>
      </c>
      <c r="F1134" s="224" t="str">
        <f>VLOOKUP($B1134,'FRS geographical categories'!$A$2:$C$45,3,FALSE)</f>
        <v>Non-metropolitan</v>
      </c>
      <c r="G1134" s="98">
        <v>606</v>
      </c>
    </row>
    <row r="1135" spans="1:7" ht="15.5" x14ac:dyDescent="0.35">
      <c r="A1135" s="224" t="s">
        <v>81</v>
      </c>
      <c r="B1135" s="224" t="s">
        <v>22</v>
      </c>
      <c r="C1135" s="224" t="s">
        <v>109</v>
      </c>
      <c r="D1135" s="224" t="s">
        <v>257</v>
      </c>
      <c r="E1135" s="224" t="str">
        <f>VLOOKUP($B1135,'FRS geographical categories'!$A$2:$C$45,2,FALSE)</f>
        <v>Predominantly Rural</v>
      </c>
      <c r="F1135" s="224" t="str">
        <f>VLOOKUP($B1135,'FRS geographical categories'!$A$2:$C$45,3,FALSE)</f>
        <v>Non-metropolitan</v>
      </c>
      <c r="G1135" s="98">
        <v>0</v>
      </c>
    </row>
    <row r="1136" spans="1:7" ht="15.5" x14ac:dyDescent="0.35">
      <c r="A1136" s="224" t="s">
        <v>81</v>
      </c>
      <c r="B1136" s="224" t="s">
        <v>23</v>
      </c>
      <c r="C1136" s="224" t="s">
        <v>102</v>
      </c>
      <c r="D1136" s="224" t="s">
        <v>257</v>
      </c>
      <c r="E1136" s="224" t="str">
        <f>VLOOKUP($B1136,'FRS geographical categories'!$A$2:$C$45,2,FALSE)</f>
        <v>Significantly Rural</v>
      </c>
      <c r="F1136" s="224" t="str">
        <f>VLOOKUP($B1136,'FRS geographical categories'!$A$2:$C$45,3,FALSE)</f>
        <v>Non-metropolitan</v>
      </c>
      <c r="G1136" s="98">
        <v>5690</v>
      </c>
    </row>
    <row r="1137" spans="1:7" ht="15.5" x14ac:dyDescent="0.35">
      <c r="A1137" s="224" t="s">
        <v>81</v>
      </c>
      <c r="B1137" s="224" t="s">
        <v>23</v>
      </c>
      <c r="C1137" s="224" t="s">
        <v>105</v>
      </c>
      <c r="D1137" s="224" t="s">
        <v>257</v>
      </c>
      <c r="E1137" s="224" t="str">
        <f>VLOOKUP($B1137,'FRS geographical categories'!$A$2:$C$45,2,FALSE)</f>
        <v>Significantly Rural</v>
      </c>
      <c r="F1137" s="224" t="str">
        <f>VLOOKUP($B1137,'FRS geographical categories'!$A$2:$C$45,3,FALSE)</f>
        <v>Non-metropolitan</v>
      </c>
      <c r="G1137" s="98">
        <v>0</v>
      </c>
    </row>
    <row r="1138" spans="1:7" ht="15.5" x14ac:dyDescent="0.35">
      <c r="A1138" s="224" t="s">
        <v>81</v>
      </c>
      <c r="B1138" s="224" t="s">
        <v>23</v>
      </c>
      <c r="C1138" s="224" t="s">
        <v>106</v>
      </c>
      <c r="D1138" s="224" t="s">
        <v>257</v>
      </c>
      <c r="E1138" s="224" t="str">
        <f>VLOOKUP($B1138,'FRS geographical categories'!$A$2:$C$45,2,FALSE)</f>
        <v>Significantly Rural</v>
      </c>
      <c r="F1138" s="224" t="str">
        <f>VLOOKUP($B1138,'FRS geographical categories'!$A$2:$C$45,3,FALSE)</f>
        <v>Non-metropolitan</v>
      </c>
      <c r="G1138" s="98">
        <v>14994</v>
      </c>
    </row>
    <row r="1139" spans="1:7" ht="15.5" x14ac:dyDescent="0.35">
      <c r="A1139" s="224" t="s">
        <v>81</v>
      </c>
      <c r="B1139" s="224" t="s">
        <v>23</v>
      </c>
      <c r="C1139" s="224" t="s">
        <v>107</v>
      </c>
      <c r="D1139" s="224" t="s">
        <v>257</v>
      </c>
      <c r="E1139" s="224" t="str">
        <f>VLOOKUP($B1139,'FRS geographical categories'!$A$2:$C$45,2,FALSE)</f>
        <v>Significantly Rural</v>
      </c>
      <c r="F1139" s="224" t="str">
        <f>VLOOKUP($B1139,'FRS geographical categories'!$A$2:$C$45,3,FALSE)</f>
        <v>Non-metropolitan</v>
      </c>
      <c r="G1139" s="98">
        <v>0</v>
      </c>
    </row>
    <row r="1140" spans="1:7" ht="15.5" x14ac:dyDescent="0.35">
      <c r="A1140" s="224" t="s">
        <v>81</v>
      </c>
      <c r="B1140" s="224" t="s">
        <v>23</v>
      </c>
      <c r="C1140" s="224" t="s">
        <v>108</v>
      </c>
      <c r="D1140" s="224" t="s">
        <v>257</v>
      </c>
      <c r="E1140" s="224" t="str">
        <f>VLOOKUP($B1140,'FRS geographical categories'!$A$2:$C$45,2,FALSE)</f>
        <v>Significantly Rural</v>
      </c>
      <c r="F1140" s="224" t="str">
        <f>VLOOKUP($B1140,'FRS geographical categories'!$A$2:$C$45,3,FALSE)</f>
        <v>Non-metropolitan</v>
      </c>
      <c r="G1140" s="98">
        <v>0</v>
      </c>
    </row>
    <row r="1141" spans="1:7" ht="15.5" x14ac:dyDescent="0.35">
      <c r="A1141" s="224" t="s">
        <v>81</v>
      </c>
      <c r="B1141" s="224" t="s">
        <v>23</v>
      </c>
      <c r="C1141" s="224" t="s">
        <v>109</v>
      </c>
      <c r="D1141" s="224" t="s">
        <v>257</v>
      </c>
      <c r="E1141" s="224" t="str">
        <f>VLOOKUP($B1141,'FRS geographical categories'!$A$2:$C$45,2,FALSE)</f>
        <v>Significantly Rural</v>
      </c>
      <c r="F1141" s="224" t="str">
        <f>VLOOKUP($B1141,'FRS geographical categories'!$A$2:$C$45,3,FALSE)</f>
        <v>Non-metropolitan</v>
      </c>
      <c r="G1141" s="98">
        <v>0</v>
      </c>
    </row>
    <row r="1142" spans="1:7" ht="15.5" x14ac:dyDescent="0.35">
      <c r="A1142" s="224" t="s">
        <v>81</v>
      </c>
      <c r="B1142" s="224" t="s">
        <v>24</v>
      </c>
      <c r="C1142" s="224" t="s">
        <v>102</v>
      </c>
      <c r="D1142" s="224" t="s">
        <v>257</v>
      </c>
      <c r="E1142" s="224" t="str">
        <f>VLOOKUP($B1142,'FRS geographical categories'!$A$2:$C$45,2,FALSE)</f>
        <v>Significantly Rural</v>
      </c>
      <c r="F1142" s="224" t="str">
        <f>VLOOKUP($B1142,'FRS geographical categories'!$A$2:$C$45,3,FALSE)</f>
        <v>Non-metropolitan</v>
      </c>
      <c r="G1142" s="98">
        <v>0</v>
      </c>
    </row>
    <row r="1143" spans="1:7" ht="15.5" x14ac:dyDescent="0.35">
      <c r="A1143" s="224" t="s">
        <v>81</v>
      </c>
      <c r="B1143" s="224" t="s">
        <v>24</v>
      </c>
      <c r="C1143" s="224" t="s">
        <v>105</v>
      </c>
      <c r="D1143" s="224" t="s">
        <v>257</v>
      </c>
      <c r="E1143" s="224" t="str">
        <f>VLOOKUP($B1143,'FRS geographical categories'!$A$2:$C$45,2,FALSE)</f>
        <v>Significantly Rural</v>
      </c>
      <c r="F1143" s="224" t="str">
        <f>VLOOKUP($B1143,'FRS geographical categories'!$A$2:$C$45,3,FALSE)</f>
        <v>Non-metropolitan</v>
      </c>
      <c r="G1143" s="98">
        <v>0</v>
      </c>
    </row>
    <row r="1144" spans="1:7" ht="15.5" x14ac:dyDescent="0.35">
      <c r="A1144" s="224" t="s">
        <v>81</v>
      </c>
      <c r="B1144" s="224" t="s">
        <v>24</v>
      </c>
      <c r="C1144" s="224" t="s">
        <v>106</v>
      </c>
      <c r="D1144" s="224" t="s">
        <v>257</v>
      </c>
      <c r="E1144" s="224" t="str">
        <f>VLOOKUP($B1144,'FRS geographical categories'!$A$2:$C$45,2,FALSE)</f>
        <v>Significantly Rural</v>
      </c>
      <c r="F1144" s="224" t="str">
        <f>VLOOKUP($B1144,'FRS geographical categories'!$A$2:$C$45,3,FALSE)</f>
        <v>Non-metropolitan</v>
      </c>
      <c r="G1144" s="98">
        <v>4974</v>
      </c>
    </row>
    <row r="1145" spans="1:7" ht="15.5" x14ac:dyDescent="0.35">
      <c r="A1145" s="224" t="s">
        <v>81</v>
      </c>
      <c r="B1145" s="224" t="s">
        <v>24</v>
      </c>
      <c r="C1145" s="224" t="s">
        <v>107</v>
      </c>
      <c r="D1145" s="224" t="s">
        <v>257</v>
      </c>
      <c r="E1145" s="224" t="str">
        <f>VLOOKUP($B1145,'FRS geographical categories'!$A$2:$C$45,2,FALSE)</f>
        <v>Significantly Rural</v>
      </c>
      <c r="F1145" s="224" t="str">
        <f>VLOOKUP($B1145,'FRS geographical categories'!$A$2:$C$45,3,FALSE)</f>
        <v>Non-metropolitan</v>
      </c>
      <c r="G1145" s="98">
        <v>479</v>
      </c>
    </row>
    <row r="1146" spans="1:7" ht="15.5" x14ac:dyDescent="0.35">
      <c r="A1146" s="224" t="s">
        <v>81</v>
      </c>
      <c r="B1146" s="224" t="s">
        <v>24</v>
      </c>
      <c r="C1146" s="224" t="s">
        <v>108</v>
      </c>
      <c r="D1146" s="224" t="s">
        <v>257</v>
      </c>
      <c r="E1146" s="224" t="str">
        <f>VLOOKUP($B1146,'FRS geographical categories'!$A$2:$C$45,2,FALSE)</f>
        <v>Significantly Rural</v>
      </c>
      <c r="F1146" s="224" t="str">
        <f>VLOOKUP($B1146,'FRS geographical categories'!$A$2:$C$45,3,FALSE)</f>
        <v>Non-metropolitan</v>
      </c>
      <c r="G1146" s="98">
        <v>5161</v>
      </c>
    </row>
    <row r="1147" spans="1:7" ht="15.5" x14ac:dyDescent="0.35">
      <c r="A1147" s="224" t="s">
        <v>81</v>
      </c>
      <c r="B1147" s="224" t="s">
        <v>24</v>
      </c>
      <c r="C1147" s="224" t="s">
        <v>109</v>
      </c>
      <c r="D1147" s="224" t="s">
        <v>257</v>
      </c>
      <c r="E1147" s="224" t="str">
        <f>VLOOKUP($B1147,'FRS geographical categories'!$A$2:$C$45,2,FALSE)</f>
        <v>Significantly Rural</v>
      </c>
      <c r="F1147" s="224" t="str">
        <f>VLOOKUP($B1147,'FRS geographical categories'!$A$2:$C$45,3,FALSE)</f>
        <v>Non-metropolitan</v>
      </c>
      <c r="G1147" s="98">
        <v>0</v>
      </c>
    </row>
    <row r="1148" spans="1:7" ht="15.5" x14ac:dyDescent="0.35">
      <c r="A1148" s="224" t="s">
        <v>81</v>
      </c>
      <c r="B1148" s="224" t="s">
        <v>25</v>
      </c>
      <c r="C1148" s="224" t="s">
        <v>102</v>
      </c>
      <c r="D1148" s="224" t="s">
        <v>257</v>
      </c>
      <c r="E1148" s="224" t="str">
        <f>VLOOKUP($B1148,'FRS geographical categories'!$A$2:$C$45,2,FALSE)</f>
        <v>Significantly Rural</v>
      </c>
      <c r="F1148" s="224" t="str">
        <f>VLOOKUP($B1148,'FRS geographical categories'!$A$2:$C$45,3,FALSE)</f>
        <v>Non-metropolitan</v>
      </c>
      <c r="G1148" s="98">
        <v>0</v>
      </c>
    </row>
    <row r="1149" spans="1:7" ht="15.5" x14ac:dyDescent="0.35">
      <c r="A1149" s="224" t="s">
        <v>81</v>
      </c>
      <c r="B1149" s="224" t="s">
        <v>25</v>
      </c>
      <c r="C1149" s="224" t="s">
        <v>105</v>
      </c>
      <c r="D1149" s="224" t="s">
        <v>257</v>
      </c>
      <c r="E1149" s="224" t="str">
        <f>VLOOKUP($B1149,'FRS geographical categories'!$A$2:$C$45,2,FALSE)</f>
        <v>Significantly Rural</v>
      </c>
      <c r="F1149" s="224" t="str">
        <f>VLOOKUP($B1149,'FRS geographical categories'!$A$2:$C$45,3,FALSE)</f>
        <v>Non-metropolitan</v>
      </c>
      <c r="G1149" s="98">
        <v>0</v>
      </c>
    </row>
    <row r="1150" spans="1:7" ht="15.5" x14ac:dyDescent="0.35">
      <c r="A1150" s="224" t="s">
        <v>81</v>
      </c>
      <c r="B1150" s="224" t="s">
        <v>25</v>
      </c>
      <c r="C1150" s="224" t="s">
        <v>106</v>
      </c>
      <c r="D1150" s="224" t="s">
        <v>257</v>
      </c>
      <c r="E1150" s="224" t="str">
        <f>VLOOKUP($B1150,'FRS geographical categories'!$A$2:$C$45,2,FALSE)</f>
        <v>Significantly Rural</v>
      </c>
      <c r="F1150" s="224" t="str">
        <f>VLOOKUP($B1150,'FRS geographical categories'!$A$2:$C$45,3,FALSE)</f>
        <v>Non-metropolitan</v>
      </c>
      <c r="G1150" s="98">
        <v>4459</v>
      </c>
    </row>
    <row r="1151" spans="1:7" ht="15.5" x14ac:dyDescent="0.35">
      <c r="A1151" s="224" t="s">
        <v>81</v>
      </c>
      <c r="B1151" s="224" t="s">
        <v>25</v>
      </c>
      <c r="C1151" s="224" t="s">
        <v>107</v>
      </c>
      <c r="D1151" s="224" t="s">
        <v>257</v>
      </c>
      <c r="E1151" s="224" t="str">
        <f>VLOOKUP($B1151,'FRS geographical categories'!$A$2:$C$45,2,FALSE)</f>
        <v>Significantly Rural</v>
      </c>
      <c r="F1151" s="224" t="str">
        <f>VLOOKUP($B1151,'FRS geographical categories'!$A$2:$C$45,3,FALSE)</f>
        <v>Non-metropolitan</v>
      </c>
      <c r="G1151" s="98">
        <v>0</v>
      </c>
    </row>
    <row r="1152" spans="1:7" ht="15.5" x14ac:dyDescent="0.35">
      <c r="A1152" s="224" t="s">
        <v>81</v>
      </c>
      <c r="B1152" s="224" t="s">
        <v>25</v>
      </c>
      <c r="C1152" s="224" t="s">
        <v>108</v>
      </c>
      <c r="D1152" s="224" t="s">
        <v>257</v>
      </c>
      <c r="E1152" s="224" t="str">
        <f>VLOOKUP($B1152,'FRS geographical categories'!$A$2:$C$45,2,FALSE)</f>
        <v>Significantly Rural</v>
      </c>
      <c r="F1152" s="224" t="str">
        <f>VLOOKUP($B1152,'FRS geographical categories'!$A$2:$C$45,3,FALSE)</f>
        <v>Non-metropolitan</v>
      </c>
      <c r="G1152" s="98">
        <v>788</v>
      </c>
    </row>
    <row r="1153" spans="1:7" ht="15.5" x14ac:dyDescent="0.35">
      <c r="A1153" s="224" t="s">
        <v>81</v>
      </c>
      <c r="B1153" s="224" t="s">
        <v>25</v>
      </c>
      <c r="C1153" s="224" t="s">
        <v>109</v>
      </c>
      <c r="D1153" s="224" t="s">
        <v>257</v>
      </c>
      <c r="E1153" s="224" t="str">
        <f>VLOOKUP($B1153,'FRS geographical categories'!$A$2:$C$45,2,FALSE)</f>
        <v>Significantly Rural</v>
      </c>
      <c r="F1153" s="224" t="str">
        <f>VLOOKUP($B1153,'FRS geographical categories'!$A$2:$C$45,3,FALSE)</f>
        <v>Non-metropolitan</v>
      </c>
      <c r="G1153" s="98">
        <v>0</v>
      </c>
    </row>
    <row r="1154" spans="1:7" ht="15.5" x14ac:dyDescent="0.35">
      <c r="A1154" s="224" t="s">
        <v>81</v>
      </c>
      <c r="B1154" s="224" t="s">
        <v>26</v>
      </c>
      <c r="C1154" s="224" t="s">
        <v>102</v>
      </c>
      <c r="D1154" s="224" t="s">
        <v>257</v>
      </c>
      <c r="E1154" s="224" t="str">
        <f>VLOOKUP($B1154,'FRS geographical categories'!$A$2:$C$45,2,FALSE)</f>
        <v>Predominantly Urban</v>
      </c>
      <c r="F1154" s="224" t="str">
        <f>VLOOKUP($B1154,'FRS geographical categories'!$A$2:$C$45,3,FALSE)</f>
        <v>Metropolitan</v>
      </c>
      <c r="G1154" s="98">
        <v>0</v>
      </c>
    </row>
    <row r="1155" spans="1:7" ht="15.5" x14ac:dyDescent="0.35">
      <c r="A1155" s="224" t="s">
        <v>81</v>
      </c>
      <c r="B1155" s="224" t="s">
        <v>26</v>
      </c>
      <c r="C1155" s="224" t="s">
        <v>105</v>
      </c>
      <c r="D1155" s="224" t="s">
        <v>257</v>
      </c>
      <c r="E1155" s="224" t="str">
        <f>VLOOKUP($B1155,'FRS geographical categories'!$A$2:$C$45,2,FALSE)</f>
        <v>Predominantly Urban</v>
      </c>
      <c r="F1155" s="224" t="str">
        <f>VLOOKUP($B1155,'FRS geographical categories'!$A$2:$C$45,3,FALSE)</f>
        <v>Metropolitan</v>
      </c>
      <c r="G1155" s="98">
        <v>0</v>
      </c>
    </row>
    <row r="1156" spans="1:7" ht="15.5" x14ac:dyDescent="0.35">
      <c r="A1156" s="224" t="s">
        <v>81</v>
      </c>
      <c r="B1156" s="224" t="s">
        <v>26</v>
      </c>
      <c r="C1156" s="224" t="s">
        <v>106</v>
      </c>
      <c r="D1156" s="224" t="s">
        <v>257</v>
      </c>
      <c r="E1156" s="224" t="str">
        <f>VLOOKUP($B1156,'FRS geographical categories'!$A$2:$C$45,2,FALSE)</f>
        <v>Predominantly Urban</v>
      </c>
      <c r="F1156" s="224" t="str">
        <f>VLOOKUP($B1156,'FRS geographical categories'!$A$2:$C$45,3,FALSE)</f>
        <v>Metropolitan</v>
      </c>
      <c r="G1156" s="98">
        <v>228003</v>
      </c>
    </row>
    <row r="1157" spans="1:7" ht="15.5" x14ac:dyDescent="0.35">
      <c r="A1157" s="224" t="s">
        <v>81</v>
      </c>
      <c r="B1157" s="224" t="s">
        <v>26</v>
      </c>
      <c r="C1157" s="224" t="s">
        <v>107</v>
      </c>
      <c r="D1157" s="224" t="s">
        <v>257</v>
      </c>
      <c r="E1157" s="224" t="str">
        <f>VLOOKUP($B1157,'FRS geographical categories'!$A$2:$C$45,2,FALSE)</f>
        <v>Predominantly Urban</v>
      </c>
      <c r="F1157" s="224" t="str">
        <f>VLOOKUP($B1157,'FRS geographical categories'!$A$2:$C$45,3,FALSE)</f>
        <v>Metropolitan</v>
      </c>
      <c r="G1157" s="98">
        <v>0</v>
      </c>
    </row>
    <row r="1158" spans="1:7" ht="15.5" x14ac:dyDescent="0.35">
      <c r="A1158" s="224" t="s">
        <v>81</v>
      </c>
      <c r="B1158" s="224" t="s">
        <v>26</v>
      </c>
      <c r="C1158" s="224" t="s">
        <v>108</v>
      </c>
      <c r="D1158" s="224" t="s">
        <v>257</v>
      </c>
      <c r="E1158" s="224" t="str">
        <f>VLOOKUP($B1158,'FRS geographical categories'!$A$2:$C$45,2,FALSE)</f>
        <v>Predominantly Urban</v>
      </c>
      <c r="F1158" s="224" t="str">
        <f>VLOOKUP($B1158,'FRS geographical categories'!$A$2:$C$45,3,FALSE)</f>
        <v>Metropolitan</v>
      </c>
      <c r="G1158" s="98">
        <v>2016</v>
      </c>
    </row>
    <row r="1159" spans="1:7" ht="15.5" x14ac:dyDescent="0.35">
      <c r="A1159" s="224" t="s">
        <v>81</v>
      </c>
      <c r="B1159" s="224" t="s">
        <v>26</v>
      </c>
      <c r="C1159" s="224" t="s">
        <v>109</v>
      </c>
      <c r="D1159" s="224" t="s">
        <v>257</v>
      </c>
      <c r="E1159" s="224" t="str">
        <f>VLOOKUP($B1159,'FRS geographical categories'!$A$2:$C$45,2,FALSE)</f>
        <v>Predominantly Urban</v>
      </c>
      <c r="F1159" s="224" t="str">
        <f>VLOOKUP($B1159,'FRS geographical categories'!$A$2:$C$45,3,FALSE)</f>
        <v>Metropolitan</v>
      </c>
      <c r="G1159" s="98">
        <v>0</v>
      </c>
    </row>
    <row r="1160" spans="1:7" ht="15.5" x14ac:dyDescent="0.35">
      <c r="A1160" s="224" t="s">
        <v>81</v>
      </c>
      <c r="B1160" s="224" t="s">
        <v>27</v>
      </c>
      <c r="C1160" s="224" t="s">
        <v>102</v>
      </c>
      <c r="D1160" s="224" t="s">
        <v>257</v>
      </c>
      <c r="E1160" s="224" t="str">
        <f>VLOOKUP($B1160,'FRS geographical categories'!$A$2:$C$45,2,FALSE)</f>
        <v>Predominantly Urban</v>
      </c>
      <c r="F1160" s="224" t="str">
        <f>VLOOKUP($B1160,'FRS geographical categories'!$A$2:$C$45,3,FALSE)</f>
        <v>Metropolitan</v>
      </c>
      <c r="G1160" s="98">
        <v>2176</v>
      </c>
    </row>
    <row r="1161" spans="1:7" ht="15.5" x14ac:dyDescent="0.35">
      <c r="A1161" s="224" t="s">
        <v>81</v>
      </c>
      <c r="B1161" s="224" t="s">
        <v>27</v>
      </c>
      <c r="C1161" s="224" t="s">
        <v>105</v>
      </c>
      <c r="D1161" s="224" t="s">
        <v>257</v>
      </c>
      <c r="E1161" s="224" t="str">
        <f>VLOOKUP($B1161,'FRS geographical categories'!$A$2:$C$45,2,FALSE)</f>
        <v>Predominantly Urban</v>
      </c>
      <c r="F1161" s="224" t="str">
        <f>VLOOKUP($B1161,'FRS geographical categories'!$A$2:$C$45,3,FALSE)</f>
        <v>Metropolitan</v>
      </c>
      <c r="G1161" s="98">
        <v>0</v>
      </c>
    </row>
    <row r="1162" spans="1:7" ht="15.5" x14ac:dyDescent="0.35">
      <c r="A1162" s="224" t="s">
        <v>81</v>
      </c>
      <c r="B1162" s="224" t="s">
        <v>27</v>
      </c>
      <c r="C1162" s="224" t="s">
        <v>106</v>
      </c>
      <c r="D1162" s="224" t="s">
        <v>257</v>
      </c>
      <c r="E1162" s="224" t="str">
        <f>VLOOKUP($B1162,'FRS geographical categories'!$A$2:$C$45,2,FALSE)</f>
        <v>Predominantly Urban</v>
      </c>
      <c r="F1162" s="224" t="str">
        <f>VLOOKUP($B1162,'FRS geographical categories'!$A$2:$C$45,3,FALSE)</f>
        <v>Metropolitan</v>
      </c>
      <c r="G1162" s="98">
        <v>43426</v>
      </c>
    </row>
    <row r="1163" spans="1:7" ht="15.5" x14ac:dyDescent="0.35">
      <c r="A1163" s="224" t="s">
        <v>81</v>
      </c>
      <c r="B1163" s="224" t="s">
        <v>27</v>
      </c>
      <c r="C1163" s="224" t="s">
        <v>107</v>
      </c>
      <c r="D1163" s="224" t="s">
        <v>257</v>
      </c>
      <c r="E1163" s="224" t="str">
        <f>VLOOKUP($B1163,'FRS geographical categories'!$A$2:$C$45,2,FALSE)</f>
        <v>Predominantly Urban</v>
      </c>
      <c r="F1163" s="224" t="str">
        <f>VLOOKUP($B1163,'FRS geographical categories'!$A$2:$C$45,3,FALSE)</f>
        <v>Metropolitan</v>
      </c>
      <c r="G1163" s="98">
        <v>0</v>
      </c>
    </row>
    <row r="1164" spans="1:7" ht="15.5" x14ac:dyDescent="0.35">
      <c r="A1164" s="224" t="s">
        <v>81</v>
      </c>
      <c r="B1164" s="224" t="s">
        <v>27</v>
      </c>
      <c r="C1164" s="224" t="s">
        <v>108</v>
      </c>
      <c r="D1164" s="224" t="s">
        <v>257</v>
      </c>
      <c r="E1164" s="224" t="str">
        <f>VLOOKUP($B1164,'FRS geographical categories'!$A$2:$C$45,2,FALSE)</f>
        <v>Predominantly Urban</v>
      </c>
      <c r="F1164" s="224" t="str">
        <f>VLOOKUP($B1164,'FRS geographical categories'!$A$2:$C$45,3,FALSE)</f>
        <v>Metropolitan</v>
      </c>
      <c r="G1164" s="98">
        <v>0</v>
      </c>
    </row>
    <row r="1165" spans="1:7" ht="15.5" x14ac:dyDescent="0.35">
      <c r="A1165" s="224" t="s">
        <v>81</v>
      </c>
      <c r="B1165" s="224" t="s">
        <v>27</v>
      </c>
      <c r="C1165" s="224" t="s">
        <v>109</v>
      </c>
      <c r="D1165" s="224" t="s">
        <v>257</v>
      </c>
      <c r="E1165" s="224" t="str">
        <f>VLOOKUP($B1165,'FRS geographical categories'!$A$2:$C$45,2,FALSE)</f>
        <v>Predominantly Urban</v>
      </c>
      <c r="F1165" s="224" t="str">
        <f>VLOOKUP($B1165,'FRS geographical categories'!$A$2:$C$45,3,FALSE)</f>
        <v>Metropolitan</v>
      </c>
      <c r="G1165" s="98">
        <v>0</v>
      </c>
    </row>
    <row r="1166" spans="1:7" ht="15.5" x14ac:dyDescent="0.35">
      <c r="A1166" s="224" t="s">
        <v>81</v>
      </c>
      <c r="B1166" s="224" t="s">
        <v>93</v>
      </c>
      <c r="C1166" s="224" t="s">
        <v>102</v>
      </c>
      <c r="D1166" s="224" t="s">
        <v>257</v>
      </c>
      <c r="E1166" s="224" t="str">
        <f>VLOOKUP($B1166,'FRS geographical categories'!$A$2:$C$45,2,FALSE)</f>
        <v>Significantly Rural</v>
      </c>
      <c r="F1166" s="224" t="str">
        <f>VLOOKUP($B1166,'FRS geographical categories'!$A$2:$C$45,3,FALSE)</f>
        <v>Non-metropolitan</v>
      </c>
      <c r="G1166" s="98">
        <v>959</v>
      </c>
    </row>
    <row r="1167" spans="1:7" ht="15.5" x14ac:dyDescent="0.35">
      <c r="A1167" s="224" t="s">
        <v>81</v>
      </c>
      <c r="B1167" s="224" t="s">
        <v>93</v>
      </c>
      <c r="C1167" s="224" t="s">
        <v>105</v>
      </c>
      <c r="D1167" s="224" t="s">
        <v>257</v>
      </c>
      <c r="E1167" s="224" t="str">
        <f>VLOOKUP($B1167,'FRS geographical categories'!$A$2:$C$45,2,FALSE)</f>
        <v>Significantly Rural</v>
      </c>
      <c r="F1167" s="224" t="str">
        <f>VLOOKUP($B1167,'FRS geographical categories'!$A$2:$C$45,3,FALSE)</f>
        <v>Non-metropolitan</v>
      </c>
      <c r="G1167" s="98">
        <v>0</v>
      </c>
    </row>
    <row r="1168" spans="1:7" ht="15.5" x14ac:dyDescent="0.35">
      <c r="A1168" s="224" t="s">
        <v>81</v>
      </c>
      <c r="B1168" s="224" t="s">
        <v>93</v>
      </c>
      <c r="C1168" s="224" t="s">
        <v>106</v>
      </c>
      <c r="D1168" s="224" t="s">
        <v>257</v>
      </c>
      <c r="E1168" s="224" t="str">
        <f>VLOOKUP($B1168,'FRS geographical categories'!$A$2:$C$45,2,FALSE)</f>
        <v>Significantly Rural</v>
      </c>
      <c r="F1168" s="224" t="str">
        <f>VLOOKUP($B1168,'FRS geographical categories'!$A$2:$C$45,3,FALSE)</f>
        <v>Non-metropolitan</v>
      </c>
      <c r="G1168" s="98">
        <v>23471</v>
      </c>
    </row>
    <row r="1169" spans="1:7" ht="15.5" x14ac:dyDescent="0.35">
      <c r="A1169" s="224" t="s">
        <v>81</v>
      </c>
      <c r="B1169" s="224" t="s">
        <v>93</v>
      </c>
      <c r="C1169" s="224" t="s">
        <v>107</v>
      </c>
      <c r="D1169" s="224" t="s">
        <v>257</v>
      </c>
      <c r="E1169" s="224" t="str">
        <f>VLOOKUP($B1169,'FRS geographical categories'!$A$2:$C$45,2,FALSE)</f>
        <v>Significantly Rural</v>
      </c>
      <c r="F1169" s="224" t="str">
        <f>VLOOKUP($B1169,'FRS geographical categories'!$A$2:$C$45,3,FALSE)</f>
        <v>Non-metropolitan</v>
      </c>
      <c r="G1169" s="98">
        <v>179</v>
      </c>
    </row>
    <row r="1170" spans="1:7" ht="15.5" x14ac:dyDescent="0.35">
      <c r="A1170" s="224" t="s">
        <v>81</v>
      </c>
      <c r="B1170" s="224" t="s">
        <v>93</v>
      </c>
      <c r="C1170" s="224" t="s">
        <v>108</v>
      </c>
      <c r="D1170" s="224" t="s">
        <v>257</v>
      </c>
      <c r="E1170" s="224" t="str">
        <f>VLOOKUP($B1170,'FRS geographical categories'!$A$2:$C$45,2,FALSE)</f>
        <v>Significantly Rural</v>
      </c>
      <c r="F1170" s="224" t="str">
        <f>VLOOKUP($B1170,'FRS geographical categories'!$A$2:$C$45,3,FALSE)</f>
        <v>Non-metropolitan</v>
      </c>
      <c r="G1170" s="98">
        <v>4492</v>
      </c>
    </row>
    <row r="1171" spans="1:7" ht="15.5" x14ac:dyDescent="0.35">
      <c r="A1171" s="224" t="s">
        <v>81</v>
      </c>
      <c r="B1171" s="224" t="s">
        <v>93</v>
      </c>
      <c r="C1171" s="224" t="s">
        <v>109</v>
      </c>
      <c r="D1171" s="224" t="s">
        <v>257</v>
      </c>
      <c r="E1171" s="224" t="str">
        <f>VLOOKUP($B1171,'FRS geographical categories'!$A$2:$C$45,2,FALSE)</f>
        <v>Significantly Rural</v>
      </c>
      <c r="F1171" s="224" t="str">
        <f>VLOOKUP($B1171,'FRS geographical categories'!$A$2:$C$45,3,FALSE)</f>
        <v>Non-metropolitan</v>
      </c>
      <c r="G1171" s="98">
        <v>0</v>
      </c>
    </row>
    <row r="1172" spans="1:7" ht="15.5" x14ac:dyDescent="0.35">
      <c r="A1172" s="224" t="s">
        <v>81</v>
      </c>
      <c r="B1172" s="224" t="s">
        <v>28</v>
      </c>
      <c r="C1172" s="224" t="s">
        <v>102</v>
      </c>
      <c r="D1172" s="224" t="s">
        <v>257</v>
      </c>
      <c r="E1172" s="224" t="str">
        <f>VLOOKUP($B1172,'FRS geographical categories'!$A$2:$C$45,2,FALSE)</f>
        <v>Significantly Rural</v>
      </c>
      <c r="F1172" s="224" t="str">
        <f>VLOOKUP($B1172,'FRS geographical categories'!$A$2:$C$45,3,FALSE)</f>
        <v>Non-metropolitan</v>
      </c>
      <c r="G1172" s="98">
        <v>0</v>
      </c>
    </row>
    <row r="1173" spans="1:7" ht="15.5" x14ac:dyDescent="0.35">
      <c r="A1173" s="224" t="s">
        <v>81</v>
      </c>
      <c r="B1173" s="224" t="s">
        <v>28</v>
      </c>
      <c r="C1173" s="224" t="s">
        <v>105</v>
      </c>
      <c r="D1173" s="224" t="s">
        <v>257</v>
      </c>
      <c r="E1173" s="224" t="str">
        <f>VLOOKUP($B1173,'FRS geographical categories'!$A$2:$C$45,2,FALSE)</f>
        <v>Significantly Rural</v>
      </c>
      <c r="F1173" s="224" t="str">
        <f>VLOOKUP($B1173,'FRS geographical categories'!$A$2:$C$45,3,FALSE)</f>
        <v>Non-metropolitan</v>
      </c>
      <c r="G1173" s="98">
        <v>0</v>
      </c>
    </row>
    <row r="1174" spans="1:7" ht="15.5" x14ac:dyDescent="0.35">
      <c r="A1174" s="224" t="s">
        <v>81</v>
      </c>
      <c r="B1174" s="224" t="s">
        <v>28</v>
      </c>
      <c r="C1174" s="224" t="s">
        <v>106</v>
      </c>
      <c r="D1174" s="224" t="s">
        <v>257</v>
      </c>
      <c r="E1174" s="224" t="str">
        <f>VLOOKUP($B1174,'FRS geographical categories'!$A$2:$C$45,2,FALSE)</f>
        <v>Significantly Rural</v>
      </c>
      <c r="F1174" s="224" t="str">
        <f>VLOOKUP($B1174,'FRS geographical categories'!$A$2:$C$45,3,FALSE)</f>
        <v>Non-metropolitan</v>
      </c>
      <c r="G1174" s="98">
        <v>8208</v>
      </c>
    </row>
    <row r="1175" spans="1:7" ht="15.5" x14ac:dyDescent="0.35">
      <c r="A1175" s="224" t="s">
        <v>81</v>
      </c>
      <c r="B1175" s="224" t="s">
        <v>28</v>
      </c>
      <c r="C1175" s="224" t="s">
        <v>107</v>
      </c>
      <c r="D1175" s="224" t="s">
        <v>257</v>
      </c>
      <c r="E1175" s="224" t="str">
        <f>VLOOKUP($B1175,'FRS geographical categories'!$A$2:$C$45,2,FALSE)</f>
        <v>Significantly Rural</v>
      </c>
      <c r="F1175" s="224" t="str">
        <f>VLOOKUP($B1175,'FRS geographical categories'!$A$2:$C$45,3,FALSE)</f>
        <v>Non-metropolitan</v>
      </c>
      <c r="G1175" s="98">
        <v>0</v>
      </c>
    </row>
    <row r="1176" spans="1:7" ht="15.5" x14ac:dyDescent="0.35">
      <c r="A1176" s="224" t="s">
        <v>81</v>
      </c>
      <c r="B1176" s="224" t="s">
        <v>28</v>
      </c>
      <c r="C1176" s="224" t="s">
        <v>108</v>
      </c>
      <c r="D1176" s="224" t="s">
        <v>257</v>
      </c>
      <c r="E1176" s="224" t="str">
        <f>VLOOKUP($B1176,'FRS geographical categories'!$A$2:$C$45,2,FALSE)</f>
        <v>Significantly Rural</v>
      </c>
      <c r="F1176" s="224" t="str">
        <f>VLOOKUP($B1176,'FRS geographical categories'!$A$2:$C$45,3,FALSE)</f>
        <v>Non-metropolitan</v>
      </c>
      <c r="G1176" s="98">
        <v>2128</v>
      </c>
    </row>
    <row r="1177" spans="1:7" ht="15.5" x14ac:dyDescent="0.35">
      <c r="A1177" s="224" t="s">
        <v>81</v>
      </c>
      <c r="B1177" s="224" t="s">
        <v>28</v>
      </c>
      <c r="C1177" s="224" t="s">
        <v>109</v>
      </c>
      <c r="D1177" s="224" t="s">
        <v>257</v>
      </c>
      <c r="E1177" s="224" t="str">
        <f>VLOOKUP($B1177,'FRS geographical categories'!$A$2:$C$45,2,FALSE)</f>
        <v>Significantly Rural</v>
      </c>
      <c r="F1177" s="224" t="str">
        <f>VLOOKUP($B1177,'FRS geographical categories'!$A$2:$C$45,3,FALSE)</f>
        <v>Non-metropolitan</v>
      </c>
      <c r="G1177" s="98">
        <v>0</v>
      </c>
    </row>
    <row r="1178" spans="1:7" ht="15.5" x14ac:dyDescent="0.35">
      <c r="A1178" s="224" t="s">
        <v>81</v>
      </c>
      <c r="B1178" s="224" t="s">
        <v>29</v>
      </c>
      <c r="C1178" s="224" t="s">
        <v>102</v>
      </c>
      <c r="D1178" s="224" t="s">
        <v>257</v>
      </c>
      <c r="E1178" s="224" t="str">
        <f>VLOOKUP($B1178,'FRS geographical categories'!$A$2:$C$45,2,FALSE)</f>
        <v>Predominantly Urban</v>
      </c>
      <c r="F1178" s="224" t="str">
        <f>VLOOKUP($B1178,'FRS geographical categories'!$A$2:$C$45,3,FALSE)</f>
        <v>Non-metropolitan</v>
      </c>
      <c r="G1178" s="98">
        <v>0</v>
      </c>
    </row>
    <row r="1179" spans="1:7" ht="15.5" x14ac:dyDescent="0.35">
      <c r="A1179" s="224" t="s">
        <v>81</v>
      </c>
      <c r="B1179" s="224" t="s">
        <v>29</v>
      </c>
      <c r="C1179" s="224" t="s">
        <v>105</v>
      </c>
      <c r="D1179" s="224" t="s">
        <v>257</v>
      </c>
      <c r="E1179" s="224" t="str">
        <f>VLOOKUP($B1179,'FRS geographical categories'!$A$2:$C$45,2,FALSE)</f>
        <v>Predominantly Urban</v>
      </c>
      <c r="F1179" s="224" t="str">
        <f>VLOOKUP($B1179,'FRS geographical categories'!$A$2:$C$45,3,FALSE)</f>
        <v>Non-metropolitan</v>
      </c>
      <c r="G1179" s="98">
        <v>0</v>
      </c>
    </row>
    <row r="1180" spans="1:7" ht="15.5" x14ac:dyDescent="0.35">
      <c r="A1180" s="224" t="s">
        <v>81</v>
      </c>
      <c r="B1180" s="224" t="s">
        <v>29</v>
      </c>
      <c r="C1180" s="224" t="s">
        <v>106</v>
      </c>
      <c r="D1180" s="224" t="s">
        <v>257</v>
      </c>
      <c r="E1180" s="224" t="str">
        <f>VLOOKUP($B1180,'FRS geographical categories'!$A$2:$C$45,2,FALSE)</f>
        <v>Predominantly Urban</v>
      </c>
      <c r="F1180" s="224" t="str">
        <f>VLOOKUP($B1180,'FRS geographical categories'!$A$2:$C$45,3,FALSE)</f>
        <v>Non-metropolitan</v>
      </c>
      <c r="G1180" s="98">
        <v>7661</v>
      </c>
    </row>
    <row r="1181" spans="1:7" ht="15.5" x14ac:dyDescent="0.35">
      <c r="A1181" s="224" t="s">
        <v>81</v>
      </c>
      <c r="B1181" s="224" t="s">
        <v>29</v>
      </c>
      <c r="C1181" s="224" t="s">
        <v>107</v>
      </c>
      <c r="D1181" s="224" t="s">
        <v>257</v>
      </c>
      <c r="E1181" s="224" t="str">
        <f>VLOOKUP($B1181,'FRS geographical categories'!$A$2:$C$45,2,FALSE)</f>
        <v>Predominantly Urban</v>
      </c>
      <c r="F1181" s="224" t="str">
        <f>VLOOKUP($B1181,'FRS geographical categories'!$A$2:$C$45,3,FALSE)</f>
        <v>Non-metropolitan</v>
      </c>
      <c r="G1181" s="98">
        <v>0</v>
      </c>
    </row>
    <row r="1182" spans="1:7" ht="15.5" x14ac:dyDescent="0.35">
      <c r="A1182" s="224" t="s">
        <v>81</v>
      </c>
      <c r="B1182" s="224" t="s">
        <v>29</v>
      </c>
      <c r="C1182" s="224" t="s">
        <v>108</v>
      </c>
      <c r="D1182" s="224" t="s">
        <v>257</v>
      </c>
      <c r="E1182" s="224" t="str">
        <f>VLOOKUP($B1182,'FRS geographical categories'!$A$2:$C$45,2,FALSE)</f>
        <v>Predominantly Urban</v>
      </c>
      <c r="F1182" s="224" t="str">
        <f>VLOOKUP($B1182,'FRS geographical categories'!$A$2:$C$45,3,FALSE)</f>
        <v>Non-metropolitan</v>
      </c>
      <c r="G1182" s="98">
        <v>3361</v>
      </c>
    </row>
    <row r="1183" spans="1:7" ht="15.5" x14ac:dyDescent="0.35">
      <c r="A1183" s="224" t="s">
        <v>81</v>
      </c>
      <c r="B1183" s="224" t="s">
        <v>29</v>
      </c>
      <c r="C1183" s="224" t="s">
        <v>109</v>
      </c>
      <c r="D1183" s="224" t="s">
        <v>257</v>
      </c>
      <c r="E1183" s="224" t="str">
        <f>VLOOKUP($B1183,'FRS geographical categories'!$A$2:$C$45,2,FALSE)</f>
        <v>Predominantly Urban</v>
      </c>
      <c r="F1183" s="224" t="str">
        <f>VLOOKUP($B1183,'FRS geographical categories'!$A$2:$C$45,3,FALSE)</f>
        <v>Non-metropolitan</v>
      </c>
      <c r="G1183" s="98">
        <v>0</v>
      </c>
    </row>
    <row r="1184" spans="1:7" ht="15.5" x14ac:dyDescent="0.35">
      <c r="A1184" s="224" t="s">
        <v>81</v>
      </c>
      <c r="B1184" s="224" t="s">
        <v>30</v>
      </c>
      <c r="C1184" s="224" t="s">
        <v>102</v>
      </c>
      <c r="D1184" s="224" t="s">
        <v>257</v>
      </c>
      <c r="E1184" s="224" t="str">
        <f>VLOOKUP($B1184,'FRS geographical categories'!$A$2:$C$45,2,FALSE)</f>
        <v>Significantly Rural</v>
      </c>
      <c r="F1184" s="224" t="str">
        <f>VLOOKUP($B1184,'FRS geographical categories'!$A$2:$C$45,3,FALSE)</f>
        <v>Non-metropolitan</v>
      </c>
      <c r="G1184" s="98">
        <v>920</v>
      </c>
    </row>
    <row r="1185" spans="1:7" ht="15.5" x14ac:dyDescent="0.35">
      <c r="A1185" s="224" t="s">
        <v>81</v>
      </c>
      <c r="B1185" s="224" t="s">
        <v>30</v>
      </c>
      <c r="C1185" s="224" t="s">
        <v>105</v>
      </c>
      <c r="D1185" s="224" t="s">
        <v>257</v>
      </c>
      <c r="E1185" s="224" t="str">
        <f>VLOOKUP($B1185,'FRS geographical categories'!$A$2:$C$45,2,FALSE)</f>
        <v>Significantly Rural</v>
      </c>
      <c r="F1185" s="224" t="str">
        <f>VLOOKUP($B1185,'FRS geographical categories'!$A$2:$C$45,3,FALSE)</f>
        <v>Non-metropolitan</v>
      </c>
      <c r="G1185" s="98">
        <v>0</v>
      </c>
    </row>
    <row r="1186" spans="1:7" ht="15.5" x14ac:dyDescent="0.35">
      <c r="A1186" s="224" t="s">
        <v>81</v>
      </c>
      <c r="B1186" s="224" t="s">
        <v>30</v>
      </c>
      <c r="C1186" s="224" t="s">
        <v>106</v>
      </c>
      <c r="D1186" s="224" t="s">
        <v>257</v>
      </c>
      <c r="E1186" s="224" t="str">
        <f>VLOOKUP($B1186,'FRS geographical categories'!$A$2:$C$45,2,FALSE)</f>
        <v>Significantly Rural</v>
      </c>
      <c r="F1186" s="224" t="str">
        <f>VLOOKUP($B1186,'FRS geographical categories'!$A$2:$C$45,3,FALSE)</f>
        <v>Non-metropolitan</v>
      </c>
      <c r="G1186" s="98">
        <v>18068</v>
      </c>
    </row>
    <row r="1187" spans="1:7" ht="15.5" x14ac:dyDescent="0.35">
      <c r="A1187" s="224" t="s">
        <v>81</v>
      </c>
      <c r="B1187" s="224" t="s">
        <v>30</v>
      </c>
      <c r="C1187" s="224" t="s">
        <v>107</v>
      </c>
      <c r="D1187" s="224" t="s">
        <v>257</v>
      </c>
      <c r="E1187" s="224" t="str">
        <f>VLOOKUP($B1187,'FRS geographical categories'!$A$2:$C$45,2,FALSE)</f>
        <v>Significantly Rural</v>
      </c>
      <c r="F1187" s="224" t="str">
        <f>VLOOKUP($B1187,'FRS geographical categories'!$A$2:$C$45,3,FALSE)</f>
        <v>Non-metropolitan</v>
      </c>
      <c r="G1187" s="98">
        <v>0</v>
      </c>
    </row>
    <row r="1188" spans="1:7" ht="15.5" x14ac:dyDescent="0.35">
      <c r="A1188" s="224" t="s">
        <v>81</v>
      </c>
      <c r="B1188" s="224" t="s">
        <v>30</v>
      </c>
      <c r="C1188" s="224" t="s">
        <v>108</v>
      </c>
      <c r="D1188" s="224" t="s">
        <v>257</v>
      </c>
      <c r="E1188" s="224" t="str">
        <f>VLOOKUP($B1188,'FRS geographical categories'!$A$2:$C$45,2,FALSE)</f>
        <v>Significantly Rural</v>
      </c>
      <c r="F1188" s="224" t="str">
        <f>VLOOKUP($B1188,'FRS geographical categories'!$A$2:$C$45,3,FALSE)</f>
        <v>Non-metropolitan</v>
      </c>
      <c r="G1188" s="98">
        <v>0</v>
      </c>
    </row>
    <row r="1189" spans="1:7" ht="15.5" x14ac:dyDescent="0.35">
      <c r="A1189" s="224" t="s">
        <v>81</v>
      </c>
      <c r="B1189" s="224" t="s">
        <v>30</v>
      </c>
      <c r="C1189" s="224" t="s">
        <v>109</v>
      </c>
      <c r="D1189" s="224" t="s">
        <v>257</v>
      </c>
      <c r="E1189" s="224" t="str">
        <f>VLOOKUP($B1189,'FRS geographical categories'!$A$2:$C$45,2,FALSE)</f>
        <v>Significantly Rural</v>
      </c>
      <c r="F1189" s="224" t="str">
        <f>VLOOKUP($B1189,'FRS geographical categories'!$A$2:$C$45,3,FALSE)</f>
        <v>Non-metropolitan</v>
      </c>
      <c r="G1189" s="98">
        <v>0</v>
      </c>
    </row>
    <row r="1190" spans="1:7" ht="15.5" x14ac:dyDescent="0.35">
      <c r="A1190" s="224" t="s">
        <v>81</v>
      </c>
      <c r="B1190" s="224" t="s">
        <v>31</v>
      </c>
      <c r="C1190" s="224" t="s">
        <v>102</v>
      </c>
      <c r="D1190" s="224" t="s">
        <v>257</v>
      </c>
      <c r="E1190" s="224" t="str">
        <f>VLOOKUP($B1190,'FRS geographical categories'!$A$2:$C$45,2,FALSE)</f>
        <v>Predominantly Rural</v>
      </c>
      <c r="F1190" s="224" t="str">
        <f>VLOOKUP($B1190,'FRS geographical categories'!$A$2:$C$45,3,FALSE)</f>
        <v>Non-metropolitan</v>
      </c>
      <c r="G1190" s="98">
        <v>0</v>
      </c>
    </row>
    <row r="1191" spans="1:7" ht="15.5" x14ac:dyDescent="0.35">
      <c r="A1191" s="224" t="s">
        <v>81</v>
      </c>
      <c r="B1191" s="224" t="s">
        <v>31</v>
      </c>
      <c r="C1191" s="224" t="s">
        <v>105</v>
      </c>
      <c r="D1191" s="224" t="s">
        <v>257</v>
      </c>
      <c r="E1191" s="224" t="str">
        <f>VLOOKUP($B1191,'FRS geographical categories'!$A$2:$C$45,2,FALSE)</f>
        <v>Predominantly Rural</v>
      </c>
      <c r="F1191" s="224" t="str">
        <f>VLOOKUP($B1191,'FRS geographical categories'!$A$2:$C$45,3,FALSE)</f>
        <v>Non-metropolitan</v>
      </c>
      <c r="G1191" s="98">
        <v>0</v>
      </c>
    </row>
    <row r="1192" spans="1:7" ht="15.5" x14ac:dyDescent="0.35">
      <c r="A1192" s="224" t="s">
        <v>81</v>
      </c>
      <c r="B1192" s="224" t="s">
        <v>31</v>
      </c>
      <c r="C1192" s="224" t="s">
        <v>106</v>
      </c>
      <c r="D1192" s="224" t="s">
        <v>257</v>
      </c>
      <c r="E1192" s="224" t="str">
        <f>VLOOKUP($B1192,'FRS geographical categories'!$A$2:$C$45,2,FALSE)</f>
        <v>Predominantly Rural</v>
      </c>
      <c r="F1192" s="224" t="str">
        <f>VLOOKUP($B1192,'FRS geographical categories'!$A$2:$C$45,3,FALSE)</f>
        <v>Non-metropolitan</v>
      </c>
      <c r="G1192" s="98">
        <v>46</v>
      </c>
    </row>
    <row r="1193" spans="1:7" ht="15.5" x14ac:dyDescent="0.35">
      <c r="A1193" s="224" t="s">
        <v>81</v>
      </c>
      <c r="B1193" s="224" t="s">
        <v>31</v>
      </c>
      <c r="C1193" s="224" t="s">
        <v>107</v>
      </c>
      <c r="D1193" s="224" t="s">
        <v>257</v>
      </c>
      <c r="E1193" s="224" t="str">
        <f>VLOOKUP($B1193,'FRS geographical categories'!$A$2:$C$45,2,FALSE)</f>
        <v>Predominantly Rural</v>
      </c>
      <c r="F1193" s="224" t="str">
        <f>VLOOKUP($B1193,'FRS geographical categories'!$A$2:$C$45,3,FALSE)</f>
        <v>Non-metropolitan</v>
      </c>
      <c r="G1193" s="98">
        <v>0</v>
      </c>
    </row>
    <row r="1194" spans="1:7" ht="15.5" x14ac:dyDescent="0.35">
      <c r="A1194" s="224" t="s">
        <v>81</v>
      </c>
      <c r="B1194" s="224" t="s">
        <v>31</v>
      </c>
      <c r="C1194" s="224" t="s">
        <v>108</v>
      </c>
      <c r="D1194" s="224" t="s">
        <v>257</v>
      </c>
      <c r="E1194" s="224" t="str">
        <f>VLOOKUP($B1194,'FRS geographical categories'!$A$2:$C$45,2,FALSE)</f>
        <v>Predominantly Rural</v>
      </c>
      <c r="F1194" s="224" t="str">
        <f>VLOOKUP($B1194,'FRS geographical categories'!$A$2:$C$45,3,FALSE)</f>
        <v>Non-metropolitan</v>
      </c>
      <c r="G1194" s="98">
        <v>1</v>
      </c>
    </row>
    <row r="1195" spans="1:7" ht="15.5" x14ac:dyDescent="0.35">
      <c r="A1195" s="224" t="s">
        <v>81</v>
      </c>
      <c r="B1195" s="224" t="s">
        <v>31</v>
      </c>
      <c r="C1195" s="224" t="s">
        <v>109</v>
      </c>
      <c r="D1195" s="224" t="s">
        <v>257</v>
      </c>
      <c r="E1195" s="224" t="str">
        <f>VLOOKUP($B1195,'FRS geographical categories'!$A$2:$C$45,2,FALSE)</f>
        <v>Predominantly Rural</v>
      </c>
      <c r="F1195" s="224" t="str">
        <f>VLOOKUP($B1195,'FRS geographical categories'!$A$2:$C$45,3,FALSE)</f>
        <v>Non-metropolitan</v>
      </c>
      <c r="G1195" s="98">
        <v>0</v>
      </c>
    </row>
    <row r="1196" spans="1:7" ht="15.5" x14ac:dyDescent="0.35">
      <c r="A1196" s="224" t="s">
        <v>81</v>
      </c>
      <c r="B1196" s="224" t="s">
        <v>32</v>
      </c>
      <c r="C1196" s="224" t="s">
        <v>102</v>
      </c>
      <c r="D1196" s="224" t="s">
        <v>257</v>
      </c>
      <c r="E1196" s="224" t="str">
        <f>VLOOKUP($B1196,'FRS geographical categories'!$A$2:$C$45,2,FALSE)</f>
        <v>Significantly Rural</v>
      </c>
      <c r="F1196" s="224" t="str">
        <f>VLOOKUP($B1196,'FRS geographical categories'!$A$2:$C$45,3,FALSE)</f>
        <v>Non-metropolitan</v>
      </c>
      <c r="G1196" s="98">
        <v>16483</v>
      </c>
    </row>
    <row r="1197" spans="1:7" ht="15.5" x14ac:dyDescent="0.35">
      <c r="A1197" s="224" t="s">
        <v>81</v>
      </c>
      <c r="B1197" s="224" t="s">
        <v>32</v>
      </c>
      <c r="C1197" s="224" t="s">
        <v>105</v>
      </c>
      <c r="D1197" s="224" t="s">
        <v>257</v>
      </c>
      <c r="E1197" s="224" t="str">
        <f>VLOOKUP($B1197,'FRS geographical categories'!$A$2:$C$45,2,FALSE)</f>
        <v>Significantly Rural</v>
      </c>
      <c r="F1197" s="224" t="str">
        <f>VLOOKUP($B1197,'FRS geographical categories'!$A$2:$C$45,3,FALSE)</f>
        <v>Non-metropolitan</v>
      </c>
      <c r="G1197" s="98">
        <v>0</v>
      </c>
    </row>
    <row r="1198" spans="1:7" ht="15.5" x14ac:dyDescent="0.35">
      <c r="A1198" s="224" t="s">
        <v>81</v>
      </c>
      <c r="B1198" s="224" t="s">
        <v>32</v>
      </c>
      <c r="C1198" s="224" t="s">
        <v>106</v>
      </c>
      <c r="D1198" s="224" t="s">
        <v>257</v>
      </c>
      <c r="E1198" s="224" t="str">
        <f>VLOOKUP($B1198,'FRS geographical categories'!$A$2:$C$45,2,FALSE)</f>
        <v>Significantly Rural</v>
      </c>
      <c r="F1198" s="224" t="str">
        <f>VLOOKUP($B1198,'FRS geographical categories'!$A$2:$C$45,3,FALSE)</f>
        <v>Non-metropolitan</v>
      </c>
      <c r="G1198" s="98">
        <v>10110</v>
      </c>
    </row>
    <row r="1199" spans="1:7" ht="15.5" x14ac:dyDescent="0.35">
      <c r="A1199" s="224" t="s">
        <v>81</v>
      </c>
      <c r="B1199" s="224" t="s">
        <v>32</v>
      </c>
      <c r="C1199" s="224" t="s">
        <v>107</v>
      </c>
      <c r="D1199" s="224" t="s">
        <v>257</v>
      </c>
      <c r="E1199" s="224" t="str">
        <f>VLOOKUP($B1199,'FRS geographical categories'!$A$2:$C$45,2,FALSE)</f>
        <v>Significantly Rural</v>
      </c>
      <c r="F1199" s="224" t="str">
        <f>VLOOKUP($B1199,'FRS geographical categories'!$A$2:$C$45,3,FALSE)</f>
        <v>Non-metropolitan</v>
      </c>
      <c r="G1199" s="98">
        <v>0</v>
      </c>
    </row>
    <row r="1200" spans="1:7" ht="15.5" x14ac:dyDescent="0.35">
      <c r="A1200" s="224" t="s">
        <v>81</v>
      </c>
      <c r="B1200" s="224" t="s">
        <v>32</v>
      </c>
      <c r="C1200" s="224" t="s">
        <v>108</v>
      </c>
      <c r="D1200" s="224" t="s">
        <v>257</v>
      </c>
      <c r="E1200" s="224" t="str">
        <f>VLOOKUP($B1200,'FRS geographical categories'!$A$2:$C$45,2,FALSE)</f>
        <v>Significantly Rural</v>
      </c>
      <c r="F1200" s="224" t="str">
        <f>VLOOKUP($B1200,'FRS geographical categories'!$A$2:$C$45,3,FALSE)</f>
        <v>Non-metropolitan</v>
      </c>
      <c r="G1200" s="98">
        <v>0</v>
      </c>
    </row>
    <row r="1201" spans="1:7" ht="15.5" x14ac:dyDescent="0.35">
      <c r="A1201" s="224" t="s">
        <v>81</v>
      </c>
      <c r="B1201" s="224" t="s">
        <v>32</v>
      </c>
      <c r="C1201" s="224" t="s">
        <v>109</v>
      </c>
      <c r="D1201" s="224" t="s">
        <v>257</v>
      </c>
      <c r="E1201" s="224" t="str">
        <f>VLOOKUP($B1201,'FRS geographical categories'!$A$2:$C$45,2,FALSE)</f>
        <v>Significantly Rural</v>
      </c>
      <c r="F1201" s="224" t="str">
        <f>VLOOKUP($B1201,'FRS geographical categories'!$A$2:$C$45,3,FALSE)</f>
        <v>Non-metropolitan</v>
      </c>
      <c r="G1201" s="98">
        <v>0</v>
      </c>
    </row>
    <row r="1202" spans="1:7" ht="15.5" x14ac:dyDescent="0.35">
      <c r="A1202" s="224" t="s">
        <v>81</v>
      </c>
      <c r="B1202" s="224" t="s">
        <v>33</v>
      </c>
      <c r="C1202" s="224" t="s">
        <v>102</v>
      </c>
      <c r="D1202" s="224" t="s">
        <v>257</v>
      </c>
      <c r="E1202" s="224" t="str">
        <f>VLOOKUP($B1202,'FRS geographical categories'!$A$2:$C$45,2,FALSE)</f>
        <v>Predominantly Urban</v>
      </c>
      <c r="F1202" s="224" t="str">
        <f>VLOOKUP($B1202,'FRS geographical categories'!$A$2:$C$45,3,FALSE)</f>
        <v>Non-metropolitan</v>
      </c>
      <c r="G1202" s="98">
        <v>10775</v>
      </c>
    </row>
    <row r="1203" spans="1:7" ht="15.5" x14ac:dyDescent="0.35">
      <c r="A1203" s="224" t="s">
        <v>81</v>
      </c>
      <c r="B1203" s="224" t="s">
        <v>33</v>
      </c>
      <c r="C1203" s="224" t="s">
        <v>105</v>
      </c>
      <c r="D1203" s="224" t="s">
        <v>257</v>
      </c>
      <c r="E1203" s="224" t="str">
        <f>VLOOKUP($B1203,'FRS geographical categories'!$A$2:$C$45,2,FALSE)</f>
        <v>Predominantly Urban</v>
      </c>
      <c r="F1203" s="224" t="str">
        <f>VLOOKUP($B1203,'FRS geographical categories'!$A$2:$C$45,3,FALSE)</f>
        <v>Non-metropolitan</v>
      </c>
      <c r="G1203" s="98">
        <v>0</v>
      </c>
    </row>
    <row r="1204" spans="1:7" ht="15.5" x14ac:dyDescent="0.35">
      <c r="A1204" s="224" t="s">
        <v>81</v>
      </c>
      <c r="B1204" s="224" t="s">
        <v>33</v>
      </c>
      <c r="C1204" s="224" t="s">
        <v>106</v>
      </c>
      <c r="D1204" s="224" t="s">
        <v>257</v>
      </c>
      <c r="E1204" s="224" t="str">
        <f>VLOOKUP($B1204,'FRS geographical categories'!$A$2:$C$45,2,FALSE)</f>
        <v>Predominantly Urban</v>
      </c>
      <c r="F1204" s="224" t="str">
        <f>VLOOKUP($B1204,'FRS geographical categories'!$A$2:$C$45,3,FALSE)</f>
        <v>Non-metropolitan</v>
      </c>
      <c r="G1204" s="98">
        <v>33854</v>
      </c>
    </row>
    <row r="1205" spans="1:7" ht="15.5" x14ac:dyDescent="0.35">
      <c r="A1205" s="224" t="s">
        <v>81</v>
      </c>
      <c r="B1205" s="224" t="s">
        <v>33</v>
      </c>
      <c r="C1205" s="224" t="s">
        <v>107</v>
      </c>
      <c r="D1205" s="224" t="s">
        <v>257</v>
      </c>
      <c r="E1205" s="224" t="str">
        <f>VLOOKUP($B1205,'FRS geographical categories'!$A$2:$C$45,2,FALSE)</f>
        <v>Predominantly Urban</v>
      </c>
      <c r="F1205" s="224" t="str">
        <f>VLOOKUP($B1205,'FRS geographical categories'!$A$2:$C$45,3,FALSE)</f>
        <v>Non-metropolitan</v>
      </c>
      <c r="G1205" s="98">
        <v>0</v>
      </c>
    </row>
    <row r="1206" spans="1:7" ht="15.5" x14ac:dyDescent="0.35">
      <c r="A1206" s="224" t="s">
        <v>81</v>
      </c>
      <c r="B1206" s="224" t="s">
        <v>33</v>
      </c>
      <c r="C1206" s="224" t="s">
        <v>108</v>
      </c>
      <c r="D1206" s="224" t="s">
        <v>257</v>
      </c>
      <c r="E1206" s="224" t="str">
        <f>VLOOKUP($B1206,'FRS geographical categories'!$A$2:$C$45,2,FALSE)</f>
        <v>Predominantly Urban</v>
      </c>
      <c r="F1206" s="224" t="str">
        <f>VLOOKUP($B1206,'FRS geographical categories'!$A$2:$C$45,3,FALSE)</f>
        <v>Non-metropolitan</v>
      </c>
      <c r="G1206" s="98">
        <v>0</v>
      </c>
    </row>
    <row r="1207" spans="1:7" ht="15.5" x14ac:dyDescent="0.35">
      <c r="A1207" s="224" t="s">
        <v>81</v>
      </c>
      <c r="B1207" s="224" t="s">
        <v>33</v>
      </c>
      <c r="C1207" s="224" t="s">
        <v>109</v>
      </c>
      <c r="D1207" s="224" t="s">
        <v>257</v>
      </c>
      <c r="E1207" s="224" t="str">
        <f>VLOOKUP($B1207,'FRS geographical categories'!$A$2:$C$45,2,FALSE)</f>
        <v>Predominantly Urban</v>
      </c>
      <c r="F1207" s="224" t="str">
        <f>VLOOKUP($B1207,'FRS geographical categories'!$A$2:$C$45,3,FALSE)</f>
        <v>Non-metropolitan</v>
      </c>
      <c r="G1207" s="98">
        <v>0</v>
      </c>
    </row>
    <row r="1208" spans="1:7" ht="15.5" x14ac:dyDescent="0.35">
      <c r="A1208" s="224" t="s">
        <v>81</v>
      </c>
      <c r="B1208" s="224" t="s">
        <v>34</v>
      </c>
      <c r="C1208" s="224" t="s">
        <v>102</v>
      </c>
      <c r="D1208" s="224" t="s">
        <v>257</v>
      </c>
      <c r="E1208" s="224" t="str">
        <f>VLOOKUP($B1208,'FRS geographical categories'!$A$2:$C$45,2,FALSE)</f>
        <v>Significantly Rural</v>
      </c>
      <c r="F1208" s="224" t="str">
        <f>VLOOKUP($B1208,'FRS geographical categories'!$A$2:$C$45,3,FALSE)</f>
        <v>Non-metropolitan</v>
      </c>
      <c r="G1208" s="98">
        <v>3538</v>
      </c>
    </row>
    <row r="1209" spans="1:7" ht="15.5" x14ac:dyDescent="0.35">
      <c r="A1209" s="224" t="s">
        <v>81</v>
      </c>
      <c r="B1209" s="224" t="s">
        <v>34</v>
      </c>
      <c r="C1209" s="224" t="s">
        <v>105</v>
      </c>
      <c r="D1209" s="224" t="s">
        <v>257</v>
      </c>
      <c r="E1209" s="224" t="str">
        <f>VLOOKUP($B1209,'FRS geographical categories'!$A$2:$C$45,2,FALSE)</f>
        <v>Significantly Rural</v>
      </c>
      <c r="F1209" s="224" t="str">
        <f>VLOOKUP($B1209,'FRS geographical categories'!$A$2:$C$45,3,FALSE)</f>
        <v>Non-metropolitan</v>
      </c>
      <c r="G1209" s="98">
        <v>0</v>
      </c>
    </row>
    <row r="1210" spans="1:7" ht="15.5" x14ac:dyDescent="0.35">
      <c r="A1210" s="224" t="s">
        <v>81</v>
      </c>
      <c r="B1210" s="224" t="s">
        <v>34</v>
      </c>
      <c r="C1210" s="224" t="s">
        <v>106</v>
      </c>
      <c r="D1210" s="224" t="s">
        <v>257</v>
      </c>
      <c r="E1210" s="224" t="str">
        <f>VLOOKUP($B1210,'FRS geographical categories'!$A$2:$C$45,2,FALSE)</f>
        <v>Significantly Rural</v>
      </c>
      <c r="F1210" s="224" t="str">
        <f>VLOOKUP($B1210,'FRS geographical categories'!$A$2:$C$45,3,FALSE)</f>
        <v>Non-metropolitan</v>
      </c>
      <c r="G1210" s="98">
        <v>16776</v>
      </c>
    </row>
    <row r="1211" spans="1:7" ht="15.5" x14ac:dyDescent="0.35">
      <c r="A1211" s="224" t="s">
        <v>81</v>
      </c>
      <c r="B1211" s="224" t="s">
        <v>34</v>
      </c>
      <c r="C1211" s="224" t="s">
        <v>107</v>
      </c>
      <c r="D1211" s="224" t="s">
        <v>257</v>
      </c>
      <c r="E1211" s="224" t="str">
        <f>VLOOKUP($B1211,'FRS geographical categories'!$A$2:$C$45,2,FALSE)</f>
        <v>Significantly Rural</v>
      </c>
      <c r="F1211" s="224" t="str">
        <f>VLOOKUP($B1211,'FRS geographical categories'!$A$2:$C$45,3,FALSE)</f>
        <v>Non-metropolitan</v>
      </c>
      <c r="G1211" s="98">
        <v>0</v>
      </c>
    </row>
    <row r="1212" spans="1:7" ht="15.5" x14ac:dyDescent="0.35">
      <c r="A1212" s="224" t="s">
        <v>81</v>
      </c>
      <c r="B1212" s="224" t="s">
        <v>34</v>
      </c>
      <c r="C1212" s="224" t="s">
        <v>108</v>
      </c>
      <c r="D1212" s="224" t="s">
        <v>257</v>
      </c>
      <c r="E1212" s="224" t="str">
        <f>VLOOKUP($B1212,'FRS geographical categories'!$A$2:$C$45,2,FALSE)</f>
        <v>Significantly Rural</v>
      </c>
      <c r="F1212" s="224" t="str">
        <f>VLOOKUP($B1212,'FRS geographical categories'!$A$2:$C$45,3,FALSE)</f>
        <v>Non-metropolitan</v>
      </c>
      <c r="G1212" s="98">
        <v>0</v>
      </c>
    </row>
    <row r="1213" spans="1:7" ht="15.5" x14ac:dyDescent="0.35">
      <c r="A1213" s="224" t="s">
        <v>81</v>
      </c>
      <c r="B1213" s="224" t="s">
        <v>34</v>
      </c>
      <c r="C1213" s="224" t="s">
        <v>109</v>
      </c>
      <c r="D1213" s="224" t="s">
        <v>257</v>
      </c>
      <c r="E1213" s="224" t="str">
        <f>VLOOKUP($B1213,'FRS geographical categories'!$A$2:$C$45,2,FALSE)</f>
        <v>Significantly Rural</v>
      </c>
      <c r="F1213" s="224" t="str">
        <f>VLOOKUP($B1213,'FRS geographical categories'!$A$2:$C$45,3,FALSE)</f>
        <v>Non-metropolitan</v>
      </c>
      <c r="G1213" s="98">
        <v>243</v>
      </c>
    </row>
    <row r="1214" spans="1:7" ht="15.5" x14ac:dyDescent="0.35">
      <c r="A1214" s="224" t="s">
        <v>81</v>
      </c>
      <c r="B1214" s="224" t="s">
        <v>35</v>
      </c>
      <c r="C1214" s="224" t="s">
        <v>102</v>
      </c>
      <c r="D1214" s="224" t="s">
        <v>257</v>
      </c>
      <c r="E1214" s="224" t="str">
        <f>VLOOKUP($B1214,'FRS geographical categories'!$A$2:$C$45,2,FALSE)</f>
        <v>Predominantly Rural</v>
      </c>
      <c r="F1214" s="224" t="str">
        <f>VLOOKUP($B1214,'FRS geographical categories'!$A$2:$C$45,3,FALSE)</f>
        <v>Non-metropolitan</v>
      </c>
      <c r="G1214" s="98">
        <v>2473</v>
      </c>
    </row>
    <row r="1215" spans="1:7" ht="15.5" x14ac:dyDescent="0.35">
      <c r="A1215" s="224" t="s">
        <v>81</v>
      </c>
      <c r="B1215" s="224" t="s">
        <v>35</v>
      </c>
      <c r="C1215" s="224" t="s">
        <v>105</v>
      </c>
      <c r="D1215" s="224" t="s">
        <v>257</v>
      </c>
      <c r="E1215" s="224" t="str">
        <f>VLOOKUP($B1215,'FRS geographical categories'!$A$2:$C$45,2,FALSE)</f>
        <v>Predominantly Rural</v>
      </c>
      <c r="F1215" s="224" t="str">
        <f>VLOOKUP($B1215,'FRS geographical categories'!$A$2:$C$45,3,FALSE)</f>
        <v>Non-metropolitan</v>
      </c>
      <c r="G1215" s="98">
        <v>0</v>
      </c>
    </row>
    <row r="1216" spans="1:7" ht="15.5" x14ac:dyDescent="0.35">
      <c r="A1216" s="224" t="s">
        <v>81</v>
      </c>
      <c r="B1216" s="224" t="s">
        <v>35</v>
      </c>
      <c r="C1216" s="224" t="s">
        <v>106</v>
      </c>
      <c r="D1216" s="224" t="s">
        <v>257</v>
      </c>
      <c r="E1216" s="224" t="str">
        <f>VLOOKUP($B1216,'FRS geographical categories'!$A$2:$C$45,2,FALSE)</f>
        <v>Predominantly Rural</v>
      </c>
      <c r="F1216" s="224" t="str">
        <f>VLOOKUP($B1216,'FRS geographical categories'!$A$2:$C$45,3,FALSE)</f>
        <v>Non-metropolitan</v>
      </c>
      <c r="G1216" s="98">
        <v>10728</v>
      </c>
    </row>
    <row r="1217" spans="1:7" ht="15.5" x14ac:dyDescent="0.35">
      <c r="A1217" s="224" t="s">
        <v>81</v>
      </c>
      <c r="B1217" s="224" t="s">
        <v>35</v>
      </c>
      <c r="C1217" s="224" t="s">
        <v>107</v>
      </c>
      <c r="D1217" s="224" t="s">
        <v>257</v>
      </c>
      <c r="E1217" s="224" t="str">
        <f>VLOOKUP($B1217,'FRS geographical categories'!$A$2:$C$45,2,FALSE)</f>
        <v>Predominantly Rural</v>
      </c>
      <c r="F1217" s="224" t="str">
        <f>VLOOKUP($B1217,'FRS geographical categories'!$A$2:$C$45,3,FALSE)</f>
        <v>Non-metropolitan</v>
      </c>
      <c r="G1217" s="98">
        <v>0</v>
      </c>
    </row>
    <row r="1218" spans="1:7" ht="15.5" x14ac:dyDescent="0.35">
      <c r="A1218" s="224" t="s">
        <v>81</v>
      </c>
      <c r="B1218" s="224" t="s">
        <v>35</v>
      </c>
      <c r="C1218" s="224" t="s">
        <v>108</v>
      </c>
      <c r="D1218" s="224" t="s">
        <v>257</v>
      </c>
      <c r="E1218" s="224" t="str">
        <f>VLOOKUP($B1218,'FRS geographical categories'!$A$2:$C$45,2,FALSE)</f>
        <v>Predominantly Rural</v>
      </c>
      <c r="F1218" s="224" t="str">
        <f>VLOOKUP($B1218,'FRS geographical categories'!$A$2:$C$45,3,FALSE)</f>
        <v>Non-metropolitan</v>
      </c>
      <c r="G1218" s="98">
        <v>0</v>
      </c>
    </row>
    <row r="1219" spans="1:7" ht="15.5" x14ac:dyDescent="0.35">
      <c r="A1219" s="224" t="s">
        <v>81</v>
      </c>
      <c r="B1219" s="224" t="s">
        <v>35</v>
      </c>
      <c r="C1219" s="224" t="s">
        <v>109</v>
      </c>
      <c r="D1219" s="224" t="s">
        <v>257</v>
      </c>
      <c r="E1219" s="224" t="str">
        <f>VLOOKUP($B1219,'FRS geographical categories'!$A$2:$C$45,2,FALSE)</f>
        <v>Predominantly Rural</v>
      </c>
      <c r="F1219" s="224" t="str">
        <f>VLOOKUP($B1219,'FRS geographical categories'!$A$2:$C$45,3,FALSE)</f>
        <v>Non-metropolitan</v>
      </c>
      <c r="G1219" s="98">
        <v>0</v>
      </c>
    </row>
    <row r="1220" spans="1:7" ht="15.5" x14ac:dyDescent="0.35">
      <c r="A1220" s="224" t="s">
        <v>81</v>
      </c>
      <c r="B1220" s="224" t="s">
        <v>36</v>
      </c>
      <c r="C1220" s="224" t="s">
        <v>102</v>
      </c>
      <c r="D1220" s="224" t="s">
        <v>257</v>
      </c>
      <c r="E1220" s="224" t="str">
        <f>VLOOKUP($B1220,'FRS geographical categories'!$A$2:$C$45,2,FALSE)</f>
        <v>Predominantly Urban</v>
      </c>
      <c r="F1220" s="224" t="str">
        <f>VLOOKUP($B1220,'FRS geographical categories'!$A$2:$C$45,3,FALSE)</f>
        <v>Metropolitan</v>
      </c>
      <c r="G1220" s="98">
        <v>8967</v>
      </c>
    </row>
    <row r="1221" spans="1:7" ht="15.5" x14ac:dyDescent="0.35">
      <c r="A1221" s="224" t="s">
        <v>81</v>
      </c>
      <c r="B1221" s="224" t="s">
        <v>36</v>
      </c>
      <c r="C1221" s="224" t="s">
        <v>105</v>
      </c>
      <c r="D1221" s="224" t="s">
        <v>257</v>
      </c>
      <c r="E1221" s="224" t="str">
        <f>VLOOKUP($B1221,'FRS geographical categories'!$A$2:$C$45,2,FALSE)</f>
        <v>Predominantly Urban</v>
      </c>
      <c r="F1221" s="224" t="str">
        <f>VLOOKUP($B1221,'FRS geographical categories'!$A$2:$C$45,3,FALSE)</f>
        <v>Metropolitan</v>
      </c>
      <c r="G1221" s="98">
        <v>0</v>
      </c>
    </row>
    <row r="1222" spans="1:7" ht="15.5" x14ac:dyDescent="0.35">
      <c r="A1222" s="224" t="s">
        <v>81</v>
      </c>
      <c r="B1222" s="224" t="s">
        <v>36</v>
      </c>
      <c r="C1222" s="224" t="s">
        <v>106</v>
      </c>
      <c r="D1222" s="224" t="s">
        <v>257</v>
      </c>
      <c r="E1222" s="224" t="str">
        <f>VLOOKUP($B1222,'FRS geographical categories'!$A$2:$C$45,2,FALSE)</f>
        <v>Predominantly Urban</v>
      </c>
      <c r="F1222" s="224" t="str">
        <f>VLOOKUP($B1222,'FRS geographical categories'!$A$2:$C$45,3,FALSE)</f>
        <v>Metropolitan</v>
      </c>
      <c r="G1222" s="98">
        <v>95542</v>
      </c>
    </row>
    <row r="1223" spans="1:7" ht="15.5" x14ac:dyDescent="0.35">
      <c r="A1223" s="224" t="s">
        <v>81</v>
      </c>
      <c r="B1223" s="224" t="s">
        <v>36</v>
      </c>
      <c r="C1223" s="224" t="s">
        <v>107</v>
      </c>
      <c r="D1223" s="224" t="s">
        <v>257</v>
      </c>
      <c r="E1223" s="224" t="str">
        <f>VLOOKUP($B1223,'FRS geographical categories'!$A$2:$C$45,2,FALSE)</f>
        <v>Predominantly Urban</v>
      </c>
      <c r="F1223" s="224" t="str">
        <f>VLOOKUP($B1223,'FRS geographical categories'!$A$2:$C$45,3,FALSE)</f>
        <v>Metropolitan</v>
      </c>
      <c r="G1223" s="98">
        <v>0</v>
      </c>
    </row>
    <row r="1224" spans="1:7" ht="15.5" x14ac:dyDescent="0.35">
      <c r="A1224" s="224" t="s">
        <v>81</v>
      </c>
      <c r="B1224" s="224" t="s">
        <v>36</v>
      </c>
      <c r="C1224" s="224" t="s">
        <v>108</v>
      </c>
      <c r="D1224" s="224" t="s">
        <v>257</v>
      </c>
      <c r="E1224" s="224" t="str">
        <f>VLOOKUP($B1224,'FRS geographical categories'!$A$2:$C$45,2,FALSE)</f>
        <v>Predominantly Urban</v>
      </c>
      <c r="F1224" s="224" t="str">
        <f>VLOOKUP($B1224,'FRS geographical categories'!$A$2:$C$45,3,FALSE)</f>
        <v>Metropolitan</v>
      </c>
      <c r="G1224" s="98">
        <v>0</v>
      </c>
    </row>
    <row r="1225" spans="1:7" ht="15.5" x14ac:dyDescent="0.35">
      <c r="A1225" s="224" t="s">
        <v>81</v>
      </c>
      <c r="B1225" s="224" t="s">
        <v>36</v>
      </c>
      <c r="C1225" s="224" t="s">
        <v>109</v>
      </c>
      <c r="D1225" s="224" t="s">
        <v>257</v>
      </c>
      <c r="E1225" s="224" t="str">
        <f>VLOOKUP($B1225,'FRS geographical categories'!$A$2:$C$45,2,FALSE)</f>
        <v>Predominantly Urban</v>
      </c>
      <c r="F1225" s="224" t="str">
        <f>VLOOKUP($B1225,'FRS geographical categories'!$A$2:$C$45,3,FALSE)</f>
        <v>Metropolitan</v>
      </c>
      <c r="G1225" s="98">
        <v>0</v>
      </c>
    </row>
    <row r="1226" spans="1:7" ht="15.5" x14ac:dyDescent="0.35">
      <c r="A1226" s="224" t="s">
        <v>81</v>
      </c>
      <c r="B1226" s="224" t="s">
        <v>37</v>
      </c>
      <c r="C1226" s="224" t="s">
        <v>102</v>
      </c>
      <c r="D1226" s="224" t="s">
        <v>257</v>
      </c>
      <c r="E1226" s="224" t="str">
        <f>VLOOKUP($B1226,'FRS geographical categories'!$A$2:$C$45,2,FALSE)</f>
        <v>Predominantly Rural</v>
      </c>
      <c r="F1226" s="224" t="str">
        <f>VLOOKUP($B1226,'FRS geographical categories'!$A$2:$C$45,3,FALSE)</f>
        <v>Non-metropolitan</v>
      </c>
      <c r="G1226" s="98">
        <v>0</v>
      </c>
    </row>
    <row r="1227" spans="1:7" ht="15.5" x14ac:dyDescent="0.35">
      <c r="A1227" s="224" t="s">
        <v>81</v>
      </c>
      <c r="B1227" s="224" t="s">
        <v>37</v>
      </c>
      <c r="C1227" s="224" t="s">
        <v>105</v>
      </c>
      <c r="D1227" s="224" t="s">
        <v>257</v>
      </c>
      <c r="E1227" s="224" t="str">
        <f>VLOOKUP($B1227,'FRS geographical categories'!$A$2:$C$45,2,FALSE)</f>
        <v>Predominantly Rural</v>
      </c>
      <c r="F1227" s="224" t="str">
        <f>VLOOKUP($B1227,'FRS geographical categories'!$A$2:$C$45,3,FALSE)</f>
        <v>Non-metropolitan</v>
      </c>
      <c r="G1227" s="98">
        <v>0</v>
      </c>
    </row>
    <row r="1228" spans="1:7" ht="15.5" x14ac:dyDescent="0.35">
      <c r="A1228" s="224" t="s">
        <v>81</v>
      </c>
      <c r="B1228" s="224" t="s">
        <v>37</v>
      </c>
      <c r="C1228" s="224" t="s">
        <v>106</v>
      </c>
      <c r="D1228" s="224" t="s">
        <v>257</v>
      </c>
      <c r="E1228" s="224" t="str">
        <f>VLOOKUP($B1228,'FRS geographical categories'!$A$2:$C$45,2,FALSE)</f>
        <v>Predominantly Rural</v>
      </c>
      <c r="F1228" s="224" t="str">
        <f>VLOOKUP($B1228,'FRS geographical categories'!$A$2:$C$45,3,FALSE)</f>
        <v>Non-metropolitan</v>
      </c>
      <c r="G1228" s="98">
        <v>2280</v>
      </c>
    </row>
    <row r="1229" spans="1:7" ht="15.5" x14ac:dyDescent="0.35">
      <c r="A1229" s="224" t="s">
        <v>81</v>
      </c>
      <c r="B1229" s="224" t="s">
        <v>37</v>
      </c>
      <c r="C1229" s="224" t="s">
        <v>107</v>
      </c>
      <c r="D1229" s="224" t="s">
        <v>257</v>
      </c>
      <c r="E1229" s="224" t="str">
        <f>VLOOKUP($B1229,'FRS geographical categories'!$A$2:$C$45,2,FALSE)</f>
        <v>Predominantly Rural</v>
      </c>
      <c r="F1229" s="224" t="str">
        <f>VLOOKUP($B1229,'FRS geographical categories'!$A$2:$C$45,3,FALSE)</f>
        <v>Non-metropolitan</v>
      </c>
      <c r="G1229" s="98">
        <v>33</v>
      </c>
    </row>
    <row r="1230" spans="1:7" ht="15.5" x14ac:dyDescent="0.35">
      <c r="A1230" s="224" t="s">
        <v>81</v>
      </c>
      <c r="B1230" s="224" t="s">
        <v>37</v>
      </c>
      <c r="C1230" s="224" t="s">
        <v>108</v>
      </c>
      <c r="D1230" s="224" t="s">
        <v>257</v>
      </c>
      <c r="E1230" s="224" t="str">
        <f>VLOOKUP($B1230,'FRS geographical categories'!$A$2:$C$45,2,FALSE)</f>
        <v>Predominantly Rural</v>
      </c>
      <c r="F1230" s="224" t="str">
        <f>VLOOKUP($B1230,'FRS geographical categories'!$A$2:$C$45,3,FALSE)</f>
        <v>Non-metropolitan</v>
      </c>
      <c r="G1230" s="98">
        <v>1087</v>
      </c>
    </row>
    <row r="1231" spans="1:7" ht="15.5" x14ac:dyDescent="0.35">
      <c r="A1231" s="224" t="s">
        <v>81</v>
      </c>
      <c r="B1231" s="224" t="s">
        <v>37</v>
      </c>
      <c r="C1231" s="224" t="s">
        <v>109</v>
      </c>
      <c r="D1231" s="224" t="s">
        <v>257</v>
      </c>
      <c r="E1231" s="224" t="str">
        <f>VLOOKUP($B1231,'FRS geographical categories'!$A$2:$C$45,2,FALSE)</f>
        <v>Predominantly Rural</v>
      </c>
      <c r="F1231" s="224" t="str">
        <f>VLOOKUP($B1231,'FRS geographical categories'!$A$2:$C$45,3,FALSE)</f>
        <v>Non-metropolitan</v>
      </c>
      <c r="G1231" s="98">
        <v>0</v>
      </c>
    </row>
    <row r="1232" spans="1:7" ht="15.5" x14ac:dyDescent="0.35">
      <c r="A1232" s="224" t="s">
        <v>81</v>
      </c>
      <c r="B1232" s="224" t="s">
        <v>38</v>
      </c>
      <c r="C1232" s="224" t="s">
        <v>102</v>
      </c>
      <c r="D1232" s="224" t="s">
        <v>257</v>
      </c>
      <c r="E1232" s="224" t="str">
        <f>VLOOKUP($B1232,'FRS geographical categories'!$A$2:$C$45,2,FALSE)</f>
        <v>Predominantly Rural</v>
      </c>
      <c r="F1232" s="224" t="str">
        <f>VLOOKUP($B1232,'FRS geographical categories'!$A$2:$C$45,3,FALSE)</f>
        <v>Non-metropolitan</v>
      </c>
      <c r="G1232" s="98">
        <v>10</v>
      </c>
    </row>
    <row r="1233" spans="1:7" ht="15.5" x14ac:dyDescent="0.35">
      <c r="A1233" s="224" t="s">
        <v>81</v>
      </c>
      <c r="B1233" s="224" t="s">
        <v>38</v>
      </c>
      <c r="C1233" s="224" t="s">
        <v>105</v>
      </c>
      <c r="D1233" s="224" t="s">
        <v>257</v>
      </c>
      <c r="E1233" s="224" t="str">
        <f>VLOOKUP($B1233,'FRS geographical categories'!$A$2:$C$45,2,FALSE)</f>
        <v>Predominantly Rural</v>
      </c>
      <c r="F1233" s="224" t="str">
        <f>VLOOKUP($B1233,'FRS geographical categories'!$A$2:$C$45,3,FALSE)</f>
        <v>Non-metropolitan</v>
      </c>
      <c r="G1233" s="98">
        <v>0</v>
      </c>
    </row>
    <row r="1234" spans="1:7" ht="15.5" x14ac:dyDescent="0.35">
      <c r="A1234" s="224" t="s">
        <v>81</v>
      </c>
      <c r="B1234" s="224" t="s">
        <v>38</v>
      </c>
      <c r="C1234" s="224" t="s">
        <v>106</v>
      </c>
      <c r="D1234" s="224" t="s">
        <v>257</v>
      </c>
      <c r="E1234" s="224" t="str">
        <f>VLOOKUP($B1234,'FRS geographical categories'!$A$2:$C$45,2,FALSE)</f>
        <v>Predominantly Rural</v>
      </c>
      <c r="F1234" s="224" t="str">
        <f>VLOOKUP($B1234,'FRS geographical categories'!$A$2:$C$45,3,FALSE)</f>
        <v>Non-metropolitan</v>
      </c>
      <c r="G1234" s="98">
        <v>7092</v>
      </c>
    </row>
    <row r="1235" spans="1:7" ht="15.5" x14ac:dyDescent="0.35">
      <c r="A1235" s="224" t="s">
        <v>81</v>
      </c>
      <c r="B1235" s="224" t="s">
        <v>38</v>
      </c>
      <c r="C1235" s="224" t="s">
        <v>107</v>
      </c>
      <c r="D1235" s="224" t="s">
        <v>257</v>
      </c>
      <c r="E1235" s="224" t="str">
        <f>VLOOKUP($B1235,'FRS geographical categories'!$A$2:$C$45,2,FALSE)</f>
        <v>Predominantly Rural</v>
      </c>
      <c r="F1235" s="224" t="str">
        <f>VLOOKUP($B1235,'FRS geographical categories'!$A$2:$C$45,3,FALSE)</f>
        <v>Non-metropolitan</v>
      </c>
      <c r="G1235" s="98">
        <v>0</v>
      </c>
    </row>
    <row r="1236" spans="1:7" ht="15.5" x14ac:dyDescent="0.35">
      <c r="A1236" s="224" t="s">
        <v>81</v>
      </c>
      <c r="B1236" s="224" t="s">
        <v>38</v>
      </c>
      <c r="C1236" s="224" t="s">
        <v>108</v>
      </c>
      <c r="D1236" s="224" t="s">
        <v>257</v>
      </c>
      <c r="E1236" s="224" t="str">
        <f>VLOOKUP($B1236,'FRS geographical categories'!$A$2:$C$45,2,FALSE)</f>
        <v>Predominantly Rural</v>
      </c>
      <c r="F1236" s="224" t="str">
        <f>VLOOKUP($B1236,'FRS geographical categories'!$A$2:$C$45,3,FALSE)</f>
        <v>Non-metropolitan</v>
      </c>
      <c r="G1236" s="98">
        <v>0</v>
      </c>
    </row>
    <row r="1237" spans="1:7" ht="15.5" x14ac:dyDescent="0.35">
      <c r="A1237" s="224" t="s">
        <v>81</v>
      </c>
      <c r="B1237" s="224" t="s">
        <v>38</v>
      </c>
      <c r="C1237" s="224" t="s">
        <v>109</v>
      </c>
      <c r="D1237" s="224" t="s">
        <v>257</v>
      </c>
      <c r="E1237" s="224" t="str">
        <f>VLOOKUP($B1237,'FRS geographical categories'!$A$2:$C$45,2,FALSE)</f>
        <v>Predominantly Rural</v>
      </c>
      <c r="F1237" s="224" t="str">
        <f>VLOOKUP($B1237,'FRS geographical categories'!$A$2:$C$45,3,FALSE)</f>
        <v>Non-metropolitan</v>
      </c>
      <c r="G1237" s="98">
        <v>0</v>
      </c>
    </row>
    <row r="1238" spans="1:7" ht="15.5" x14ac:dyDescent="0.35">
      <c r="A1238" s="224" t="s">
        <v>81</v>
      </c>
      <c r="B1238" s="224" t="s">
        <v>39</v>
      </c>
      <c r="C1238" s="224" t="s">
        <v>102</v>
      </c>
      <c r="D1238" s="224" t="s">
        <v>257</v>
      </c>
      <c r="E1238" s="224" t="str">
        <f>VLOOKUP($B1238,'FRS geographical categories'!$A$2:$C$45,2,FALSE)</f>
        <v>Significantly Rural</v>
      </c>
      <c r="F1238" s="224" t="str">
        <f>VLOOKUP($B1238,'FRS geographical categories'!$A$2:$C$45,3,FALSE)</f>
        <v>Non-metropolitan</v>
      </c>
      <c r="G1238" s="98">
        <v>0</v>
      </c>
    </row>
    <row r="1239" spans="1:7" ht="15.5" x14ac:dyDescent="0.35">
      <c r="A1239" s="224" t="s">
        <v>81</v>
      </c>
      <c r="B1239" s="224" t="s">
        <v>39</v>
      </c>
      <c r="C1239" s="224" t="s">
        <v>105</v>
      </c>
      <c r="D1239" s="224" t="s">
        <v>257</v>
      </c>
      <c r="E1239" s="224" t="str">
        <f>VLOOKUP($B1239,'FRS geographical categories'!$A$2:$C$45,2,FALSE)</f>
        <v>Significantly Rural</v>
      </c>
      <c r="F1239" s="224" t="str">
        <f>VLOOKUP($B1239,'FRS geographical categories'!$A$2:$C$45,3,FALSE)</f>
        <v>Non-metropolitan</v>
      </c>
      <c r="G1239" s="98">
        <v>0</v>
      </c>
    </row>
    <row r="1240" spans="1:7" ht="15.5" x14ac:dyDescent="0.35">
      <c r="A1240" s="224" t="s">
        <v>81</v>
      </c>
      <c r="B1240" s="224" t="s">
        <v>39</v>
      </c>
      <c r="C1240" s="224" t="s">
        <v>106</v>
      </c>
      <c r="D1240" s="224" t="s">
        <v>257</v>
      </c>
      <c r="E1240" s="224" t="str">
        <f>VLOOKUP($B1240,'FRS geographical categories'!$A$2:$C$45,2,FALSE)</f>
        <v>Significantly Rural</v>
      </c>
      <c r="F1240" s="224" t="str">
        <f>VLOOKUP($B1240,'FRS geographical categories'!$A$2:$C$45,3,FALSE)</f>
        <v>Non-metropolitan</v>
      </c>
      <c r="G1240" s="98">
        <v>8556</v>
      </c>
    </row>
    <row r="1241" spans="1:7" ht="15.5" x14ac:dyDescent="0.35">
      <c r="A1241" s="224" t="s">
        <v>81</v>
      </c>
      <c r="B1241" s="224" t="s">
        <v>39</v>
      </c>
      <c r="C1241" s="224" t="s">
        <v>107</v>
      </c>
      <c r="D1241" s="224" t="s">
        <v>257</v>
      </c>
      <c r="E1241" s="224" t="str">
        <f>VLOOKUP($B1241,'FRS geographical categories'!$A$2:$C$45,2,FALSE)</f>
        <v>Significantly Rural</v>
      </c>
      <c r="F1241" s="224" t="str">
        <f>VLOOKUP($B1241,'FRS geographical categories'!$A$2:$C$45,3,FALSE)</f>
        <v>Non-metropolitan</v>
      </c>
      <c r="G1241" s="98">
        <v>0</v>
      </c>
    </row>
    <row r="1242" spans="1:7" ht="15.5" x14ac:dyDescent="0.35">
      <c r="A1242" s="224" t="s">
        <v>81</v>
      </c>
      <c r="B1242" s="224" t="s">
        <v>39</v>
      </c>
      <c r="C1242" s="224" t="s">
        <v>108</v>
      </c>
      <c r="D1242" s="224" t="s">
        <v>257</v>
      </c>
      <c r="E1242" s="224" t="str">
        <f>VLOOKUP($B1242,'FRS geographical categories'!$A$2:$C$45,2,FALSE)</f>
        <v>Significantly Rural</v>
      </c>
      <c r="F1242" s="224" t="str">
        <f>VLOOKUP($B1242,'FRS geographical categories'!$A$2:$C$45,3,FALSE)</f>
        <v>Non-metropolitan</v>
      </c>
      <c r="G1242" s="98">
        <v>1600</v>
      </c>
    </row>
    <row r="1243" spans="1:7" ht="15.5" x14ac:dyDescent="0.35">
      <c r="A1243" s="224" t="s">
        <v>81</v>
      </c>
      <c r="B1243" s="224" t="s">
        <v>39</v>
      </c>
      <c r="C1243" s="224" t="s">
        <v>109</v>
      </c>
      <c r="D1243" s="224" t="s">
        <v>257</v>
      </c>
      <c r="E1243" s="224" t="str">
        <f>VLOOKUP($B1243,'FRS geographical categories'!$A$2:$C$45,2,FALSE)</f>
        <v>Significantly Rural</v>
      </c>
      <c r="F1243" s="224" t="str">
        <f>VLOOKUP($B1243,'FRS geographical categories'!$A$2:$C$45,3,FALSE)</f>
        <v>Non-metropolitan</v>
      </c>
      <c r="G1243" s="98">
        <v>0</v>
      </c>
    </row>
    <row r="1244" spans="1:7" ht="15.5" x14ac:dyDescent="0.35">
      <c r="A1244" s="224" t="s">
        <v>81</v>
      </c>
      <c r="B1244" s="224" t="s">
        <v>40</v>
      </c>
      <c r="C1244" s="224" t="s">
        <v>102</v>
      </c>
      <c r="D1244" s="224" t="s">
        <v>257</v>
      </c>
      <c r="E1244" s="224" t="str">
        <f>VLOOKUP($B1244,'FRS geographical categories'!$A$2:$C$45,2,FALSE)</f>
        <v>Predominantly Rural</v>
      </c>
      <c r="F1244" s="224" t="str">
        <f>VLOOKUP($B1244,'FRS geographical categories'!$A$2:$C$45,3,FALSE)</f>
        <v>Non-metropolitan</v>
      </c>
      <c r="G1244" s="98">
        <v>0</v>
      </c>
    </row>
    <row r="1245" spans="1:7" ht="15.5" x14ac:dyDescent="0.35">
      <c r="A1245" s="224" t="s">
        <v>81</v>
      </c>
      <c r="B1245" s="224" t="s">
        <v>40</v>
      </c>
      <c r="C1245" s="224" t="s">
        <v>105</v>
      </c>
      <c r="D1245" s="224" t="s">
        <v>257</v>
      </c>
      <c r="E1245" s="224" t="str">
        <f>VLOOKUP($B1245,'FRS geographical categories'!$A$2:$C$45,2,FALSE)</f>
        <v>Predominantly Rural</v>
      </c>
      <c r="F1245" s="224" t="str">
        <f>VLOOKUP($B1245,'FRS geographical categories'!$A$2:$C$45,3,FALSE)</f>
        <v>Non-metropolitan</v>
      </c>
      <c r="G1245" s="98">
        <v>0</v>
      </c>
    </row>
    <row r="1246" spans="1:7" ht="15.5" x14ac:dyDescent="0.35">
      <c r="A1246" s="224" t="s">
        <v>81</v>
      </c>
      <c r="B1246" s="224" t="s">
        <v>40</v>
      </c>
      <c r="C1246" s="224" t="s">
        <v>106</v>
      </c>
      <c r="D1246" s="224" t="s">
        <v>257</v>
      </c>
      <c r="E1246" s="224" t="str">
        <f>VLOOKUP($B1246,'FRS geographical categories'!$A$2:$C$45,2,FALSE)</f>
        <v>Predominantly Rural</v>
      </c>
      <c r="F1246" s="224" t="str">
        <f>VLOOKUP($B1246,'FRS geographical categories'!$A$2:$C$45,3,FALSE)</f>
        <v>Non-metropolitan</v>
      </c>
      <c r="G1246" s="98">
        <v>7946</v>
      </c>
    </row>
    <row r="1247" spans="1:7" ht="15.5" x14ac:dyDescent="0.35">
      <c r="A1247" s="224" t="s">
        <v>81</v>
      </c>
      <c r="B1247" s="224" t="s">
        <v>40</v>
      </c>
      <c r="C1247" s="224" t="s">
        <v>107</v>
      </c>
      <c r="D1247" s="224" t="s">
        <v>257</v>
      </c>
      <c r="E1247" s="224" t="str">
        <f>VLOOKUP($B1247,'FRS geographical categories'!$A$2:$C$45,2,FALSE)</f>
        <v>Predominantly Rural</v>
      </c>
      <c r="F1247" s="224" t="str">
        <f>VLOOKUP($B1247,'FRS geographical categories'!$A$2:$C$45,3,FALSE)</f>
        <v>Non-metropolitan</v>
      </c>
      <c r="G1247" s="98">
        <v>0</v>
      </c>
    </row>
    <row r="1248" spans="1:7" ht="15.5" x14ac:dyDescent="0.35">
      <c r="A1248" s="224" t="s">
        <v>81</v>
      </c>
      <c r="B1248" s="224" t="s">
        <v>40</v>
      </c>
      <c r="C1248" s="224" t="s">
        <v>108</v>
      </c>
      <c r="D1248" s="224" t="s">
        <v>257</v>
      </c>
      <c r="E1248" s="224" t="str">
        <f>VLOOKUP($B1248,'FRS geographical categories'!$A$2:$C$45,2,FALSE)</f>
        <v>Predominantly Rural</v>
      </c>
      <c r="F1248" s="224" t="str">
        <f>VLOOKUP($B1248,'FRS geographical categories'!$A$2:$C$45,3,FALSE)</f>
        <v>Non-metropolitan</v>
      </c>
      <c r="G1248" s="98">
        <v>2708</v>
      </c>
    </row>
    <row r="1249" spans="1:7" ht="15.5" x14ac:dyDescent="0.35">
      <c r="A1249" s="224" t="s">
        <v>81</v>
      </c>
      <c r="B1249" s="224" t="s">
        <v>40</v>
      </c>
      <c r="C1249" s="224" t="s">
        <v>109</v>
      </c>
      <c r="D1249" s="224" t="s">
        <v>257</v>
      </c>
      <c r="E1249" s="224" t="str">
        <f>VLOOKUP($B1249,'FRS geographical categories'!$A$2:$C$45,2,FALSE)</f>
        <v>Predominantly Rural</v>
      </c>
      <c r="F1249" s="224" t="str">
        <f>VLOOKUP($B1249,'FRS geographical categories'!$A$2:$C$45,3,FALSE)</f>
        <v>Non-metropolitan</v>
      </c>
      <c r="G1249" s="98">
        <v>0</v>
      </c>
    </row>
    <row r="1250" spans="1:7" ht="15.5" x14ac:dyDescent="0.35">
      <c r="A1250" s="224" t="s">
        <v>81</v>
      </c>
      <c r="B1250" s="224" t="s">
        <v>41</v>
      </c>
      <c r="C1250" s="224" t="s">
        <v>102</v>
      </c>
      <c r="D1250" s="224" t="s">
        <v>257</v>
      </c>
      <c r="E1250" s="224" t="str">
        <f>VLOOKUP($B1250,'FRS geographical categories'!$A$2:$C$45,2,FALSE)</f>
        <v>Predominantly Urban</v>
      </c>
      <c r="F1250" s="224" t="str">
        <f>VLOOKUP($B1250,'FRS geographical categories'!$A$2:$C$45,3,FALSE)</f>
        <v>Non-metropolitan</v>
      </c>
      <c r="G1250" s="98">
        <v>0</v>
      </c>
    </row>
    <row r="1251" spans="1:7" ht="15.5" x14ac:dyDescent="0.35">
      <c r="A1251" s="224" t="s">
        <v>81</v>
      </c>
      <c r="B1251" s="224" t="s">
        <v>41</v>
      </c>
      <c r="C1251" s="224" t="s">
        <v>105</v>
      </c>
      <c r="D1251" s="224" t="s">
        <v>257</v>
      </c>
      <c r="E1251" s="224" t="str">
        <f>VLOOKUP($B1251,'FRS geographical categories'!$A$2:$C$45,2,FALSE)</f>
        <v>Predominantly Urban</v>
      </c>
      <c r="F1251" s="224" t="str">
        <f>VLOOKUP($B1251,'FRS geographical categories'!$A$2:$C$45,3,FALSE)</f>
        <v>Non-metropolitan</v>
      </c>
      <c r="G1251" s="98">
        <v>0</v>
      </c>
    </row>
    <row r="1252" spans="1:7" ht="15.5" x14ac:dyDescent="0.35">
      <c r="A1252" s="224" t="s">
        <v>81</v>
      </c>
      <c r="B1252" s="224" t="s">
        <v>41</v>
      </c>
      <c r="C1252" s="224" t="s">
        <v>106</v>
      </c>
      <c r="D1252" s="224" t="s">
        <v>257</v>
      </c>
      <c r="E1252" s="224" t="str">
        <f>VLOOKUP($B1252,'FRS geographical categories'!$A$2:$C$45,2,FALSE)</f>
        <v>Predominantly Urban</v>
      </c>
      <c r="F1252" s="224" t="str">
        <f>VLOOKUP($B1252,'FRS geographical categories'!$A$2:$C$45,3,FALSE)</f>
        <v>Non-metropolitan</v>
      </c>
      <c r="G1252" s="98">
        <v>29187</v>
      </c>
    </row>
    <row r="1253" spans="1:7" ht="15.5" x14ac:dyDescent="0.35">
      <c r="A1253" s="224" t="s">
        <v>81</v>
      </c>
      <c r="B1253" s="224" t="s">
        <v>41</v>
      </c>
      <c r="C1253" s="224" t="s">
        <v>107</v>
      </c>
      <c r="D1253" s="224" t="s">
        <v>257</v>
      </c>
      <c r="E1253" s="224" t="str">
        <f>VLOOKUP($B1253,'FRS geographical categories'!$A$2:$C$45,2,FALSE)</f>
        <v>Predominantly Urban</v>
      </c>
      <c r="F1253" s="224" t="str">
        <f>VLOOKUP($B1253,'FRS geographical categories'!$A$2:$C$45,3,FALSE)</f>
        <v>Non-metropolitan</v>
      </c>
      <c r="G1253" s="98">
        <v>0</v>
      </c>
    </row>
    <row r="1254" spans="1:7" ht="15.5" x14ac:dyDescent="0.35">
      <c r="A1254" s="224" t="s">
        <v>81</v>
      </c>
      <c r="B1254" s="224" t="s">
        <v>41</v>
      </c>
      <c r="C1254" s="224" t="s">
        <v>108</v>
      </c>
      <c r="D1254" s="224" t="s">
        <v>257</v>
      </c>
      <c r="E1254" s="224" t="str">
        <f>VLOOKUP($B1254,'FRS geographical categories'!$A$2:$C$45,2,FALSE)</f>
        <v>Predominantly Urban</v>
      </c>
      <c r="F1254" s="224" t="str">
        <f>VLOOKUP($B1254,'FRS geographical categories'!$A$2:$C$45,3,FALSE)</f>
        <v>Non-metropolitan</v>
      </c>
      <c r="G1254" s="98">
        <v>1455</v>
      </c>
    </row>
    <row r="1255" spans="1:7" ht="15.5" x14ac:dyDescent="0.35">
      <c r="A1255" s="224" t="s">
        <v>81</v>
      </c>
      <c r="B1255" s="224" t="s">
        <v>41</v>
      </c>
      <c r="C1255" s="224" t="s">
        <v>109</v>
      </c>
      <c r="D1255" s="224" t="s">
        <v>257</v>
      </c>
      <c r="E1255" s="224" t="str">
        <f>VLOOKUP($B1255,'FRS geographical categories'!$A$2:$C$45,2,FALSE)</f>
        <v>Predominantly Urban</v>
      </c>
      <c r="F1255" s="224" t="str">
        <f>VLOOKUP($B1255,'FRS geographical categories'!$A$2:$C$45,3,FALSE)</f>
        <v>Non-metropolitan</v>
      </c>
      <c r="G1255" s="98">
        <v>0</v>
      </c>
    </row>
    <row r="1256" spans="1:7" ht="15.5" x14ac:dyDescent="0.35">
      <c r="A1256" s="224" t="s">
        <v>81</v>
      </c>
      <c r="B1256" s="224" t="s">
        <v>42</v>
      </c>
      <c r="C1256" s="224" t="s">
        <v>102</v>
      </c>
      <c r="D1256" s="224" t="s">
        <v>257</v>
      </c>
      <c r="E1256" s="224" t="str">
        <f>VLOOKUP($B1256,'FRS geographical categories'!$A$2:$C$45,2,FALSE)</f>
        <v>Predominantly Rural</v>
      </c>
      <c r="F1256" s="224" t="str">
        <f>VLOOKUP($B1256,'FRS geographical categories'!$A$2:$C$45,3,FALSE)</f>
        <v>Non-metropolitan</v>
      </c>
      <c r="G1256" s="98">
        <v>865</v>
      </c>
    </row>
    <row r="1257" spans="1:7" ht="15.5" x14ac:dyDescent="0.35">
      <c r="A1257" s="224" t="s">
        <v>81</v>
      </c>
      <c r="B1257" s="224" t="s">
        <v>42</v>
      </c>
      <c r="C1257" s="224" t="s">
        <v>105</v>
      </c>
      <c r="D1257" s="224" t="s">
        <v>257</v>
      </c>
      <c r="E1257" s="224" t="str">
        <f>VLOOKUP($B1257,'FRS geographical categories'!$A$2:$C$45,2,FALSE)</f>
        <v>Predominantly Rural</v>
      </c>
      <c r="F1257" s="224" t="str">
        <f>VLOOKUP($B1257,'FRS geographical categories'!$A$2:$C$45,3,FALSE)</f>
        <v>Non-metropolitan</v>
      </c>
      <c r="G1257" s="98">
        <v>0</v>
      </c>
    </row>
    <row r="1258" spans="1:7" ht="15.5" x14ac:dyDescent="0.35">
      <c r="A1258" s="224" t="s">
        <v>81</v>
      </c>
      <c r="B1258" s="224" t="s">
        <v>42</v>
      </c>
      <c r="C1258" s="224" t="s">
        <v>106</v>
      </c>
      <c r="D1258" s="224" t="s">
        <v>257</v>
      </c>
      <c r="E1258" s="224" t="str">
        <f>VLOOKUP($B1258,'FRS geographical categories'!$A$2:$C$45,2,FALSE)</f>
        <v>Predominantly Rural</v>
      </c>
      <c r="F1258" s="224" t="str">
        <f>VLOOKUP($B1258,'FRS geographical categories'!$A$2:$C$45,3,FALSE)</f>
        <v>Non-metropolitan</v>
      </c>
      <c r="G1258" s="98">
        <v>4923</v>
      </c>
    </row>
    <row r="1259" spans="1:7" ht="15.5" x14ac:dyDescent="0.35">
      <c r="A1259" s="224" t="s">
        <v>81</v>
      </c>
      <c r="B1259" s="224" t="s">
        <v>42</v>
      </c>
      <c r="C1259" s="224" t="s">
        <v>107</v>
      </c>
      <c r="D1259" s="224" t="s">
        <v>257</v>
      </c>
      <c r="E1259" s="224" t="str">
        <f>VLOOKUP($B1259,'FRS geographical categories'!$A$2:$C$45,2,FALSE)</f>
        <v>Predominantly Rural</v>
      </c>
      <c r="F1259" s="224" t="str">
        <f>VLOOKUP($B1259,'FRS geographical categories'!$A$2:$C$45,3,FALSE)</f>
        <v>Non-metropolitan</v>
      </c>
      <c r="G1259" s="98">
        <v>0</v>
      </c>
    </row>
    <row r="1260" spans="1:7" ht="15.5" x14ac:dyDescent="0.35">
      <c r="A1260" s="224" t="s">
        <v>81</v>
      </c>
      <c r="B1260" s="224" t="s">
        <v>42</v>
      </c>
      <c r="C1260" s="224" t="s">
        <v>108</v>
      </c>
      <c r="D1260" s="224" t="s">
        <v>257</v>
      </c>
      <c r="E1260" s="224" t="str">
        <f>VLOOKUP($B1260,'FRS geographical categories'!$A$2:$C$45,2,FALSE)</f>
        <v>Predominantly Rural</v>
      </c>
      <c r="F1260" s="224" t="str">
        <f>VLOOKUP($B1260,'FRS geographical categories'!$A$2:$C$45,3,FALSE)</f>
        <v>Non-metropolitan</v>
      </c>
      <c r="G1260" s="98">
        <v>0</v>
      </c>
    </row>
    <row r="1261" spans="1:7" ht="15.5" x14ac:dyDescent="0.35">
      <c r="A1261" s="224" t="s">
        <v>81</v>
      </c>
      <c r="B1261" s="224" t="s">
        <v>42</v>
      </c>
      <c r="C1261" s="224" t="s">
        <v>109</v>
      </c>
      <c r="D1261" s="224" t="s">
        <v>257</v>
      </c>
      <c r="E1261" s="224" t="str">
        <f>VLOOKUP($B1261,'FRS geographical categories'!$A$2:$C$45,2,FALSE)</f>
        <v>Predominantly Rural</v>
      </c>
      <c r="F1261" s="224" t="str">
        <f>VLOOKUP($B1261,'FRS geographical categories'!$A$2:$C$45,3,FALSE)</f>
        <v>Non-metropolitan</v>
      </c>
      <c r="G1261" s="98">
        <v>0</v>
      </c>
    </row>
    <row r="1262" spans="1:7" ht="15.5" x14ac:dyDescent="0.35">
      <c r="A1262" s="224" t="s">
        <v>81</v>
      </c>
      <c r="B1262" s="224" t="s">
        <v>43</v>
      </c>
      <c r="C1262" s="224" t="s">
        <v>102</v>
      </c>
      <c r="D1262" s="224" t="s">
        <v>257</v>
      </c>
      <c r="E1262" s="224" t="str">
        <f>VLOOKUP($B1262,'FRS geographical categories'!$A$2:$C$45,2,FALSE)</f>
        <v>Predominantly Rural</v>
      </c>
      <c r="F1262" s="224" t="str">
        <f>VLOOKUP($B1262,'FRS geographical categories'!$A$2:$C$45,3,FALSE)</f>
        <v>Non-metropolitan</v>
      </c>
      <c r="G1262" s="98">
        <v>890</v>
      </c>
    </row>
    <row r="1263" spans="1:7" ht="15.5" x14ac:dyDescent="0.35">
      <c r="A1263" s="224" t="s">
        <v>81</v>
      </c>
      <c r="B1263" s="224" t="s">
        <v>43</v>
      </c>
      <c r="C1263" s="224" t="s">
        <v>105</v>
      </c>
      <c r="D1263" s="224" t="s">
        <v>257</v>
      </c>
      <c r="E1263" s="224" t="str">
        <f>VLOOKUP($B1263,'FRS geographical categories'!$A$2:$C$45,2,FALSE)</f>
        <v>Predominantly Rural</v>
      </c>
      <c r="F1263" s="224" t="str">
        <f>VLOOKUP($B1263,'FRS geographical categories'!$A$2:$C$45,3,FALSE)</f>
        <v>Non-metropolitan</v>
      </c>
      <c r="G1263" s="98">
        <v>0</v>
      </c>
    </row>
    <row r="1264" spans="1:7" ht="15.5" x14ac:dyDescent="0.35">
      <c r="A1264" s="224" t="s">
        <v>81</v>
      </c>
      <c r="B1264" s="224" t="s">
        <v>43</v>
      </c>
      <c r="C1264" s="224" t="s">
        <v>106</v>
      </c>
      <c r="D1264" s="224" t="s">
        <v>257</v>
      </c>
      <c r="E1264" s="224" t="str">
        <f>VLOOKUP($B1264,'FRS geographical categories'!$A$2:$C$45,2,FALSE)</f>
        <v>Predominantly Rural</v>
      </c>
      <c r="F1264" s="224" t="str">
        <f>VLOOKUP($B1264,'FRS geographical categories'!$A$2:$C$45,3,FALSE)</f>
        <v>Non-metropolitan</v>
      </c>
      <c r="G1264" s="98">
        <v>2710</v>
      </c>
    </row>
    <row r="1265" spans="1:7" ht="15.5" x14ac:dyDescent="0.35">
      <c r="A1265" s="224" t="s">
        <v>81</v>
      </c>
      <c r="B1265" s="224" t="s">
        <v>43</v>
      </c>
      <c r="C1265" s="224" t="s">
        <v>107</v>
      </c>
      <c r="D1265" s="224" t="s">
        <v>257</v>
      </c>
      <c r="E1265" s="224" t="str">
        <f>VLOOKUP($B1265,'FRS geographical categories'!$A$2:$C$45,2,FALSE)</f>
        <v>Predominantly Rural</v>
      </c>
      <c r="F1265" s="224" t="str">
        <f>VLOOKUP($B1265,'FRS geographical categories'!$A$2:$C$45,3,FALSE)</f>
        <v>Non-metropolitan</v>
      </c>
      <c r="G1265" s="98">
        <v>0</v>
      </c>
    </row>
    <row r="1266" spans="1:7" ht="15.5" x14ac:dyDescent="0.35">
      <c r="A1266" s="224" t="s">
        <v>81</v>
      </c>
      <c r="B1266" s="224" t="s">
        <v>43</v>
      </c>
      <c r="C1266" s="224" t="s">
        <v>108</v>
      </c>
      <c r="D1266" s="224" t="s">
        <v>257</v>
      </c>
      <c r="E1266" s="224" t="str">
        <f>VLOOKUP($B1266,'FRS geographical categories'!$A$2:$C$45,2,FALSE)</f>
        <v>Predominantly Rural</v>
      </c>
      <c r="F1266" s="224" t="str">
        <f>VLOOKUP($B1266,'FRS geographical categories'!$A$2:$C$45,3,FALSE)</f>
        <v>Non-metropolitan</v>
      </c>
      <c r="G1266" s="98">
        <v>0</v>
      </c>
    </row>
    <row r="1267" spans="1:7" ht="15.5" x14ac:dyDescent="0.35">
      <c r="A1267" s="224" t="s">
        <v>81</v>
      </c>
      <c r="B1267" s="224" t="s">
        <v>43</v>
      </c>
      <c r="C1267" s="224" t="s">
        <v>109</v>
      </c>
      <c r="D1267" s="224" t="s">
        <v>257</v>
      </c>
      <c r="E1267" s="224" t="str">
        <f>VLOOKUP($B1267,'FRS geographical categories'!$A$2:$C$45,2,FALSE)</f>
        <v>Predominantly Rural</v>
      </c>
      <c r="F1267" s="224" t="str">
        <f>VLOOKUP($B1267,'FRS geographical categories'!$A$2:$C$45,3,FALSE)</f>
        <v>Non-metropolitan</v>
      </c>
      <c r="G1267" s="98">
        <v>1913</v>
      </c>
    </row>
    <row r="1268" spans="1:7" ht="15.5" x14ac:dyDescent="0.35">
      <c r="A1268" s="224" t="s">
        <v>81</v>
      </c>
      <c r="B1268" s="224" t="s">
        <v>44</v>
      </c>
      <c r="C1268" s="224" t="s">
        <v>102</v>
      </c>
      <c r="D1268" s="224" t="s">
        <v>257</v>
      </c>
      <c r="E1268" s="224" t="str">
        <f>VLOOKUP($B1268,'FRS geographical categories'!$A$2:$C$45,2,FALSE)</f>
        <v>Predominantly Urban</v>
      </c>
      <c r="F1268" s="224" t="str">
        <f>VLOOKUP($B1268,'FRS geographical categories'!$A$2:$C$45,3,FALSE)</f>
        <v>Metropolitan</v>
      </c>
      <c r="G1268" s="98">
        <v>30337</v>
      </c>
    </row>
    <row r="1269" spans="1:7" ht="15.5" x14ac:dyDescent="0.35">
      <c r="A1269" s="224" t="s">
        <v>81</v>
      </c>
      <c r="B1269" s="224" t="s">
        <v>44</v>
      </c>
      <c r="C1269" s="224" t="s">
        <v>105</v>
      </c>
      <c r="D1269" s="224" t="s">
        <v>257</v>
      </c>
      <c r="E1269" s="224" t="str">
        <f>VLOOKUP($B1269,'FRS geographical categories'!$A$2:$C$45,2,FALSE)</f>
        <v>Predominantly Urban</v>
      </c>
      <c r="F1269" s="224" t="str">
        <f>VLOOKUP($B1269,'FRS geographical categories'!$A$2:$C$45,3,FALSE)</f>
        <v>Metropolitan</v>
      </c>
      <c r="G1269" s="98">
        <v>0</v>
      </c>
    </row>
    <row r="1270" spans="1:7" ht="15.5" x14ac:dyDescent="0.35">
      <c r="A1270" s="224" t="s">
        <v>81</v>
      </c>
      <c r="B1270" s="224" t="s">
        <v>44</v>
      </c>
      <c r="C1270" s="224" t="s">
        <v>106</v>
      </c>
      <c r="D1270" s="224" t="s">
        <v>257</v>
      </c>
      <c r="E1270" s="224" t="str">
        <f>VLOOKUP($B1270,'FRS geographical categories'!$A$2:$C$45,2,FALSE)</f>
        <v>Predominantly Urban</v>
      </c>
      <c r="F1270" s="224" t="str">
        <f>VLOOKUP($B1270,'FRS geographical categories'!$A$2:$C$45,3,FALSE)</f>
        <v>Metropolitan</v>
      </c>
      <c r="G1270" s="98">
        <v>34780</v>
      </c>
    </row>
    <row r="1271" spans="1:7" ht="15.5" x14ac:dyDescent="0.35">
      <c r="A1271" s="224" t="s">
        <v>81</v>
      </c>
      <c r="B1271" s="224" t="s">
        <v>44</v>
      </c>
      <c r="C1271" s="224" t="s">
        <v>107</v>
      </c>
      <c r="D1271" s="224" t="s">
        <v>257</v>
      </c>
      <c r="E1271" s="224" t="str">
        <f>VLOOKUP($B1271,'FRS geographical categories'!$A$2:$C$45,2,FALSE)</f>
        <v>Predominantly Urban</v>
      </c>
      <c r="F1271" s="224" t="str">
        <f>VLOOKUP($B1271,'FRS geographical categories'!$A$2:$C$45,3,FALSE)</f>
        <v>Metropolitan</v>
      </c>
      <c r="G1271" s="98">
        <v>15</v>
      </c>
    </row>
    <row r="1272" spans="1:7" ht="15.5" x14ac:dyDescent="0.35">
      <c r="A1272" s="224" t="s">
        <v>81</v>
      </c>
      <c r="B1272" s="224" t="s">
        <v>44</v>
      </c>
      <c r="C1272" s="224" t="s">
        <v>108</v>
      </c>
      <c r="D1272" s="224" t="s">
        <v>257</v>
      </c>
      <c r="E1272" s="224" t="str">
        <f>VLOOKUP($B1272,'FRS geographical categories'!$A$2:$C$45,2,FALSE)</f>
        <v>Predominantly Urban</v>
      </c>
      <c r="F1272" s="224" t="str">
        <f>VLOOKUP($B1272,'FRS geographical categories'!$A$2:$C$45,3,FALSE)</f>
        <v>Metropolitan</v>
      </c>
      <c r="G1272" s="98">
        <v>0</v>
      </c>
    </row>
    <row r="1273" spans="1:7" ht="15.5" x14ac:dyDescent="0.35">
      <c r="A1273" s="224" t="s">
        <v>81</v>
      </c>
      <c r="B1273" s="224" t="s">
        <v>44</v>
      </c>
      <c r="C1273" s="224" t="s">
        <v>109</v>
      </c>
      <c r="D1273" s="224" t="s">
        <v>257</v>
      </c>
      <c r="E1273" s="224" t="str">
        <f>VLOOKUP($B1273,'FRS geographical categories'!$A$2:$C$45,2,FALSE)</f>
        <v>Predominantly Urban</v>
      </c>
      <c r="F1273" s="224" t="str">
        <f>VLOOKUP($B1273,'FRS geographical categories'!$A$2:$C$45,3,FALSE)</f>
        <v>Metropolitan</v>
      </c>
      <c r="G1273" s="98">
        <v>0</v>
      </c>
    </row>
    <row r="1274" spans="1:7" ht="15.5" x14ac:dyDescent="0.35">
      <c r="A1274" s="224" t="s">
        <v>81</v>
      </c>
      <c r="B1274" s="224" t="s">
        <v>45</v>
      </c>
      <c r="C1274" s="224" t="s">
        <v>102</v>
      </c>
      <c r="D1274" s="224" t="s">
        <v>257</v>
      </c>
      <c r="E1274" s="224" t="str">
        <f>VLOOKUP($B1274,'FRS geographical categories'!$A$2:$C$45,2,FALSE)</f>
        <v>Significantly Rural</v>
      </c>
      <c r="F1274" s="224" t="str">
        <f>VLOOKUP($B1274,'FRS geographical categories'!$A$2:$C$45,3,FALSE)</f>
        <v>Non-metropolitan</v>
      </c>
      <c r="G1274" s="98">
        <v>0</v>
      </c>
    </row>
    <row r="1275" spans="1:7" ht="15.5" x14ac:dyDescent="0.35">
      <c r="A1275" s="224" t="s">
        <v>81</v>
      </c>
      <c r="B1275" s="224" t="s">
        <v>45</v>
      </c>
      <c r="C1275" s="224" t="s">
        <v>105</v>
      </c>
      <c r="D1275" s="224" t="s">
        <v>257</v>
      </c>
      <c r="E1275" s="224" t="str">
        <f>VLOOKUP($B1275,'FRS geographical categories'!$A$2:$C$45,2,FALSE)</f>
        <v>Significantly Rural</v>
      </c>
      <c r="F1275" s="224" t="str">
        <f>VLOOKUP($B1275,'FRS geographical categories'!$A$2:$C$45,3,FALSE)</f>
        <v>Non-metropolitan</v>
      </c>
      <c r="G1275" s="98">
        <v>0</v>
      </c>
    </row>
    <row r="1276" spans="1:7" ht="15.5" x14ac:dyDescent="0.35">
      <c r="A1276" s="224" t="s">
        <v>81</v>
      </c>
      <c r="B1276" s="224" t="s">
        <v>45</v>
      </c>
      <c r="C1276" s="224" t="s">
        <v>106</v>
      </c>
      <c r="D1276" s="224" t="s">
        <v>257</v>
      </c>
      <c r="E1276" s="224" t="str">
        <f>VLOOKUP($B1276,'FRS geographical categories'!$A$2:$C$45,2,FALSE)</f>
        <v>Significantly Rural</v>
      </c>
      <c r="F1276" s="224" t="str">
        <f>VLOOKUP($B1276,'FRS geographical categories'!$A$2:$C$45,3,FALSE)</f>
        <v>Non-metropolitan</v>
      </c>
      <c r="G1276" s="98">
        <v>0</v>
      </c>
    </row>
    <row r="1277" spans="1:7" ht="15.5" x14ac:dyDescent="0.35">
      <c r="A1277" s="224" t="s">
        <v>81</v>
      </c>
      <c r="B1277" s="224" t="s">
        <v>45</v>
      </c>
      <c r="C1277" s="224" t="s">
        <v>107</v>
      </c>
      <c r="D1277" s="224" t="s">
        <v>257</v>
      </c>
      <c r="E1277" s="224" t="str">
        <f>VLOOKUP($B1277,'FRS geographical categories'!$A$2:$C$45,2,FALSE)</f>
        <v>Significantly Rural</v>
      </c>
      <c r="F1277" s="224" t="str">
        <f>VLOOKUP($B1277,'FRS geographical categories'!$A$2:$C$45,3,FALSE)</f>
        <v>Non-metropolitan</v>
      </c>
      <c r="G1277" s="98">
        <v>0</v>
      </c>
    </row>
    <row r="1278" spans="1:7" ht="15.5" x14ac:dyDescent="0.35">
      <c r="A1278" s="224" t="s">
        <v>81</v>
      </c>
      <c r="B1278" s="224" t="s">
        <v>45</v>
      </c>
      <c r="C1278" s="224" t="s">
        <v>108</v>
      </c>
      <c r="D1278" s="224" t="s">
        <v>257</v>
      </c>
      <c r="E1278" s="224" t="str">
        <f>VLOOKUP($B1278,'FRS geographical categories'!$A$2:$C$45,2,FALSE)</f>
        <v>Significantly Rural</v>
      </c>
      <c r="F1278" s="224" t="str">
        <f>VLOOKUP($B1278,'FRS geographical categories'!$A$2:$C$45,3,FALSE)</f>
        <v>Non-metropolitan</v>
      </c>
      <c r="G1278" s="98">
        <v>0</v>
      </c>
    </row>
    <row r="1279" spans="1:7" ht="15.5" x14ac:dyDescent="0.35">
      <c r="A1279" s="224" t="s">
        <v>81</v>
      </c>
      <c r="B1279" s="224" t="s">
        <v>45</v>
      </c>
      <c r="C1279" s="224" t="s">
        <v>109</v>
      </c>
      <c r="D1279" s="224" t="s">
        <v>257</v>
      </c>
      <c r="E1279" s="224" t="str">
        <f>VLOOKUP($B1279,'FRS geographical categories'!$A$2:$C$45,2,FALSE)</f>
        <v>Significantly Rural</v>
      </c>
      <c r="F1279" s="224" t="str">
        <f>VLOOKUP($B1279,'FRS geographical categories'!$A$2:$C$45,3,FALSE)</f>
        <v>Non-metropolitan</v>
      </c>
      <c r="G1279" s="98">
        <v>0</v>
      </c>
    </row>
    <row r="1280" spans="1:7" ht="15.5" x14ac:dyDescent="0.35">
      <c r="A1280" s="224" t="s">
        <v>81</v>
      </c>
      <c r="B1280" s="224" t="s">
        <v>46</v>
      </c>
      <c r="C1280" s="224" t="s">
        <v>102</v>
      </c>
      <c r="D1280" s="224" t="s">
        <v>257</v>
      </c>
      <c r="E1280" s="224" t="str">
        <f>VLOOKUP($B1280,'FRS geographical categories'!$A$2:$C$45,2,FALSE)</f>
        <v>Predominantly Rural</v>
      </c>
      <c r="F1280" s="224" t="str">
        <f>VLOOKUP($B1280,'FRS geographical categories'!$A$2:$C$45,3,FALSE)</f>
        <v>Non-metropolitan</v>
      </c>
      <c r="G1280" s="98">
        <v>0</v>
      </c>
    </row>
    <row r="1281" spans="1:7" ht="15.5" x14ac:dyDescent="0.35">
      <c r="A1281" s="224" t="s">
        <v>81</v>
      </c>
      <c r="B1281" s="224" t="s">
        <v>46</v>
      </c>
      <c r="C1281" s="224" t="s">
        <v>105</v>
      </c>
      <c r="D1281" s="224" t="s">
        <v>257</v>
      </c>
      <c r="E1281" s="224" t="str">
        <f>VLOOKUP($B1281,'FRS geographical categories'!$A$2:$C$45,2,FALSE)</f>
        <v>Predominantly Rural</v>
      </c>
      <c r="F1281" s="224" t="str">
        <f>VLOOKUP($B1281,'FRS geographical categories'!$A$2:$C$45,3,FALSE)</f>
        <v>Non-metropolitan</v>
      </c>
      <c r="G1281" s="98">
        <v>0</v>
      </c>
    </row>
    <row r="1282" spans="1:7" ht="15.5" x14ac:dyDescent="0.35">
      <c r="A1282" s="224" t="s">
        <v>81</v>
      </c>
      <c r="B1282" s="224" t="s">
        <v>46</v>
      </c>
      <c r="C1282" s="224" t="s">
        <v>106</v>
      </c>
      <c r="D1282" s="224" t="s">
        <v>257</v>
      </c>
      <c r="E1282" s="224" t="str">
        <f>VLOOKUP($B1282,'FRS geographical categories'!$A$2:$C$45,2,FALSE)</f>
        <v>Predominantly Rural</v>
      </c>
      <c r="F1282" s="224" t="str">
        <f>VLOOKUP($B1282,'FRS geographical categories'!$A$2:$C$45,3,FALSE)</f>
        <v>Non-metropolitan</v>
      </c>
      <c r="G1282" s="98">
        <v>1812</v>
      </c>
    </row>
    <row r="1283" spans="1:7" ht="15.5" x14ac:dyDescent="0.35">
      <c r="A1283" s="224" t="s">
        <v>81</v>
      </c>
      <c r="B1283" s="224" t="s">
        <v>46</v>
      </c>
      <c r="C1283" s="224" t="s">
        <v>107</v>
      </c>
      <c r="D1283" s="224" t="s">
        <v>257</v>
      </c>
      <c r="E1283" s="224" t="str">
        <f>VLOOKUP($B1283,'FRS geographical categories'!$A$2:$C$45,2,FALSE)</f>
        <v>Predominantly Rural</v>
      </c>
      <c r="F1283" s="224" t="str">
        <f>VLOOKUP($B1283,'FRS geographical categories'!$A$2:$C$45,3,FALSE)</f>
        <v>Non-metropolitan</v>
      </c>
      <c r="G1283" s="98">
        <v>0</v>
      </c>
    </row>
    <row r="1284" spans="1:7" ht="15.5" x14ac:dyDescent="0.35">
      <c r="A1284" s="224" t="s">
        <v>81</v>
      </c>
      <c r="B1284" s="224" t="s">
        <v>46</v>
      </c>
      <c r="C1284" s="224" t="s">
        <v>108</v>
      </c>
      <c r="D1284" s="224" t="s">
        <v>257</v>
      </c>
      <c r="E1284" s="224" t="str">
        <f>VLOOKUP($B1284,'FRS geographical categories'!$A$2:$C$45,2,FALSE)</f>
        <v>Predominantly Rural</v>
      </c>
      <c r="F1284" s="224" t="str">
        <f>VLOOKUP($B1284,'FRS geographical categories'!$A$2:$C$45,3,FALSE)</f>
        <v>Non-metropolitan</v>
      </c>
      <c r="G1284" s="98">
        <v>1920</v>
      </c>
    </row>
    <row r="1285" spans="1:7" ht="15.5" x14ac:dyDescent="0.35">
      <c r="A1285" s="224" t="s">
        <v>81</v>
      </c>
      <c r="B1285" s="224" t="s">
        <v>46</v>
      </c>
      <c r="C1285" s="224" t="s">
        <v>109</v>
      </c>
      <c r="D1285" s="224" t="s">
        <v>257</v>
      </c>
      <c r="E1285" s="224" t="str">
        <f>VLOOKUP($B1285,'FRS geographical categories'!$A$2:$C$45,2,FALSE)</f>
        <v>Predominantly Rural</v>
      </c>
      <c r="F1285" s="224" t="str">
        <f>VLOOKUP($B1285,'FRS geographical categories'!$A$2:$C$45,3,FALSE)</f>
        <v>Non-metropolitan</v>
      </c>
      <c r="G1285" s="98">
        <v>0</v>
      </c>
    </row>
    <row r="1286" spans="1:7" ht="15.5" x14ac:dyDescent="0.35">
      <c r="A1286" s="224" t="s">
        <v>81</v>
      </c>
      <c r="B1286" s="224" t="s">
        <v>47</v>
      </c>
      <c r="C1286" s="224" t="s">
        <v>102</v>
      </c>
      <c r="D1286" s="224" t="s">
        <v>257</v>
      </c>
      <c r="E1286" s="224" t="str">
        <f>VLOOKUP($B1286,'FRS geographical categories'!$A$2:$C$45,2,FALSE)</f>
        <v>Predominantly Urban</v>
      </c>
      <c r="F1286" s="224" t="str">
        <f>VLOOKUP($B1286,'FRS geographical categories'!$A$2:$C$45,3,FALSE)</f>
        <v>Non-metropolitan</v>
      </c>
      <c r="G1286" s="98">
        <v>2131</v>
      </c>
    </row>
    <row r="1287" spans="1:7" ht="15.5" x14ac:dyDescent="0.35">
      <c r="A1287" s="224" t="s">
        <v>81</v>
      </c>
      <c r="B1287" s="224" t="s">
        <v>47</v>
      </c>
      <c r="C1287" s="224" t="s">
        <v>105</v>
      </c>
      <c r="D1287" s="224" t="s">
        <v>257</v>
      </c>
      <c r="E1287" s="224" t="str">
        <f>VLOOKUP($B1287,'FRS geographical categories'!$A$2:$C$45,2,FALSE)</f>
        <v>Predominantly Urban</v>
      </c>
      <c r="F1287" s="224" t="str">
        <f>VLOOKUP($B1287,'FRS geographical categories'!$A$2:$C$45,3,FALSE)</f>
        <v>Non-metropolitan</v>
      </c>
      <c r="G1287" s="98">
        <v>0</v>
      </c>
    </row>
    <row r="1288" spans="1:7" ht="15.5" x14ac:dyDescent="0.35">
      <c r="A1288" s="224" t="s">
        <v>81</v>
      </c>
      <c r="B1288" s="224" t="s">
        <v>47</v>
      </c>
      <c r="C1288" s="224" t="s">
        <v>106</v>
      </c>
      <c r="D1288" s="224" t="s">
        <v>257</v>
      </c>
      <c r="E1288" s="224" t="str">
        <f>VLOOKUP($B1288,'FRS geographical categories'!$A$2:$C$45,2,FALSE)</f>
        <v>Predominantly Urban</v>
      </c>
      <c r="F1288" s="224" t="str">
        <f>VLOOKUP($B1288,'FRS geographical categories'!$A$2:$C$45,3,FALSE)</f>
        <v>Non-metropolitan</v>
      </c>
      <c r="G1288" s="98">
        <v>5060</v>
      </c>
    </row>
    <row r="1289" spans="1:7" ht="15.5" x14ac:dyDescent="0.35">
      <c r="A1289" s="224" t="s">
        <v>81</v>
      </c>
      <c r="B1289" s="224" t="s">
        <v>47</v>
      </c>
      <c r="C1289" s="224" t="s">
        <v>107</v>
      </c>
      <c r="D1289" s="224" t="s">
        <v>257</v>
      </c>
      <c r="E1289" s="224" t="str">
        <f>VLOOKUP($B1289,'FRS geographical categories'!$A$2:$C$45,2,FALSE)</f>
        <v>Predominantly Urban</v>
      </c>
      <c r="F1289" s="224" t="str">
        <f>VLOOKUP($B1289,'FRS geographical categories'!$A$2:$C$45,3,FALSE)</f>
        <v>Non-metropolitan</v>
      </c>
      <c r="G1289" s="98">
        <v>86</v>
      </c>
    </row>
    <row r="1290" spans="1:7" ht="15.5" x14ac:dyDescent="0.35">
      <c r="A1290" s="224" t="s">
        <v>81</v>
      </c>
      <c r="B1290" s="224" t="s">
        <v>47</v>
      </c>
      <c r="C1290" s="224" t="s">
        <v>108</v>
      </c>
      <c r="D1290" s="224" t="s">
        <v>257</v>
      </c>
      <c r="E1290" s="224" t="str">
        <f>VLOOKUP($B1290,'FRS geographical categories'!$A$2:$C$45,2,FALSE)</f>
        <v>Predominantly Urban</v>
      </c>
      <c r="F1290" s="224" t="str">
        <f>VLOOKUP($B1290,'FRS geographical categories'!$A$2:$C$45,3,FALSE)</f>
        <v>Non-metropolitan</v>
      </c>
      <c r="G1290" s="98">
        <v>0</v>
      </c>
    </row>
    <row r="1291" spans="1:7" ht="15.5" x14ac:dyDescent="0.35">
      <c r="A1291" s="224" t="s">
        <v>81</v>
      </c>
      <c r="B1291" s="224" t="s">
        <v>47</v>
      </c>
      <c r="C1291" s="224" t="s">
        <v>109</v>
      </c>
      <c r="D1291" s="224" t="s">
        <v>257</v>
      </c>
      <c r="E1291" s="224" t="str">
        <f>VLOOKUP($B1291,'FRS geographical categories'!$A$2:$C$45,2,FALSE)</f>
        <v>Predominantly Urban</v>
      </c>
      <c r="F1291" s="224" t="str">
        <f>VLOOKUP($B1291,'FRS geographical categories'!$A$2:$C$45,3,FALSE)</f>
        <v>Non-metropolitan</v>
      </c>
      <c r="G1291" s="98">
        <v>0</v>
      </c>
    </row>
    <row r="1292" spans="1:7" ht="15.5" x14ac:dyDescent="0.35">
      <c r="A1292" s="224" t="s">
        <v>81</v>
      </c>
      <c r="B1292" s="224" t="s">
        <v>48</v>
      </c>
      <c r="C1292" s="224" t="s">
        <v>102</v>
      </c>
      <c r="D1292" s="224" t="s">
        <v>257</v>
      </c>
      <c r="E1292" s="224" t="str">
        <f>VLOOKUP($B1292,'FRS geographical categories'!$A$2:$C$45,2,FALSE)</f>
        <v>Predominantly Urban</v>
      </c>
      <c r="F1292" s="224" t="str">
        <f>VLOOKUP($B1292,'FRS geographical categories'!$A$2:$C$45,3,FALSE)</f>
        <v>Metropolitan</v>
      </c>
      <c r="G1292" s="98">
        <v>0</v>
      </c>
    </row>
    <row r="1293" spans="1:7" ht="15.5" x14ac:dyDescent="0.35">
      <c r="A1293" s="224" t="s">
        <v>81</v>
      </c>
      <c r="B1293" s="224" t="s">
        <v>48</v>
      </c>
      <c r="C1293" s="224" t="s">
        <v>105</v>
      </c>
      <c r="D1293" s="224" t="s">
        <v>257</v>
      </c>
      <c r="E1293" s="224" t="str">
        <f>VLOOKUP($B1293,'FRS geographical categories'!$A$2:$C$45,2,FALSE)</f>
        <v>Predominantly Urban</v>
      </c>
      <c r="F1293" s="224" t="str">
        <f>VLOOKUP($B1293,'FRS geographical categories'!$A$2:$C$45,3,FALSE)</f>
        <v>Metropolitan</v>
      </c>
      <c r="G1293" s="98">
        <v>1646</v>
      </c>
    </row>
    <row r="1294" spans="1:7" ht="15.5" x14ac:dyDescent="0.35">
      <c r="A1294" s="224" t="s">
        <v>81</v>
      </c>
      <c r="B1294" s="224" t="s">
        <v>48</v>
      </c>
      <c r="C1294" s="224" t="s">
        <v>106</v>
      </c>
      <c r="D1294" s="224" t="s">
        <v>257</v>
      </c>
      <c r="E1294" s="224" t="str">
        <f>VLOOKUP($B1294,'FRS geographical categories'!$A$2:$C$45,2,FALSE)</f>
        <v>Predominantly Urban</v>
      </c>
      <c r="F1294" s="224" t="str">
        <f>VLOOKUP($B1294,'FRS geographical categories'!$A$2:$C$45,3,FALSE)</f>
        <v>Metropolitan</v>
      </c>
      <c r="G1294" s="98">
        <v>28494</v>
      </c>
    </row>
    <row r="1295" spans="1:7" ht="15.5" x14ac:dyDescent="0.35">
      <c r="A1295" s="224" t="s">
        <v>81</v>
      </c>
      <c r="B1295" s="224" t="s">
        <v>48</v>
      </c>
      <c r="C1295" s="224" t="s">
        <v>107</v>
      </c>
      <c r="D1295" s="224" t="s">
        <v>257</v>
      </c>
      <c r="E1295" s="224" t="str">
        <f>VLOOKUP($B1295,'FRS geographical categories'!$A$2:$C$45,2,FALSE)</f>
        <v>Predominantly Urban</v>
      </c>
      <c r="F1295" s="224" t="str">
        <f>VLOOKUP($B1295,'FRS geographical categories'!$A$2:$C$45,3,FALSE)</f>
        <v>Metropolitan</v>
      </c>
      <c r="G1295" s="98">
        <v>0</v>
      </c>
    </row>
    <row r="1296" spans="1:7" ht="15.5" x14ac:dyDescent="0.35">
      <c r="A1296" s="224" t="s">
        <v>81</v>
      </c>
      <c r="B1296" s="224" t="s">
        <v>48</v>
      </c>
      <c r="C1296" s="224" t="s">
        <v>108</v>
      </c>
      <c r="D1296" s="224" t="s">
        <v>257</v>
      </c>
      <c r="E1296" s="224" t="str">
        <f>VLOOKUP($B1296,'FRS geographical categories'!$A$2:$C$45,2,FALSE)</f>
        <v>Predominantly Urban</v>
      </c>
      <c r="F1296" s="224" t="str">
        <f>VLOOKUP($B1296,'FRS geographical categories'!$A$2:$C$45,3,FALSE)</f>
        <v>Metropolitan</v>
      </c>
      <c r="G1296" s="98">
        <v>11062</v>
      </c>
    </row>
    <row r="1297" spans="1:7" ht="15.5" x14ac:dyDescent="0.35">
      <c r="A1297" s="224" t="s">
        <v>81</v>
      </c>
      <c r="B1297" s="224" t="s">
        <v>48</v>
      </c>
      <c r="C1297" s="224" t="s">
        <v>109</v>
      </c>
      <c r="D1297" s="224" t="s">
        <v>257</v>
      </c>
      <c r="E1297" s="224" t="str">
        <f>VLOOKUP($B1297,'FRS geographical categories'!$A$2:$C$45,2,FALSE)</f>
        <v>Predominantly Urban</v>
      </c>
      <c r="F1297" s="224" t="str">
        <f>VLOOKUP($B1297,'FRS geographical categories'!$A$2:$C$45,3,FALSE)</f>
        <v>Metropolitan</v>
      </c>
      <c r="G1297" s="98">
        <v>0</v>
      </c>
    </row>
    <row r="1298" spans="1:7" ht="15.5" x14ac:dyDescent="0.35">
      <c r="A1298" s="224" t="s">
        <v>81</v>
      </c>
      <c r="B1298" s="224" t="s">
        <v>49</v>
      </c>
      <c r="C1298" s="224" t="s">
        <v>102</v>
      </c>
      <c r="D1298" s="224" t="s">
        <v>257</v>
      </c>
      <c r="E1298" s="224" t="str">
        <f>VLOOKUP($B1298,'FRS geographical categories'!$A$2:$C$45,2,FALSE)</f>
        <v>Significantly Rural</v>
      </c>
      <c r="F1298" s="224" t="str">
        <f>VLOOKUP($B1298,'FRS geographical categories'!$A$2:$C$45,3,FALSE)</f>
        <v>Non-metropolitan</v>
      </c>
      <c r="G1298" s="98">
        <v>0</v>
      </c>
    </row>
    <row r="1299" spans="1:7" ht="15.5" x14ac:dyDescent="0.35">
      <c r="A1299" s="224" t="s">
        <v>81</v>
      </c>
      <c r="B1299" s="224" t="s">
        <v>49</v>
      </c>
      <c r="C1299" s="224" t="s">
        <v>105</v>
      </c>
      <c r="D1299" s="224" t="s">
        <v>257</v>
      </c>
      <c r="E1299" s="224" t="str">
        <f>VLOOKUP($B1299,'FRS geographical categories'!$A$2:$C$45,2,FALSE)</f>
        <v>Significantly Rural</v>
      </c>
      <c r="F1299" s="224" t="str">
        <f>VLOOKUP($B1299,'FRS geographical categories'!$A$2:$C$45,3,FALSE)</f>
        <v>Non-metropolitan</v>
      </c>
      <c r="G1299" s="98">
        <v>0</v>
      </c>
    </row>
    <row r="1300" spans="1:7" ht="15.5" x14ac:dyDescent="0.35">
      <c r="A1300" s="224" t="s">
        <v>81</v>
      </c>
      <c r="B1300" s="224" t="s">
        <v>49</v>
      </c>
      <c r="C1300" s="224" t="s">
        <v>106</v>
      </c>
      <c r="D1300" s="224" t="s">
        <v>257</v>
      </c>
      <c r="E1300" s="224" t="str">
        <f>VLOOKUP($B1300,'FRS geographical categories'!$A$2:$C$45,2,FALSE)</f>
        <v>Significantly Rural</v>
      </c>
      <c r="F1300" s="224" t="str">
        <f>VLOOKUP($B1300,'FRS geographical categories'!$A$2:$C$45,3,FALSE)</f>
        <v>Non-metropolitan</v>
      </c>
      <c r="G1300" s="98">
        <v>7714</v>
      </c>
    </row>
    <row r="1301" spans="1:7" ht="15.5" x14ac:dyDescent="0.35">
      <c r="A1301" s="224" t="s">
        <v>81</v>
      </c>
      <c r="B1301" s="224" t="s">
        <v>49</v>
      </c>
      <c r="C1301" s="224" t="s">
        <v>107</v>
      </c>
      <c r="D1301" s="224" t="s">
        <v>257</v>
      </c>
      <c r="E1301" s="224" t="str">
        <f>VLOOKUP($B1301,'FRS geographical categories'!$A$2:$C$45,2,FALSE)</f>
        <v>Significantly Rural</v>
      </c>
      <c r="F1301" s="224" t="str">
        <f>VLOOKUP($B1301,'FRS geographical categories'!$A$2:$C$45,3,FALSE)</f>
        <v>Non-metropolitan</v>
      </c>
      <c r="G1301" s="98">
        <v>0</v>
      </c>
    </row>
    <row r="1302" spans="1:7" ht="15.5" x14ac:dyDescent="0.35">
      <c r="A1302" s="224" t="s">
        <v>81</v>
      </c>
      <c r="B1302" s="224" t="s">
        <v>49</v>
      </c>
      <c r="C1302" s="224" t="s">
        <v>108</v>
      </c>
      <c r="D1302" s="224" t="s">
        <v>257</v>
      </c>
      <c r="E1302" s="224" t="str">
        <f>VLOOKUP($B1302,'FRS geographical categories'!$A$2:$C$45,2,FALSE)</f>
        <v>Significantly Rural</v>
      </c>
      <c r="F1302" s="224" t="str">
        <f>VLOOKUP($B1302,'FRS geographical categories'!$A$2:$C$45,3,FALSE)</f>
        <v>Non-metropolitan</v>
      </c>
      <c r="G1302" s="98">
        <v>3338</v>
      </c>
    </row>
    <row r="1303" spans="1:7" ht="15.5" x14ac:dyDescent="0.35">
      <c r="A1303" s="224" t="s">
        <v>81</v>
      </c>
      <c r="B1303" s="224" t="s">
        <v>49</v>
      </c>
      <c r="C1303" s="224" t="s">
        <v>109</v>
      </c>
      <c r="D1303" s="224" t="s">
        <v>257</v>
      </c>
      <c r="E1303" s="224" t="str">
        <f>VLOOKUP($B1303,'FRS geographical categories'!$A$2:$C$45,2,FALSE)</f>
        <v>Significantly Rural</v>
      </c>
      <c r="F1303" s="224" t="str">
        <f>VLOOKUP($B1303,'FRS geographical categories'!$A$2:$C$45,3,FALSE)</f>
        <v>Non-metropolitan</v>
      </c>
      <c r="G1303" s="98">
        <v>0</v>
      </c>
    </row>
    <row r="1304" spans="1:7" ht="15.5" x14ac:dyDescent="0.35">
      <c r="A1304" s="224" t="s">
        <v>81</v>
      </c>
      <c r="B1304" s="224" t="s">
        <v>50</v>
      </c>
      <c r="C1304" s="224" t="s">
        <v>102</v>
      </c>
      <c r="D1304" s="224" t="s">
        <v>257</v>
      </c>
      <c r="E1304" s="224" t="str">
        <f>VLOOKUP($B1304,'FRS geographical categories'!$A$2:$C$45,2,FALSE)</f>
        <v>Predominantly Urban</v>
      </c>
      <c r="F1304" s="224" t="str">
        <f>VLOOKUP($B1304,'FRS geographical categories'!$A$2:$C$45,3,FALSE)</f>
        <v>Metropolitan</v>
      </c>
      <c r="G1304" s="98">
        <v>0</v>
      </c>
    </row>
    <row r="1305" spans="1:7" ht="15.5" x14ac:dyDescent="0.35">
      <c r="A1305" s="224" t="s">
        <v>81</v>
      </c>
      <c r="B1305" s="224" t="s">
        <v>50</v>
      </c>
      <c r="C1305" s="224" t="s">
        <v>105</v>
      </c>
      <c r="D1305" s="224" t="s">
        <v>257</v>
      </c>
      <c r="E1305" s="224" t="str">
        <f>VLOOKUP($B1305,'FRS geographical categories'!$A$2:$C$45,2,FALSE)</f>
        <v>Predominantly Urban</v>
      </c>
      <c r="F1305" s="224" t="str">
        <f>VLOOKUP($B1305,'FRS geographical categories'!$A$2:$C$45,3,FALSE)</f>
        <v>Metropolitan</v>
      </c>
      <c r="G1305" s="98">
        <v>0</v>
      </c>
    </row>
    <row r="1306" spans="1:7" ht="15.5" x14ac:dyDescent="0.35">
      <c r="A1306" s="224" t="s">
        <v>81</v>
      </c>
      <c r="B1306" s="224" t="s">
        <v>50</v>
      </c>
      <c r="C1306" s="224" t="s">
        <v>106</v>
      </c>
      <c r="D1306" s="224" t="s">
        <v>257</v>
      </c>
      <c r="E1306" s="224" t="str">
        <f>VLOOKUP($B1306,'FRS geographical categories'!$A$2:$C$45,2,FALSE)</f>
        <v>Predominantly Urban</v>
      </c>
      <c r="F1306" s="224" t="str">
        <f>VLOOKUP($B1306,'FRS geographical categories'!$A$2:$C$45,3,FALSE)</f>
        <v>Metropolitan</v>
      </c>
      <c r="G1306" s="98">
        <v>131125</v>
      </c>
    </row>
    <row r="1307" spans="1:7" ht="15.5" x14ac:dyDescent="0.35">
      <c r="A1307" s="224" t="s">
        <v>81</v>
      </c>
      <c r="B1307" s="224" t="s">
        <v>50</v>
      </c>
      <c r="C1307" s="224" t="s">
        <v>107</v>
      </c>
      <c r="D1307" s="224" t="s">
        <v>257</v>
      </c>
      <c r="E1307" s="224" t="str">
        <f>VLOOKUP($B1307,'FRS geographical categories'!$A$2:$C$45,2,FALSE)</f>
        <v>Predominantly Urban</v>
      </c>
      <c r="F1307" s="224" t="str">
        <f>VLOOKUP($B1307,'FRS geographical categories'!$A$2:$C$45,3,FALSE)</f>
        <v>Metropolitan</v>
      </c>
      <c r="G1307" s="98">
        <v>0</v>
      </c>
    </row>
    <row r="1308" spans="1:7" ht="15.5" x14ac:dyDescent="0.35">
      <c r="A1308" s="224" t="s">
        <v>81</v>
      </c>
      <c r="B1308" s="224" t="s">
        <v>50</v>
      </c>
      <c r="C1308" s="224" t="s">
        <v>108</v>
      </c>
      <c r="D1308" s="224" t="s">
        <v>257</v>
      </c>
      <c r="E1308" s="224" t="str">
        <f>VLOOKUP($B1308,'FRS geographical categories'!$A$2:$C$45,2,FALSE)</f>
        <v>Predominantly Urban</v>
      </c>
      <c r="F1308" s="224" t="str">
        <f>VLOOKUP($B1308,'FRS geographical categories'!$A$2:$C$45,3,FALSE)</f>
        <v>Metropolitan</v>
      </c>
      <c r="G1308" s="98">
        <v>0</v>
      </c>
    </row>
    <row r="1309" spans="1:7" ht="15.5" x14ac:dyDescent="0.35">
      <c r="A1309" s="224" t="s">
        <v>81</v>
      </c>
      <c r="B1309" s="224" t="s">
        <v>50</v>
      </c>
      <c r="C1309" s="224" t="s">
        <v>109</v>
      </c>
      <c r="D1309" s="224" t="s">
        <v>257</v>
      </c>
      <c r="E1309" s="224" t="str">
        <f>VLOOKUP($B1309,'FRS geographical categories'!$A$2:$C$45,2,FALSE)</f>
        <v>Predominantly Urban</v>
      </c>
      <c r="F1309" s="224" t="str">
        <f>VLOOKUP($B1309,'FRS geographical categories'!$A$2:$C$45,3,FALSE)</f>
        <v>Metropolitan</v>
      </c>
      <c r="G1309" s="98">
        <v>0</v>
      </c>
    </row>
    <row r="1310" spans="1:7" ht="15.5" x14ac:dyDescent="0.35">
      <c r="A1310" s="224" t="s">
        <v>81</v>
      </c>
      <c r="B1310" s="224" t="s">
        <v>51</v>
      </c>
      <c r="C1310" s="224" t="s">
        <v>102</v>
      </c>
      <c r="D1310" s="224" t="s">
        <v>257</v>
      </c>
      <c r="E1310" s="224" t="str">
        <f>VLOOKUP($B1310,'FRS geographical categories'!$A$2:$C$45,2,FALSE)</f>
        <v>Significantly Rural</v>
      </c>
      <c r="F1310" s="224" t="str">
        <f>VLOOKUP($B1310,'FRS geographical categories'!$A$2:$C$45,3,FALSE)</f>
        <v>Non-metropolitan</v>
      </c>
      <c r="G1310" s="98">
        <v>0</v>
      </c>
    </row>
    <row r="1311" spans="1:7" ht="15.5" x14ac:dyDescent="0.35">
      <c r="A1311" s="224" t="s">
        <v>81</v>
      </c>
      <c r="B1311" s="224" t="s">
        <v>51</v>
      </c>
      <c r="C1311" s="224" t="s">
        <v>105</v>
      </c>
      <c r="D1311" s="224" t="s">
        <v>257</v>
      </c>
      <c r="E1311" s="224" t="str">
        <f>VLOOKUP($B1311,'FRS geographical categories'!$A$2:$C$45,2,FALSE)</f>
        <v>Significantly Rural</v>
      </c>
      <c r="F1311" s="224" t="str">
        <f>VLOOKUP($B1311,'FRS geographical categories'!$A$2:$C$45,3,FALSE)</f>
        <v>Non-metropolitan</v>
      </c>
      <c r="G1311" s="98">
        <v>0</v>
      </c>
    </row>
    <row r="1312" spans="1:7" ht="15.5" x14ac:dyDescent="0.35">
      <c r="A1312" s="224" t="s">
        <v>81</v>
      </c>
      <c r="B1312" s="224" t="s">
        <v>51</v>
      </c>
      <c r="C1312" s="224" t="s">
        <v>106</v>
      </c>
      <c r="D1312" s="224" t="s">
        <v>257</v>
      </c>
      <c r="E1312" s="224" t="str">
        <f>VLOOKUP($B1312,'FRS geographical categories'!$A$2:$C$45,2,FALSE)</f>
        <v>Significantly Rural</v>
      </c>
      <c r="F1312" s="224" t="str">
        <f>VLOOKUP($B1312,'FRS geographical categories'!$A$2:$C$45,3,FALSE)</f>
        <v>Non-metropolitan</v>
      </c>
      <c r="G1312" s="98">
        <v>3896</v>
      </c>
    </row>
    <row r="1313" spans="1:7" ht="15.5" x14ac:dyDescent="0.35">
      <c r="A1313" s="224" t="s">
        <v>81</v>
      </c>
      <c r="B1313" s="224" t="s">
        <v>51</v>
      </c>
      <c r="C1313" s="224" t="s">
        <v>107</v>
      </c>
      <c r="D1313" s="224" t="s">
        <v>257</v>
      </c>
      <c r="E1313" s="224" t="str">
        <f>VLOOKUP($B1313,'FRS geographical categories'!$A$2:$C$45,2,FALSE)</f>
        <v>Significantly Rural</v>
      </c>
      <c r="F1313" s="224" t="str">
        <f>VLOOKUP($B1313,'FRS geographical categories'!$A$2:$C$45,3,FALSE)</f>
        <v>Non-metropolitan</v>
      </c>
      <c r="G1313" s="98">
        <v>0</v>
      </c>
    </row>
    <row r="1314" spans="1:7" ht="15.5" x14ac:dyDescent="0.35">
      <c r="A1314" s="224" t="s">
        <v>81</v>
      </c>
      <c r="B1314" s="224" t="s">
        <v>51</v>
      </c>
      <c r="C1314" s="224" t="s">
        <v>108</v>
      </c>
      <c r="D1314" s="224" t="s">
        <v>257</v>
      </c>
      <c r="E1314" s="224" t="str">
        <f>VLOOKUP($B1314,'FRS geographical categories'!$A$2:$C$45,2,FALSE)</f>
        <v>Significantly Rural</v>
      </c>
      <c r="F1314" s="224" t="str">
        <f>VLOOKUP($B1314,'FRS geographical categories'!$A$2:$C$45,3,FALSE)</f>
        <v>Non-metropolitan</v>
      </c>
      <c r="G1314" s="98">
        <v>3469</v>
      </c>
    </row>
    <row r="1315" spans="1:7" ht="15.5" x14ac:dyDescent="0.35">
      <c r="A1315" s="224" t="s">
        <v>81</v>
      </c>
      <c r="B1315" s="224" t="s">
        <v>51</v>
      </c>
      <c r="C1315" s="224" t="s">
        <v>109</v>
      </c>
      <c r="D1315" s="224" t="s">
        <v>257</v>
      </c>
      <c r="E1315" s="224" t="str">
        <f>VLOOKUP($B1315,'FRS geographical categories'!$A$2:$C$45,2,FALSE)</f>
        <v>Significantly Rural</v>
      </c>
      <c r="F1315" s="224" t="str">
        <f>VLOOKUP($B1315,'FRS geographical categories'!$A$2:$C$45,3,FALSE)</f>
        <v>Non-metropolitan</v>
      </c>
      <c r="G1315" s="98">
        <v>0</v>
      </c>
    </row>
    <row r="1316" spans="1:7" ht="15.5" x14ac:dyDescent="0.35">
      <c r="A1316" s="224" t="s">
        <v>81</v>
      </c>
      <c r="B1316" s="224" t="s">
        <v>52</v>
      </c>
      <c r="C1316" s="224" t="s">
        <v>102</v>
      </c>
      <c r="D1316" s="224" t="s">
        <v>257</v>
      </c>
      <c r="E1316" s="224" t="str">
        <f>VLOOKUP($B1316,'FRS geographical categories'!$A$2:$C$45,2,FALSE)</f>
        <v>Predominantly Urban</v>
      </c>
      <c r="F1316" s="224" t="str">
        <f>VLOOKUP($B1316,'FRS geographical categories'!$A$2:$C$45,3,FALSE)</f>
        <v>Metropolitan</v>
      </c>
      <c r="G1316" s="98">
        <v>0</v>
      </c>
    </row>
    <row r="1317" spans="1:7" ht="15.5" x14ac:dyDescent="0.35">
      <c r="A1317" s="224" t="s">
        <v>81</v>
      </c>
      <c r="B1317" s="224" t="s">
        <v>52</v>
      </c>
      <c r="C1317" s="224" t="s">
        <v>105</v>
      </c>
      <c r="D1317" s="224" t="s">
        <v>257</v>
      </c>
      <c r="E1317" s="224" t="str">
        <f>VLOOKUP($B1317,'FRS geographical categories'!$A$2:$C$45,2,FALSE)</f>
        <v>Predominantly Urban</v>
      </c>
      <c r="F1317" s="224" t="str">
        <f>VLOOKUP($B1317,'FRS geographical categories'!$A$2:$C$45,3,FALSE)</f>
        <v>Metropolitan</v>
      </c>
      <c r="G1317" s="98">
        <v>0</v>
      </c>
    </row>
    <row r="1318" spans="1:7" ht="15.5" x14ac:dyDescent="0.35">
      <c r="A1318" s="224" t="s">
        <v>81</v>
      </c>
      <c r="B1318" s="224" t="s">
        <v>52</v>
      </c>
      <c r="C1318" s="224" t="s">
        <v>106</v>
      </c>
      <c r="D1318" s="224" t="s">
        <v>257</v>
      </c>
      <c r="E1318" s="224" t="str">
        <f>VLOOKUP($B1318,'FRS geographical categories'!$A$2:$C$45,2,FALSE)</f>
        <v>Predominantly Urban</v>
      </c>
      <c r="F1318" s="224" t="str">
        <f>VLOOKUP($B1318,'FRS geographical categories'!$A$2:$C$45,3,FALSE)</f>
        <v>Metropolitan</v>
      </c>
      <c r="G1318" s="98">
        <v>32920</v>
      </c>
    </row>
    <row r="1319" spans="1:7" ht="15.5" x14ac:dyDescent="0.35">
      <c r="A1319" s="224" t="s">
        <v>81</v>
      </c>
      <c r="B1319" s="224" t="s">
        <v>52</v>
      </c>
      <c r="C1319" s="224" t="s">
        <v>107</v>
      </c>
      <c r="D1319" s="224" t="s">
        <v>257</v>
      </c>
      <c r="E1319" s="224" t="str">
        <f>VLOOKUP($B1319,'FRS geographical categories'!$A$2:$C$45,2,FALSE)</f>
        <v>Predominantly Urban</v>
      </c>
      <c r="F1319" s="224" t="str">
        <f>VLOOKUP($B1319,'FRS geographical categories'!$A$2:$C$45,3,FALSE)</f>
        <v>Metropolitan</v>
      </c>
      <c r="G1319" s="98">
        <v>0</v>
      </c>
    </row>
    <row r="1320" spans="1:7" ht="15.5" x14ac:dyDescent="0.35">
      <c r="A1320" s="224" t="s">
        <v>81</v>
      </c>
      <c r="B1320" s="224" t="s">
        <v>52</v>
      </c>
      <c r="C1320" s="224" t="s">
        <v>108</v>
      </c>
      <c r="D1320" s="224" t="s">
        <v>257</v>
      </c>
      <c r="E1320" s="224" t="str">
        <f>VLOOKUP($B1320,'FRS geographical categories'!$A$2:$C$45,2,FALSE)</f>
        <v>Predominantly Urban</v>
      </c>
      <c r="F1320" s="224" t="str">
        <f>VLOOKUP($B1320,'FRS geographical categories'!$A$2:$C$45,3,FALSE)</f>
        <v>Metropolitan</v>
      </c>
      <c r="G1320" s="98">
        <v>3301</v>
      </c>
    </row>
    <row r="1321" spans="1:7" ht="15.5" x14ac:dyDescent="0.35">
      <c r="A1321" s="224" t="s">
        <v>81</v>
      </c>
      <c r="B1321" s="224" t="s">
        <v>52</v>
      </c>
      <c r="C1321" s="224" t="s">
        <v>109</v>
      </c>
      <c r="D1321" s="224" t="s">
        <v>257</v>
      </c>
      <c r="E1321" s="224" t="str">
        <f>VLOOKUP($B1321,'FRS geographical categories'!$A$2:$C$45,2,FALSE)</f>
        <v>Predominantly Urban</v>
      </c>
      <c r="F1321" s="224" t="str">
        <f>VLOOKUP($B1321,'FRS geographical categories'!$A$2:$C$45,3,FALSE)</f>
        <v>Metropolitan</v>
      </c>
      <c r="G1321" s="98">
        <v>0</v>
      </c>
    </row>
    <row r="1322" spans="1:7" ht="15.5" x14ac:dyDescent="0.35">
      <c r="A1322" s="224" t="s">
        <v>247</v>
      </c>
      <c r="B1322" s="224" t="s">
        <v>8</v>
      </c>
      <c r="C1322" s="224" t="s">
        <v>102</v>
      </c>
      <c r="D1322" s="224" t="s">
        <v>257</v>
      </c>
      <c r="E1322" s="224" t="str">
        <f>VLOOKUP($B1322,'FRS geographical categories'!$A$2:$C$45,2,FALSE)</f>
        <v>Predominantly Urban</v>
      </c>
      <c r="F1322" s="224" t="str">
        <f>VLOOKUP($B1322,'FRS geographical categories'!$A$2:$C$45,3,FALSE)</f>
        <v>Non-metropolitan</v>
      </c>
      <c r="G1322" s="98">
        <v>3053</v>
      </c>
    </row>
    <row r="1323" spans="1:7" ht="15.5" x14ac:dyDescent="0.35">
      <c r="A1323" s="224" t="s">
        <v>247</v>
      </c>
      <c r="B1323" s="224" t="s">
        <v>8</v>
      </c>
      <c r="C1323" s="224" t="s">
        <v>105</v>
      </c>
      <c r="D1323" s="224" t="s">
        <v>257</v>
      </c>
      <c r="E1323" s="224" t="str">
        <f>VLOOKUP($B1323,'FRS geographical categories'!$A$2:$C$45,2,FALSE)</f>
        <v>Predominantly Urban</v>
      </c>
      <c r="F1323" s="224" t="str">
        <f>VLOOKUP($B1323,'FRS geographical categories'!$A$2:$C$45,3,FALSE)</f>
        <v>Non-metropolitan</v>
      </c>
      <c r="G1323" s="98">
        <v>0</v>
      </c>
    </row>
    <row r="1324" spans="1:7" ht="15.5" x14ac:dyDescent="0.35">
      <c r="A1324" s="224" t="s">
        <v>247</v>
      </c>
      <c r="B1324" s="224" t="s">
        <v>8</v>
      </c>
      <c r="C1324" s="224" t="s">
        <v>106</v>
      </c>
      <c r="D1324" s="224" t="s">
        <v>257</v>
      </c>
      <c r="E1324" s="224" t="str">
        <f>VLOOKUP($B1324,'FRS geographical categories'!$A$2:$C$45,2,FALSE)</f>
        <v>Predominantly Urban</v>
      </c>
      <c r="F1324" s="224" t="str">
        <f>VLOOKUP($B1324,'FRS geographical categories'!$A$2:$C$45,3,FALSE)</f>
        <v>Non-metropolitan</v>
      </c>
      <c r="G1324" s="98">
        <v>4935</v>
      </c>
    </row>
    <row r="1325" spans="1:7" ht="15.5" x14ac:dyDescent="0.35">
      <c r="A1325" s="224" t="s">
        <v>247</v>
      </c>
      <c r="B1325" s="224" t="s">
        <v>8</v>
      </c>
      <c r="C1325" s="224" t="s">
        <v>107</v>
      </c>
      <c r="D1325" s="224" t="s">
        <v>257</v>
      </c>
      <c r="E1325" s="224" t="str">
        <f>VLOOKUP($B1325,'FRS geographical categories'!$A$2:$C$45,2,FALSE)</f>
        <v>Predominantly Urban</v>
      </c>
      <c r="F1325" s="224" t="str">
        <f>VLOOKUP($B1325,'FRS geographical categories'!$A$2:$C$45,3,FALSE)</f>
        <v>Non-metropolitan</v>
      </c>
      <c r="G1325" s="98">
        <v>0</v>
      </c>
    </row>
    <row r="1326" spans="1:7" ht="15.5" x14ac:dyDescent="0.35">
      <c r="A1326" s="224" t="s">
        <v>247</v>
      </c>
      <c r="B1326" s="224" t="s">
        <v>8</v>
      </c>
      <c r="C1326" s="224" t="s">
        <v>108</v>
      </c>
      <c r="D1326" s="224" t="s">
        <v>257</v>
      </c>
      <c r="E1326" s="224" t="str">
        <f>VLOOKUP($B1326,'FRS geographical categories'!$A$2:$C$45,2,FALSE)</f>
        <v>Predominantly Urban</v>
      </c>
      <c r="F1326" s="224" t="str">
        <f>VLOOKUP($B1326,'FRS geographical categories'!$A$2:$C$45,3,FALSE)</f>
        <v>Non-metropolitan</v>
      </c>
      <c r="G1326" s="98">
        <v>0</v>
      </c>
    </row>
    <row r="1327" spans="1:7" ht="15.5" x14ac:dyDescent="0.35">
      <c r="A1327" s="224" t="s">
        <v>247</v>
      </c>
      <c r="B1327" s="224" t="s">
        <v>8</v>
      </c>
      <c r="C1327" s="224" t="s">
        <v>109</v>
      </c>
      <c r="D1327" s="224" t="s">
        <v>257</v>
      </c>
      <c r="E1327" s="224" t="str">
        <f>VLOOKUP($B1327,'FRS geographical categories'!$A$2:$C$45,2,FALSE)</f>
        <v>Predominantly Urban</v>
      </c>
      <c r="F1327" s="224" t="str">
        <f>VLOOKUP($B1327,'FRS geographical categories'!$A$2:$C$45,3,FALSE)</f>
        <v>Non-metropolitan</v>
      </c>
      <c r="G1327" s="98">
        <v>0</v>
      </c>
    </row>
    <row r="1328" spans="1:7" ht="15.5" x14ac:dyDescent="0.35">
      <c r="A1328" s="224" t="s">
        <v>247</v>
      </c>
      <c r="B1328" s="224" t="s">
        <v>11</v>
      </c>
      <c r="C1328" s="224" t="s">
        <v>102</v>
      </c>
      <c r="D1328" s="224" t="s">
        <v>257</v>
      </c>
      <c r="E1328" s="224" t="str">
        <f>VLOOKUP($B1328,'FRS geographical categories'!$A$2:$C$45,2,FALSE)</f>
        <v>Significantly Rural</v>
      </c>
      <c r="F1328" s="224" t="str">
        <f>VLOOKUP($B1328,'FRS geographical categories'!$A$2:$C$45,3,FALSE)</f>
        <v>Non-metropolitan</v>
      </c>
      <c r="G1328" s="98">
        <v>0</v>
      </c>
    </row>
    <row r="1329" spans="1:7" ht="15.5" x14ac:dyDescent="0.35">
      <c r="A1329" s="224" t="s">
        <v>247</v>
      </c>
      <c r="B1329" s="224" t="s">
        <v>11</v>
      </c>
      <c r="C1329" s="224" t="s">
        <v>105</v>
      </c>
      <c r="D1329" s="224" t="s">
        <v>257</v>
      </c>
      <c r="E1329" s="224" t="str">
        <f>VLOOKUP($B1329,'FRS geographical categories'!$A$2:$C$45,2,FALSE)</f>
        <v>Significantly Rural</v>
      </c>
      <c r="F1329" s="224" t="str">
        <f>VLOOKUP($B1329,'FRS geographical categories'!$A$2:$C$45,3,FALSE)</f>
        <v>Non-metropolitan</v>
      </c>
      <c r="G1329" s="98">
        <v>0</v>
      </c>
    </row>
    <row r="1330" spans="1:7" ht="15.5" x14ac:dyDescent="0.35">
      <c r="A1330" s="224" t="s">
        <v>247</v>
      </c>
      <c r="B1330" s="224" t="s">
        <v>11</v>
      </c>
      <c r="C1330" s="224" t="s">
        <v>106</v>
      </c>
      <c r="D1330" s="224" t="s">
        <v>257</v>
      </c>
      <c r="E1330" s="224" t="str">
        <f>VLOOKUP($B1330,'FRS geographical categories'!$A$2:$C$45,2,FALSE)</f>
        <v>Significantly Rural</v>
      </c>
      <c r="F1330" s="224" t="str">
        <f>VLOOKUP($B1330,'FRS geographical categories'!$A$2:$C$45,3,FALSE)</f>
        <v>Non-metropolitan</v>
      </c>
      <c r="G1330" s="98">
        <v>8382</v>
      </c>
    </row>
    <row r="1331" spans="1:7" ht="15.5" x14ac:dyDescent="0.35">
      <c r="A1331" s="224" t="s">
        <v>247</v>
      </c>
      <c r="B1331" s="224" t="s">
        <v>11</v>
      </c>
      <c r="C1331" s="224" t="s">
        <v>107</v>
      </c>
      <c r="D1331" s="224" t="s">
        <v>257</v>
      </c>
      <c r="E1331" s="224" t="str">
        <f>VLOOKUP($B1331,'FRS geographical categories'!$A$2:$C$45,2,FALSE)</f>
        <v>Significantly Rural</v>
      </c>
      <c r="F1331" s="224" t="str">
        <f>VLOOKUP($B1331,'FRS geographical categories'!$A$2:$C$45,3,FALSE)</f>
        <v>Non-metropolitan</v>
      </c>
      <c r="G1331" s="98">
        <v>0</v>
      </c>
    </row>
    <row r="1332" spans="1:7" ht="15.5" x14ac:dyDescent="0.35">
      <c r="A1332" s="224" t="s">
        <v>247</v>
      </c>
      <c r="B1332" s="224" t="s">
        <v>11</v>
      </c>
      <c r="C1332" s="224" t="s">
        <v>108</v>
      </c>
      <c r="D1332" s="224" t="s">
        <v>257</v>
      </c>
      <c r="E1332" s="224" t="str">
        <f>VLOOKUP($B1332,'FRS geographical categories'!$A$2:$C$45,2,FALSE)</f>
        <v>Significantly Rural</v>
      </c>
      <c r="F1332" s="224" t="str">
        <f>VLOOKUP($B1332,'FRS geographical categories'!$A$2:$C$45,3,FALSE)</f>
        <v>Non-metropolitan</v>
      </c>
      <c r="G1332" s="98">
        <v>1980</v>
      </c>
    </row>
    <row r="1333" spans="1:7" ht="15.5" x14ac:dyDescent="0.35">
      <c r="A1333" s="224" t="s">
        <v>247</v>
      </c>
      <c r="B1333" s="224" t="s">
        <v>11</v>
      </c>
      <c r="C1333" s="224" t="s">
        <v>109</v>
      </c>
      <c r="D1333" s="224" t="s">
        <v>257</v>
      </c>
      <c r="E1333" s="224" t="str">
        <f>VLOOKUP($B1333,'FRS geographical categories'!$A$2:$C$45,2,FALSE)</f>
        <v>Significantly Rural</v>
      </c>
      <c r="F1333" s="224" t="str">
        <f>VLOOKUP($B1333,'FRS geographical categories'!$A$2:$C$45,3,FALSE)</f>
        <v>Non-metropolitan</v>
      </c>
      <c r="G1333" s="98">
        <v>0</v>
      </c>
    </row>
    <row r="1334" spans="1:7" ht="15.5" x14ac:dyDescent="0.35">
      <c r="A1334" s="224" t="s">
        <v>247</v>
      </c>
      <c r="B1334" s="224" t="s">
        <v>12</v>
      </c>
      <c r="C1334" s="224" t="s">
        <v>102</v>
      </c>
      <c r="D1334" s="224" t="s">
        <v>257</v>
      </c>
      <c r="E1334" s="224" t="str">
        <f>VLOOKUP($B1334,'FRS geographical categories'!$A$2:$C$45,2,FALSE)</f>
        <v>Predominantly Urban</v>
      </c>
      <c r="F1334" s="224" t="str">
        <f>VLOOKUP($B1334,'FRS geographical categories'!$A$2:$C$45,3,FALSE)</f>
        <v>Non-metropolitan</v>
      </c>
      <c r="G1334" s="98">
        <v>0</v>
      </c>
    </row>
    <row r="1335" spans="1:7" ht="15.5" x14ac:dyDescent="0.35">
      <c r="A1335" s="224" t="s">
        <v>247</v>
      </c>
      <c r="B1335" s="224" t="s">
        <v>12</v>
      </c>
      <c r="C1335" s="224" t="s">
        <v>105</v>
      </c>
      <c r="D1335" s="224" t="s">
        <v>257</v>
      </c>
      <c r="E1335" s="224" t="str">
        <f>VLOOKUP($B1335,'FRS geographical categories'!$A$2:$C$45,2,FALSE)</f>
        <v>Predominantly Urban</v>
      </c>
      <c r="F1335" s="224" t="str">
        <f>VLOOKUP($B1335,'FRS geographical categories'!$A$2:$C$45,3,FALSE)</f>
        <v>Non-metropolitan</v>
      </c>
      <c r="G1335" s="98">
        <v>0</v>
      </c>
    </row>
    <row r="1336" spans="1:7" ht="15.5" x14ac:dyDescent="0.35">
      <c r="A1336" s="224" t="s">
        <v>247</v>
      </c>
      <c r="B1336" s="224" t="s">
        <v>12</v>
      </c>
      <c r="C1336" s="224" t="s">
        <v>106</v>
      </c>
      <c r="D1336" s="224" t="s">
        <v>257</v>
      </c>
      <c r="E1336" s="224" t="str">
        <f>VLOOKUP($B1336,'FRS geographical categories'!$A$2:$C$45,2,FALSE)</f>
        <v>Predominantly Urban</v>
      </c>
      <c r="F1336" s="224" t="str">
        <f>VLOOKUP($B1336,'FRS geographical categories'!$A$2:$C$45,3,FALSE)</f>
        <v>Non-metropolitan</v>
      </c>
      <c r="G1336" s="98">
        <v>7118</v>
      </c>
    </row>
    <row r="1337" spans="1:7" ht="15.5" x14ac:dyDescent="0.35">
      <c r="A1337" s="224" t="s">
        <v>247</v>
      </c>
      <c r="B1337" s="224" t="s">
        <v>12</v>
      </c>
      <c r="C1337" s="224" t="s">
        <v>107</v>
      </c>
      <c r="D1337" s="224" t="s">
        <v>257</v>
      </c>
      <c r="E1337" s="224" t="str">
        <f>VLOOKUP($B1337,'FRS geographical categories'!$A$2:$C$45,2,FALSE)</f>
        <v>Predominantly Urban</v>
      </c>
      <c r="F1337" s="224" t="str">
        <f>VLOOKUP($B1337,'FRS geographical categories'!$A$2:$C$45,3,FALSE)</f>
        <v>Non-metropolitan</v>
      </c>
      <c r="G1337" s="98">
        <v>0</v>
      </c>
    </row>
    <row r="1338" spans="1:7" ht="15.5" x14ac:dyDescent="0.35">
      <c r="A1338" s="224" t="s">
        <v>247</v>
      </c>
      <c r="B1338" s="224" t="s">
        <v>12</v>
      </c>
      <c r="C1338" s="224" t="s">
        <v>108</v>
      </c>
      <c r="D1338" s="224" t="s">
        <v>257</v>
      </c>
      <c r="E1338" s="224" t="str">
        <f>VLOOKUP($B1338,'FRS geographical categories'!$A$2:$C$45,2,FALSE)</f>
        <v>Predominantly Urban</v>
      </c>
      <c r="F1338" s="224" t="str">
        <f>VLOOKUP($B1338,'FRS geographical categories'!$A$2:$C$45,3,FALSE)</f>
        <v>Non-metropolitan</v>
      </c>
      <c r="G1338" s="98">
        <v>2452</v>
      </c>
    </row>
    <row r="1339" spans="1:7" ht="15.5" x14ac:dyDescent="0.35">
      <c r="A1339" s="224" t="s">
        <v>247</v>
      </c>
      <c r="B1339" s="224" t="s">
        <v>12</v>
      </c>
      <c r="C1339" s="224" t="s">
        <v>109</v>
      </c>
      <c r="D1339" s="224" t="s">
        <v>257</v>
      </c>
      <c r="E1339" s="224" t="str">
        <f>VLOOKUP($B1339,'FRS geographical categories'!$A$2:$C$45,2,FALSE)</f>
        <v>Predominantly Urban</v>
      </c>
      <c r="F1339" s="224" t="str">
        <f>VLOOKUP($B1339,'FRS geographical categories'!$A$2:$C$45,3,FALSE)</f>
        <v>Non-metropolitan</v>
      </c>
      <c r="G1339" s="98">
        <v>0</v>
      </c>
    </row>
    <row r="1340" spans="1:7" ht="15.5" x14ac:dyDescent="0.35">
      <c r="A1340" s="224" t="s">
        <v>247</v>
      </c>
      <c r="B1340" s="224" t="s">
        <v>13</v>
      </c>
      <c r="C1340" s="224" t="s">
        <v>102</v>
      </c>
      <c r="D1340" s="224" t="s">
        <v>257</v>
      </c>
      <c r="E1340" s="224" t="str">
        <f>VLOOKUP($B1340,'FRS geographical categories'!$A$2:$C$45,2,FALSE)</f>
        <v>Significantly Rural</v>
      </c>
      <c r="F1340" s="224" t="str">
        <f>VLOOKUP($B1340,'FRS geographical categories'!$A$2:$C$45,3,FALSE)</f>
        <v>Non-metropolitan</v>
      </c>
      <c r="G1340" s="98">
        <v>0</v>
      </c>
    </row>
    <row r="1341" spans="1:7" ht="15.5" x14ac:dyDescent="0.35">
      <c r="A1341" s="224" t="s">
        <v>247</v>
      </c>
      <c r="B1341" s="224" t="s">
        <v>13</v>
      </c>
      <c r="C1341" s="224" t="s">
        <v>105</v>
      </c>
      <c r="D1341" s="224" t="s">
        <v>257</v>
      </c>
      <c r="E1341" s="224" t="str">
        <f>VLOOKUP($B1341,'FRS geographical categories'!$A$2:$C$45,2,FALSE)</f>
        <v>Significantly Rural</v>
      </c>
      <c r="F1341" s="224" t="str">
        <f>VLOOKUP($B1341,'FRS geographical categories'!$A$2:$C$45,3,FALSE)</f>
        <v>Non-metropolitan</v>
      </c>
      <c r="G1341" s="98">
        <v>0</v>
      </c>
    </row>
    <row r="1342" spans="1:7" ht="15.5" x14ac:dyDescent="0.35">
      <c r="A1342" s="224" t="s">
        <v>247</v>
      </c>
      <c r="B1342" s="224" t="s">
        <v>13</v>
      </c>
      <c r="C1342" s="224" t="s">
        <v>106</v>
      </c>
      <c r="D1342" s="224" t="s">
        <v>257</v>
      </c>
      <c r="E1342" s="224" t="str">
        <f>VLOOKUP($B1342,'FRS geographical categories'!$A$2:$C$45,2,FALSE)</f>
        <v>Significantly Rural</v>
      </c>
      <c r="F1342" s="224" t="str">
        <f>VLOOKUP($B1342,'FRS geographical categories'!$A$2:$C$45,3,FALSE)</f>
        <v>Non-metropolitan</v>
      </c>
      <c r="G1342" s="98">
        <v>10653</v>
      </c>
    </row>
    <row r="1343" spans="1:7" ht="15.5" x14ac:dyDescent="0.35">
      <c r="A1343" s="224" t="s">
        <v>247</v>
      </c>
      <c r="B1343" s="224" t="s">
        <v>13</v>
      </c>
      <c r="C1343" s="224" t="s">
        <v>107</v>
      </c>
      <c r="D1343" s="224" t="s">
        <v>257</v>
      </c>
      <c r="E1343" s="224" t="str">
        <f>VLOOKUP($B1343,'FRS geographical categories'!$A$2:$C$45,2,FALSE)</f>
        <v>Significantly Rural</v>
      </c>
      <c r="F1343" s="224" t="str">
        <f>VLOOKUP($B1343,'FRS geographical categories'!$A$2:$C$45,3,FALSE)</f>
        <v>Non-metropolitan</v>
      </c>
      <c r="G1343" s="98">
        <v>0</v>
      </c>
    </row>
    <row r="1344" spans="1:7" ht="15.5" x14ac:dyDescent="0.35">
      <c r="A1344" s="224" t="s">
        <v>247</v>
      </c>
      <c r="B1344" s="224" t="s">
        <v>13</v>
      </c>
      <c r="C1344" s="224" t="s">
        <v>108</v>
      </c>
      <c r="D1344" s="224" t="s">
        <v>257</v>
      </c>
      <c r="E1344" s="224" t="str">
        <f>VLOOKUP($B1344,'FRS geographical categories'!$A$2:$C$45,2,FALSE)</f>
        <v>Significantly Rural</v>
      </c>
      <c r="F1344" s="224" t="str">
        <f>VLOOKUP($B1344,'FRS geographical categories'!$A$2:$C$45,3,FALSE)</f>
        <v>Non-metropolitan</v>
      </c>
      <c r="G1344" s="98">
        <v>932</v>
      </c>
    </row>
    <row r="1345" spans="1:7" ht="15.5" x14ac:dyDescent="0.35">
      <c r="A1345" s="224" t="s">
        <v>247</v>
      </c>
      <c r="B1345" s="224" t="s">
        <v>13</v>
      </c>
      <c r="C1345" s="224" t="s">
        <v>109</v>
      </c>
      <c r="D1345" s="224" t="s">
        <v>257</v>
      </c>
      <c r="E1345" s="224" t="str">
        <f>VLOOKUP($B1345,'FRS geographical categories'!$A$2:$C$45,2,FALSE)</f>
        <v>Significantly Rural</v>
      </c>
      <c r="F1345" s="224" t="str">
        <f>VLOOKUP($B1345,'FRS geographical categories'!$A$2:$C$45,3,FALSE)</f>
        <v>Non-metropolitan</v>
      </c>
      <c r="G1345" s="98">
        <v>102</v>
      </c>
    </row>
    <row r="1346" spans="1:7" ht="15.5" x14ac:dyDescent="0.35">
      <c r="A1346" s="224" t="s">
        <v>247</v>
      </c>
      <c r="B1346" s="224" t="s">
        <v>14</v>
      </c>
      <c r="C1346" s="224" t="s">
        <v>102</v>
      </c>
      <c r="D1346" s="224" t="s">
        <v>257</v>
      </c>
      <c r="E1346" s="224" t="str">
        <f>VLOOKUP($B1346,'FRS geographical categories'!$A$2:$C$45,2,FALSE)</f>
        <v>Predominantly Rural</v>
      </c>
      <c r="F1346" s="224" t="str">
        <f>VLOOKUP($B1346,'FRS geographical categories'!$A$2:$C$45,3,FALSE)</f>
        <v>Non-metropolitan</v>
      </c>
      <c r="G1346" s="98">
        <v>0</v>
      </c>
    </row>
    <row r="1347" spans="1:7" ht="15.5" x14ac:dyDescent="0.35">
      <c r="A1347" s="224" t="s">
        <v>247</v>
      </c>
      <c r="B1347" s="224" t="s">
        <v>14</v>
      </c>
      <c r="C1347" s="224" t="s">
        <v>105</v>
      </c>
      <c r="D1347" s="224" t="s">
        <v>257</v>
      </c>
      <c r="E1347" s="224" t="str">
        <f>VLOOKUP($B1347,'FRS geographical categories'!$A$2:$C$45,2,FALSE)</f>
        <v>Predominantly Rural</v>
      </c>
      <c r="F1347" s="224" t="str">
        <f>VLOOKUP($B1347,'FRS geographical categories'!$A$2:$C$45,3,FALSE)</f>
        <v>Non-metropolitan</v>
      </c>
      <c r="G1347" s="98">
        <v>0</v>
      </c>
    </row>
    <row r="1348" spans="1:7" ht="15.5" x14ac:dyDescent="0.35">
      <c r="A1348" s="224" t="s">
        <v>247</v>
      </c>
      <c r="B1348" s="224" t="s">
        <v>14</v>
      </c>
      <c r="C1348" s="224" t="s">
        <v>106</v>
      </c>
      <c r="D1348" s="224" t="s">
        <v>257</v>
      </c>
      <c r="E1348" s="224" t="str">
        <f>VLOOKUP($B1348,'FRS geographical categories'!$A$2:$C$45,2,FALSE)</f>
        <v>Predominantly Rural</v>
      </c>
      <c r="F1348" s="224" t="str">
        <f>VLOOKUP($B1348,'FRS geographical categories'!$A$2:$C$45,3,FALSE)</f>
        <v>Non-metropolitan</v>
      </c>
      <c r="G1348" s="98">
        <v>12032</v>
      </c>
    </row>
    <row r="1349" spans="1:7" ht="15.5" x14ac:dyDescent="0.35">
      <c r="A1349" s="224" t="s">
        <v>247</v>
      </c>
      <c r="B1349" s="224" t="s">
        <v>14</v>
      </c>
      <c r="C1349" s="224" t="s">
        <v>107</v>
      </c>
      <c r="D1349" s="224" t="s">
        <v>257</v>
      </c>
      <c r="E1349" s="224" t="str">
        <f>VLOOKUP($B1349,'FRS geographical categories'!$A$2:$C$45,2,FALSE)</f>
        <v>Predominantly Rural</v>
      </c>
      <c r="F1349" s="224" t="str">
        <f>VLOOKUP($B1349,'FRS geographical categories'!$A$2:$C$45,3,FALSE)</f>
        <v>Non-metropolitan</v>
      </c>
      <c r="G1349" s="98">
        <v>0</v>
      </c>
    </row>
    <row r="1350" spans="1:7" ht="15.5" x14ac:dyDescent="0.35">
      <c r="A1350" s="224" t="s">
        <v>247</v>
      </c>
      <c r="B1350" s="224" t="s">
        <v>14</v>
      </c>
      <c r="C1350" s="224" t="s">
        <v>108</v>
      </c>
      <c r="D1350" s="224" t="s">
        <v>257</v>
      </c>
      <c r="E1350" s="224" t="str">
        <f>VLOOKUP($B1350,'FRS geographical categories'!$A$2:$C$45,2,FALSE)</f>
        <v>Predominantly Rural</v>
      </c>
      <c r="F1350" s="224" t="str">
        <f>VLOOKUP($B1350,'FRS geographical categories'!$A$2:$C$45,3,FALSE)</f>
        <v>Non-metropolitan</v>
      </c>
      <c r="G1350" s="98">
        <v>2677</v>
      </c>
    </row>
    <row r="1351" spans="1:7" ht="15.5" x14ac:dyDescent="0.35">
      <c r="A1351" s="224" t="s">
        <v>247</v>
      </c>
      <c r="B1351" s="224" t="s">
        <v>14</v>
      </c>
      <c r="C1351" s="224" t="s">
        <v>109</v>
      </c>
      <c r="D1351" s="224" t="s">
        <v>257</v>
      </c>
      <c r="E1351" s="224" t="str">
        <f>VLOOKUP($B1351,'FRS geographical categories'!$A$2:$C$45,2,FALSE)</f>
        <v>Predominantly Rural</v>
      </c>
      <c r="F1351" s="224" t="str">
        <f>VLOOKUP($B1351,'FRS geographical categories'!$A$2:$C$45,3,FALSE)</f>
        <v>Non-metropolitan</v>
      </c>
      <c r="G1351" s="98">
        <v>107</v>
      </c>
    </row>
    <row r="1352" spans="1:7" ht="15.5" x14ac:dyDescent="0.35">
      <c r="A1352" s="224" t="s">
        <v>247</v>
      </c>
      <c r="B1352" s="224" t="s">
        <v>15</v>
      </c>
      <c r="C1352" s="224" t="s">
        <v>102</v>
      </c>
      <c r="D1352" s="224" t="s">
        <v>257</v>
      </c>
      <c r="E1352" s="224" t="str">
        <f>VLOOKUP($B1352,'FRS geographical categories'!$A$2:$C$45,2,FALSE)</f>
        <v>Significantly Rural</v>
      </c>
      <c r="F1352" s="224" t="str">
        <f>VLOOKUP($B1352,'FRS geographical categories'!$A$2:$C$45,3,FALSE)</f>
        <v>Non-metropolitan</v>
      </c>
      <c r="G1352" s="98">
        <v>13221</v>
      </c>
    </row>
    <row r="1353" spans="1:7" ht="15.5" x14ac:dyDescent="0.35">
      <c r="A1353" s="224" t="s">
        <v>247</v>
      </c>
      <c r="B1353" s="224" t="s">
        <v>15</v>
      </c>
      <c r="C1353" s="224" t="s">
        <v>105</v>
      </c>
      <c r="D1353" s="224" t="s">
        <v>257</v>
      </c>
      <c r="E1353" s="224" t="str">
        <f>VLOOKUP($B1353,'FRS geographical categories'!$A$2:$C$45,2,FALSE)</f>
        <v>Significantly Rural</v>
      </c>
      <c r="F1353" s="224" t="str">
        <f>VLOOKUP($B1353,'FRS geographical categories'!$A$2:$C$45,3,FALSE)</f>
        <v>Non-metropolitan</v>
      </c>
      <c r="G1353" s="98">
        <v>0</v>
      </c>
    </row>
    <row r="1354" spans="1:7" ht="15.5" x14ac:dyDescent="0.35">
      <c r="A1354" s="224" t="s">
        <v>247</v>
      </c>
      <c r="B1354" s="224" t="s">
        <v>15</v>
      </c>
      <c r="C1354" s="224" t="s">
        <v>106</v>
      </c>
      <c r="D1354" s="224" t="s">
        <v>257</v>
      </c>
      <c r="E1354" s="224" t="str">
        <f>VLOOKUP($B1354,'FRS geographical categories'!$A$2:$C$45,2,FALSE)</f>
        <v>Significantly Rural</v>
      </c>
      <c r="F1354" s="224" t="str">
        <f>VLOOKUP($B1354,'FRS geographical categories'!$A$2:$C$45,3,FALSE)</f>
        <v>Non-metropolitan</v>
      </c>
      <c r="G1354" s="98">
        <v>14997</v>
      </c>
    </row>
    <row r="1355" spans="1:7" ht="15.5" x14ac:dyDescent="0.35">
      <c r="A1355" s="224" t="s">
        <v>247</v>
      </c>
      <c r="B1355" s="224" t="s">
        <v>15</v>
      </c>
      <c r="C1355" s="224" t="s">
        <v>107</v>
      </c>
      <c r="D1355" s="224" t="s">
        <v>257</v>
      </c>
      <c r="E1355" s="224" t="str">
        <f>VLOOKUP($B1355,'FRS geographical categories'!$A$2:$C$45,2,FALSE)</f>
        <v>Significantly Rural</v>
      </c>
      <c r="F1355" s="224" t="str">
        <f>VLOOKUP($B1355,'FRS geographical categories'!$A$2:$C$45,3,FALSE)</f>
        <v>Non-metropolitan</v>
      </c>
      <c r="G1355" s="98">
        <v>0</v>
      </c>
    </row>
    <row r="1356" spans="1:7" ht="15.5" x14ac:dyDescent="0.35">
      <c r="A1356" s="224" t="s">
        <v>247</v>
      </c>
      <c r="B1356" s="224" t="s">
        <v>15</v>
      </c>
      <c r="C1356" s="224" t="s">
        <v>108</v>
      </c>
      <c r="D1356" s="224" t="s">
        <v>257</v>
      </c>
      <c r="E1356" s="224" t="str">
        <f>VLOOKUP($B1356,'FRS geographical categories'!$A$2:$C$45,2,FALSE)</f>
        <v>Significantly Rural</v>
      </c>
      <c r="F1356" s="224" t="str">
        <f>VLOOKUP($B1356,'FRS geographical categories'!$A$2:$C$45,3,FALSE)</f>
        <v>Non-metropolitan</v>
      </c>
      <c r="G1356" s="98">
        <v>0</v>
      </c>
    </row>
    <row r="1357" spans="1:7" ht="15.5" x14ac:dyDescent="0.35">
      <c r="A1357" s="224" t="s">
        <v>247</v>
      </c>
      <c r="B1357" s="224" t="s">
        <v>15</v>
      </c>
      <c r="C1357" s="224" t="s">
        <v>109</v>
      </c>
      <c r="D1357" s="224" t="s">
        <v>257</v>
      </c>
      <c r="E1357" s="224" t="str">
        <f>VLOOKUP($B1357,'FRS geographical categories'!$A$2:$C$45,2,FALSE)</f>
        <v>Significantly Rural</v>
      </c>
      <c r="F1357" s="224" t="str">
        <f>VLOOKUP($B1357,'FRS geographical categories'!$A$2:$C$45,3,FALSE)</f>
        <v>Non-metropolitan</v>
      </c>
      <c r="G1357" s="98">
        <v>0</v>
      </c>
    </row>
    <row r="1358" spans="1:7" ht="15.5" x14ac:dyDescent="0.35">
      <c r="A1358" s="224" t="s">
        <v>247</v>
      </c>
      <c r="B1358" s="224" t="s">
        <v>16</v>
      </c>
      <c r="C1358" s="224" t="s">
        <v>102</v>
      </c>
      <c r="D1358" s="224" t="s">
        <v>257</v>
      </c>
      <c r="E1358" s="224" t="str">
        <f>VLOOKUP($B1358,'FRS geographical categories'!$A$2:$C$45,2,FALSE)</f>
        <v>Predominantly Urban</v>
      </c>
      <c r="F1358" s="224" t="str">
        <f>VLOOKUP($B1358,'FRS geographical categories'!$A$2:$C$45,3,FALSE)</f>
        <v>Non-metropolitan</v>
      </c>
      <c r="G1358" s="98">
        <v>1522</v>
      </c>
    </row>
    <row r="1359" spans="1:7" ht="15.5" x14ac:dyDescent="0.35">
      <c r="A1359" s="224" t="s">
        <v>247</v>
      </c>
      <c r="B1359" s="224" t="s">
        <v>16</v>
      </c>
      <c r="C1359" s="224" t="s">
        <v>105</v>
      </c>
      <c r="D1359" s="224" t="s">
        <v>257</v>
      </c>
      <c r="E1359" s="224" t="str">
        <f>VLOOKUP($B1359,'FRS geographical categories'!$A$2:$C$45,2,FALSE)</f>
        <v>Predominantly Urban</v>
      </c>
      <c r="F1359" s="224" t="str">
        <f>VLOOKUP($B1359,'FRS geographical categories'!$A$2:$C$45,3,FALSE)</f>
        <v>Non-metropolitan</v>
      </c>
      <c r="G1359" s="98">
        <v>0</v>
      </c>
    </row>
    <row r="1360" spans="1:7" ht="15.5" x14ac:dyDescent="0.35">
      <c r="A1360" s="224" t="s">
        <v>247</v>
      </c>
      <c r="B1360" s="224" t="s">
        <v>16</v>
      </c>
      <c r="C1360" s="224" t="s">
        <v>106</v>
      </c>
      <c r="D1360" s="224" t="s">
        <v>257</v>
      </c>
      <c r="E1360" s="224" t="str">
        <f>VLOOKUP($B1360,'FRS geographical categories'!$A$2:$C$45,2,FALSE)</f>
        <v>Predominantly Urban</v>
      </c>
      <c r="F1360" s="224" t="str">
        <f>VLOOKUP($B1360,'FRS geographical categories'!$A$2:$C$45,3,FALSE)</f>
        <v>Non-metropolitan</v>
      </c>
      <c r="G1360" s="98">
        <v>34126</v>
      </c>
    </row>
    <row r="1361" spans="1:7" ht="15.5" x14ac:dyDescent="0.35">
      <c r="A1361" s="224" t="s">
        <v>247</v>
      </c>
      <c r="B1361" s="224" t="s">
        <v>16</v>
      </c>
      <c r="C1361" s="224" t="s">
        <v>107</v>
      </c>
      <c r="D1361" s="224" t="s">
        <v>257</v>
      </c>
      <c r="E1361" s="224" t="str">
        <f>VLOOKUP($B1361,'FRS geographical categories'!$A$2:$C$45,2,FALSE)</f>
        <v>Predominantly Urban</v>
      </c>
      <c r="F1361" s="224" t="str">
        <f>VLOOKUP($B1361,'FRS geographical categories'!$A$2:$C$45,3,FALSE)</f>
        <v>Non-metropolitan</v>
      </c>
      <c r="G1361" s="98">
        <v>0</v>
      </c>
    </row>
    <row r="1362" spans="1:7" ht="15.5" x14ac:dyDescent="0.35">
      <c r="A1362" s="224" t="s">
        <v>247</v>
      </c>
      <c r="B1362" s="224" t="s">
        <v>16</v>
      </c>
      <c r="C1362" s="224" t="s">
        <v>108</v>
      </c>
      <c r="D1362" s="224" t="s">
        <v>257</v>
      </c>
      <c r="E1362" s="224" t="str">
        <f>VLOOKUP($B1362,'FRS geographical categories'!$A$2:$C$45,2,FALSE)</f>
        <v>Predominantly Urban</v>
      </c>
      <c r="F1362" s="224" t="str">
        <f>VLOOKUP($B1362,'FRS geographical categories'!$A$2:$C$45,3,FALSE)</f>
        <v>Non-metropolitan</v>
      </c>
      <c r="G1362" s="98">
        <v>2796</v>
      </c>
    </row>
    <row r="1363" spans="1:7" ht="15.5" x14ac:dyDescent="0.35">
      <c r="A1363" s="224" t="s">
        <v>247</v>
      </c>
      <c r="B1363" s="224" t="s">
        <v>16</v>
      </c>
      <c r="C1363" s="224" t="s">
        <v>109</v>
      </c>
      <c r="D1363" s="224" t="s">
        <v>257</v>
      </c>
      <c r="E1363" s="224" t="str">
        <f>VLOOKUP($B1363,'FRS geographical categories'!$A$2:$C$45,2,FALSE)</f>
        <v>Predominantly Urban</v>
      </c>
      <c r="F1363" s="224" t="str">
        <f>VLOOKUP($B1363,'FRS geographical categories'!$A$2:$C$45,3,FALSE)</f>
        <v>Non-metropolitan</v>
      </c>
      <c r="G1363" s="98">
        <v>0</v>
      </c>
    </row>
    <row r="1364" spans="1:7" ht="15.5" x14ac:dyDescent="0.35">
      <c r="A1364" s="224" t="s">
        <v>247</v>
      </c>
      <c r="B1364" s="224" t="s">
        <v>17</v>
      </c>
      <c r="C1364" s="224" t="s">
        <v>102</v>
      </c>
      <c r="D1364" s="224" t="s">
        <v>257</v>
      </c>
      <c r="E1364" s="224" t="str">
        <f>VLOOKUP($B1364,'FRS geographical categories'!$A$2:$C$45,2,FALSE)</f>
        <v>Predominantly Rural</v>
      </c>
      <c r="F1364" s="224" t="str">
        <f>VLOOKUP($B1364,'FRS geographical categories'!$A$2:$C$45,3,FALSE)</f>
        <v>Non-metropolitan</v>
      </c>
      <c r="G1364" s="98">
        <v>0</v>
      </c>
    </row>
    <row r="1365" spans="1:7" ht="15.5" x14ac:dyDescent="0.35">
      <c r="A1365" s="224" t="s">
        <v>247</v>
      </c>
      <c r="B1365" s="224" t="s">
        <v>17</v>
      </c>
      <c r="C1365" s="224" t="s">
        <v>105</v>
      </c>
      <c r="D1365" s="224" t="s">
        <v>257</v>
      </c>
      <c r="E1365" s="224" t="str">
        <f>VLOOKUP($B1365,'FRS geographical categories'!$A$2:$C$45,2,FALSE)</f>
        <v>Predominantly Rural</v>
      </c>
      <c r="F1365" s="224" t="str">
        <f>VLOOKUP($B1365,'FRS geographical categories'!$A$2:$C$45,3,FALSE)</f>
        <v>Non-metropolitan</v>
      </c>
      <c r="G1365" s="98">
        <v>0</v>
      </c>
    </row>
    <row r="1366" spans="1:7" ht="15.5" x14ac:dyDescent="0.35">
      <c r="A1366" s="224" t="s">
        <v>247</v>
      </c>
      <c r="B1366" s="224" t="s">
        <v>17</v>
      </c>
      <c r="C1366" s="224" t="s">
        <v>106</v>
      </c>
      <c r="D1366" s="224" t="s">
        <v>257</v>
      </c>
      <c r="E1366" s="224" t="str">
        <f>VLOOKUP($B1366,'FRS geographical categories'!$A$2:$C$45,2,FALSE)</f>
        <v>Predominantly Rural</v>
      </c>
      <c r="F1366" s="224" t="str">
        <f>VLOOKUP($B1366,'FRS geographical categories'!$A$2:$C$45,3,FALSE)</f>
        <v>Non-metropolitan</v>
      </c>
      <c r="G1366" s="98">
        <v>7172</v>
      </c>
    </row>
    <row r="1367" spans="1:7" ht="15.5" x14ac:dyDescent="0.35">
      <c r="A1367" s="224" t="s">
        <v>247</v>
      </c>
      <c r="B1367" s="224" t="s">
        <v>17</v>
      </c>
      <c r="C1367" s="224" t="s">
        <v>107</v>
      </c>
      <c r="D1367" s="224" t="s">
        <v>257</v>
      </c>
      <c r="E1367" s="224" t="str">
        <f>VLOOKUP($B1367,'FRS geographical categories'!$A$2:$C$45,2,FALSE)</f>
        <v>Predominantly Rural</v>
      </c>
      <c r="F1367" s="224" t="str">
        <f>VLOOKUP($B1367,'FRS geographical categories'!$A$2:$C$45,3,FALSE)</f>
        <v>Non-metropolitan</v>
      </c>
      <c r="G1367" s="98">
        <v>0</v>
      </c>
    </row>
    <row r="1368" spans="1:7" ht="15.5" x14ac:dyDescent="0.35">
      <c r="A1368" s="224" t="s">
        <v>247</v>
      </c>
      <c r="B1368" s="224" t="s">
        <v>17</v>
      </c>
      <c r="C1368" s="224" t="s">
        <v>108</v>
      </c>
      <c r="D1368" s="224" t="s">
        <v>257</v>
      </c>
      <c r="E1368" s="224" t="str">
        <f>VLOOKUP($B1368,'FRS geographical categories'!$A$2:$C$45,2,FALSE)</f>
        <v>Predominantly Rural</v>
      </c>
      <c r="F1368" s="224" t="str">
        <f>VLOOKUP($B1368,'FRS geographical categories'!$A$2:$C$45,3,FALSE)</f>
        <v>Non-metropolitan</v>
      </c>
      <c r="G1368" s="98">
        <v>766</v>
      </c>
    </row>
    <row r="1369" spans="1:7" ht="15.5" x14ac:dyDescent="0.35">
      <c r="A1369" s="224" t="s">
        <v>247</v>
      </c>
      <c r="B1369" s="224" t="s">
        <v>17</v>
      </c>
      <c r="C1369" s="224" t="s">
        <v>109</v>
      </c>
      <c r="D1369" s="224" t="s">
        <v>257</v>
      </c>
      <c r="E1369" s="224" t="str">
        <f>VLOOKUP($B1369,'FRS geographical categories'!$A$2:$C$45,2,FALSE)</f>
        <v>Predominantly Rural</v>
      </c>
      <c r="F1369" s="224" t="str">
        <f>VLOOKUP($B1369,'FRS geographical categories'!$A$2:$C$45,3,FALSE)</f>
        <v>Non-metropolitan</v>
      </c>
      <c r="G1369" s="98">
        <v>413</v>
      </c>
    </row>
    <row r="1370" spans="1:7" ht="15.5" x14ac:dyDescent="0.35">
      <c r="A1370" s="224" t="s">
        <v>247</v>
      </c>
      <c r="B1370" s="224" t="s">
        <v>18</v>
      </c>
      <c r="C1370" s="224" t="s">
        <v>102</v>
      </c>
      <c r="D1370" s="224" t="s">
        <v>257</v>
      </c>
      <c r="E1370" s="224" t="str">
        <f>VLOOKUP($B1370,'FRS geographical categories'!$A$2:$C$45,2,FALSE)</f>
        <v>Predominantly Rural</v>
      </c>
      <c r="F1370" s="224" t="str">
        <f>VLOOKUP($B1370,'FRS geographical categories'!$A$2:$C$45,3,FALSE)</f>
        <v>Non-metropolitan</v>
      </c>
      <c r="G1370" s="98">
        <v>1321</v>
      </c>
    </row>
    <row r="1371" spans="1:7" ht="15.5" x14ac:dyDescent="0.35">
      <c r="A1371" s="224" t="s">
        <v>247</v>
      </c>
      <c r="B1371" s="224" t="s">
        <v>18</v>
      </c>
      <c r="C1371" s="224" t="s">
        <v>105</v>
      </c>
      <c r="D1371" s="224" t="s">
        <v>257</v>
      </c>
      <c r="E1371" s="224" t="str">
        <f>VLOOKUP($B1371,'FRS geographical categories'!$A$2:$C$45,2,FALSE)</f>
        <v>Predominantly Rural</v>
      </c>
      <c r="F1371" s="224" t="str">
        <f>VLOOKUP($B1371,'FRS geographical categories'!$A$2:$C$45,3,FALSE)</f>
        <v>Non-metropolitan</v>
      </c>
      <c r="G1371" s="98">
        <v>0</v>
      </c>
    </row>
    <row r="1372" spans="1:7" ht="15.5" x14ac:dyDescent="0.35">
      <c r="A1372" s="224" t="s">
        <v>247</v>
      </c>
      <c r="B1372" s="224" t="s">
        <v>18</v>
      </c>
      <c r="C1372" s="224" t="s">
        <v>106</v>
      </c>
      <c r="D1372" s="224" t="s">
        <v>257</v>
      </c>
      <c r="E1372" s="224" t="str">
        <f>VLOOKUP($B1372,'FRS geographical categories'!$A$2:$C$45,2,FALSE)</f>
        <v>Predominantly Rural</v>
      </c>
      <c r="F1372" s="224" t="str">
        <f>VLOOKUP($B1372,'FRS geographical categories'!$A$2:$C$45,3,FALSE)</f>
        <v>Non-metropolitan</v>
      </c>
      <c r="G1372" s="98">
        <v>12946</v>
      </c>
    </row>
    <row r="1373" spans="1:7" ht="15.5" x14ac:dyDescent="0.35">
      <c r="A1373" s="224" t="s">
        <v>247</v>
      </c>
      <c r="B1373" s="224" t="s">
        <v>18</v>
      </c>
      <c r="C1373" s="224" t="s">
        <v>107</v>
      </c>
      <c r="D1373" s="224" t="s">
        <v>257</v>
      </c>
      <c r="E1373" s="224" t="str">
        <f>VLOOKUP($B1373,'FRS geographical categories'!$A$2:$C$45,2,FALSE)</f>
        <v>Predominantly Rural</v>
      </c>
      <c r="F1373" s="224" t="str">
        <f>VLOOKUP($B1373,'FRS geographical categories'!$A$2:$C$45,3,FALSE)</f>
        <v>Non-metropolitan</v>
      </c>
      <c r="G1373" s="98">
        <v>0</v>
      </c>
    </row>
    <row r="1374" spans="1:7" ht="15.5" x14ac:dyDescent="0.35">
      <c r="A1374" s="224" t="s">
        <v>247</v>
      </c>
      <c r="B1374" s="224" t="s">
        <v>18</v>
      </c>
      <c r="C1374" s="224" t="s">
        <v>108</v>
      </c>
      <c r="D1374" s="224" t="s">
        <v>257</v>
      </c>
      <c r="E1374" s="224" t="str">
        <f>VLOOKUP($B1374,'FRS geographical categories'!$A$2:$C$45,2,FALSE)</f>
        <v>Predominantly Rural</v>
      </c>
      <c r="F1374" s="224" t="str">
        <f>VLOOKUP($B1374,'FRS geographical categories'!$A$2:$C$45,3,FALSE)</f>
        <v>Non-metropolitan</v>
      </c>
      <c r="G1374" s="98">
        <v>0</v>
      </c>
    </row>
    <row r="1375" spans="1:7" ht="15.5" x14ac:dyDescent="0.35">
      <c r="A1375" s="224" t="s">
        <v>247</v>
      </c>
      <c r="B1375" s="224" t="s">
        <v>18</v>
      </c>
      <c r="C1375" s="224" t="s">
        <v>109</v>
      </c>
      <c r="D1375" s="224" t="s">
        <v>257</v>
      </c>
      <c r="E1375" s="224" t="str">
        <f>VLOOKUP($B1375,'FRS geographical categories'!$A$2:$C$45,2,FALSE)</f>
        <v>Predominantly Rural</v>
      </c>
      <c r="F1375" s="224" t="str">
        <f>VLOOKUP($B1375,'FRS geographical categories'!$A$2:$C$45,3,FALSE)</f>
        <v>Non-metropolitan</v>
      </c>
      <c r="G1375" s="98">
        <v>0</v>
      </c>
    </row>
    <row r="1376" spans="1:7" ht="15.5" x14ac:dyDescent="0.35">
      <c r="A1376" s="224" t="s">
        <v>247</v>
      </c>
      <c r="B1376" s="224" t="s">
        <v>19</v>
      </c>
      <c r="C1376" s="224" t="s">
        <v>102</v>
      </c>
      <c r="D1376" s="224" t="s">
        <v>257</v>
      </c>
      <c r="E1376" s="224" t="str">
        <f>VLOOKUP($B1376,'FRS geographical categories'!$A$2:$C$45,2,FALSE)</f>
        <v>Significantly Rural</v>
      </c>
      <c r="F1376" s="224" t="str">
        <f>VLOOKUP($B1376,'FRS geographical categories'!$A$2:$C$45,3,FALSE)</f>
        <v>Non-metropolitan</v>
      </c>
      <c r="G1376" s="98">
        <v>4255</v>
      </c>
    </row>
    <row r="1377" spans="1:7" ht="15.5" x14ac:dyDescent="0.35">
      <c r="A1377" s="224" t="s">
        <v>247</v>
      </c>
      <c r="B1377" s="224" t="s">
        <v>19</v>
      </c>
      <c r="C1377" s="224" t="s">
        <v>105</v>
      </c>
      <c r="D1377" s="224" t="s">
        <v>257</v>
      </c>
      <c r="E1377" s="224" t="str">
        <f>VLOOKUP($B1377,'FRS geographical categories'!$A$2:$C$45,2,FALSE)</f>
        <v>Significantly Rural</v>
      </c>
      <c r="F1377" s="224" t="str">
        <f>VLOOKUP($B1377,'FRS geographical categories'!$A$2:$C$45,3,FALSE)</f>
        <v>Non-metropolitan</v>
      </c>
      <c r="G1377" s="98">
        <v>936</v>
      </c>
    </row>
    <row r="1378" spans="1:7" ht="15.5" x14ac:dyDescent="0.35">
      <c r="A1378" s="224" t="s">
        <v>247</v>
      </c>
      <c r="B1378" s="224" t="s">
        <v>19</v>
      </c>
      <c r="C1378" s="224" t="s">
        <v>106</v>
      </c>
      <c r="D1378" s="224" t="s">
        <v>257</v>
      </c>
      <c r="E1378" s="224" t="str">
        <f>VLOOKUP($B1378,'FRS geographical categories'!$A$2:$C$45,2,FALSE)</f>
        <v>Significantly Rural</v>
      </c>
      <c r="F1378" s="224" t="str">
        <f>VLOOKUP($B1378,'FRS geographical categories'!$A$2:$C$45,3,FALSE)</f>
        <v>Non-metropolitan</v>
      </c>
      <c r="G1378" s="98">
        <v>12364</v>
      </c>
    </row>
    <row r="1379" spans="1:7" ht="15.5" x14ac:dyDescent="0.35">
      <c r="A1379" s="224" t="s">
        <v>247</v>
      </c>
      <c r="B1379" s="224" t="s">
        <v>19</v>
      </c>
      <c r="C1379" s="224" t="s">
        <v>107</v>
      </c>
      <c r="D1379" s="224" t="s">
        <v>257</v>
      </c>
      <c r="E1379" s="224" t="str">
        <f>VLOOKUP($B1379,'FRS geographical categories'!$A$2:$C$45,2,FALSE)</f>
        <v>Significantly Rural</v>
      </c>
      <c r="F1379" s="224" t="str">
        <f>VLOOKUP($B1379,'FRS geographical categories'!$A$2:$C$45,3,FALSE)</f>
        <v>Non-metropolitan</v>
      </c>
      <c r="G1379" s="98">
        <v>0</v>
      </c>
    </row>
    <row r="1380" spans="1:7" ht="15.5" x14ac:dyDescent="0.35">
      <c r="A1380" s="224" t="s">
        <v>247</v>
      </c>
      <c r="B1380" s="224" t="s">
        <v>19</v>
      </c>
      <c r="C1380" s="224" t="s">
        <v>108</v>
      </c>
      <c r="D1380" s="224" t="s">
        <v>257</v>
      </c>
      <c r="E1380" s="224" t="str">
        <f>VLOOKUP($B1380,'FRS geographical categories'!$A$2:$C$45,2,FALSE)</f>
        <v>Significantly Rural</v>
      </c>
      <c r="F1380" s="224" t="str">
        <f>VLOOKUP($B1380,'FRS geographical categories'!$A$2:$C$45,3,FALSE)</f>
        <v>Non-metropolitan</v>
      </c>
      <c r="G1380" s="98">
        <v>249</v>
      </c>
    </row>
    <row r="1381" spans="1:7" ht="15.5" x14ac:dyDescent="0.35">
      <c r="A1381" s="224" t="s">
        <v>247</v>
      </c>
      <c r="B1381" s="224" t="s">
        <v>19</v>
      </c>
      <c r="C1381" s="224" t="s">
        <v>109</v>
      </c>
      <c r="D1381" s="224" t="s">
        <v>257</v>
      </c>
      <c r="E1381" s="224" t="str">
        <f>VLOOKUP($B1381,'FRS geographical categories'!$A$2:$C$45,2,FALSE)</f>
        <v>Significantly Rural</v>
      </c>
      <c r="F1381" s="224" t="str">
        <f>VLOOKUP($B1381,'FRS geographical categories'!$A$2:$C$45,3,FALSE)</f>
        <v>Non-metropolitan</v>
      </c>
      <c r="G1381" s="98">
        <v>0</v>
      </c>
    </row>
    <row r="1382" spans="1:7" ht="15.5" x14ac:dyDescent="0.35">
      <c r="A1382" s="224" t="s">
        <v>247</v>
      </c>
      <c r="B1382" s="224" t="s">
        <v>20</v>
      </c>
      <c r="C1382" s="224" t="s">
        <v>102</v>
      </c>
      <c r="D1382" s="224" t="s">
        <v>257</v>
      </c>
      <c r="E1382" s="224" t="str">
        <f>VLOOKUP($B1382,'FRS geographical categories'!$A$2:$C$45,2,FALSE)</f>
        <v>Predominantly Rural</v>
      </c>
      <c r="F1382" s="224" t="str">
        <f>VLOOKUP($B1382,'FRS geographical categories'!$A$2:$C$45,3,FALSE)</f>
        <v>Non-metropolitan</v>
      </c>
      <c r="G1382" s="98">
        <v>0</v>
      </c>
    </row>
    <row r="1383" spans="1:7" ht="15.5" x14ac:dyDescent="0.35">
      <c r="A1383" s="224" t="s">
        <v>247</v>
      </c>
      <c r="B1383" s="224" t="s">
        <v>20</v>
      </c>
      <c r="C1383" s="224" t="s">
        <v>105</v>
      </c>
      <c r="D1383" s="224" t="s">
        <v>257</v>
      </c>
      <c r="E1383" s="224" t="str">
        <f>VLOOKUP($B1383,'FRS geographical categories'!$A$2:$C$45,2,FALSE)</f>
        <v>Predominantly Rural</v>
      </c>
      <c r="F1383" s="224" t="str">
        <f>VLOOKUP($B1383,'FRS geographical categories'!$A$2:$C$45,3,FALSE)</f>
        <v>Non-metropolitan</v>
      </c>
      <c r="G1383" s="98">
        <v>0</v>
      </c>
    </row>
    <row r="1384" spans="1:7" ht="15.5" x14ac:dyDescent="0.35">
      <c r="A1384" s="224" t="s">
        <v>247</v>
      </c>
      <c r="B1384" s="224" t="s">
        <v>20</v>
      </c>
      <c r="C1384" s="224" t="s">
        <v>106</v>
      </c>
      <c r="D1384" s="224" t="s">
        <v>257</v>
      </c>
      <c r="E1384" s="224" t="str">
        <f>VLOOKUP($B1384,'FRS geographical categories'!$A$2:$C$45,2,FALSE)</f>
        <v>Predominantly Rural</v>
      </c>
      <c r="F1384" s="224" t="str">
        <f>VLOOKUP($B1384,'FRS geographical categories'!$A$2:$C$45,3,FALSE)</f>
        <v>Non-metropolitan</v>
      </c>
      <c r="G1384" s="98">
        <v>9017</v>
      </c>
    </row>
    <row r="1385" spans="1:7" ht="15.5" x14ac:dyDescent="0.35">
      <c r="A1385" s="224" t="s">
        <v>247</v>
      </c>
      <c r="B1385" s="224" t="s">
        <v>20</v>
      </c>
      <c r="C1385" s="224" t="s">
        <v>107</v>
      </c>
      <c r="D1385" s="224" t="s">
        <v>257</v>
      </c>
      <c r="E1385" s="224" t="str">
        <f>VLOOKUP($B1385,'FRS geographical categories'!$A$2:$C$45,2,FALSE)</f>
        <v>Predominantly Rural</v>
      </c>
      <c r="F1385" s="224" t="str">
        <f>VLOOKUP($B1385,'FRS geographical categories'!$A$2:$C$45,3,FALSE)</f>
        <v>Non-metropolitan</v>
      </c>
      <c r="G1385" s="98">
        <v>0</v>
      </c>
    </row>
    <row r="1386" spans="1:7" ht="15.5" x14ac:dyDescent="0.35">
      <c r="A1386" s="224" t="s">
        <v>247</v>
      </c>
      <c r="B1386" s="224" t="s">
        <v>20</v>
      </c>
      <c r="C1386" s="224" t="s">
        <v>108</v>
      </c>
      <c r="D1386" s="224" t="s">
        <v>257</v>
      </c>
      <c r="E1386" s="224" t="str">
        <f>VLOOKUP($B1386,'FRS geographical categories'!$A$2:$C$45,2,FALSE)</f>
        <v>Predominantly Rural</v>
      </c>
      <c r="F1386" s="224" t="str">
        <f>VLOOKUP($B1386,'FRS geographical categories'!$A$2:$C$45,3,FALSE)</f>
        <v>Non-metropolitan</v>
      </c>
      <c r="G1386" s="98">
        <v>10737</v>
      </c>
    </row>
    <row r="1387" spans="1:7" ht="15.5" x14ac:dyDescent="0.35">
      <c r="A1387" s="224" t="s">
        <v>247</v>
      </c>
      <c r="B1387" s="224" t="s">
        <v>20</v>
      </c>
      <c r="C1387" s="224" t="s">
        <v>109</v>
      </c>
      <c r="D1387" s="224" t="s">
        <v>257</v>
      </c>
      <c r="E1387" s="224" t="str">
        <f>VLOOKUP($B1387,'FRS geographical categories'!$A$2:$C$45,2,FALSE)</f>
        <v>Predominantly Rural</v>
      </c>
      <c r="F1387" s="224" t="str">
        <f>VLOOKUP($B1387,'FRS geographical categories'!$A$2:$C$45,3,FALSE)</f>
        <v>Non-metropolitan</v>
      </c>
      <c r="G1387" s="98">
        <v>0</v>
      </c>
    </row>
    <row r="1388" spans="1:7" ht="15.5" x14ac:dyDescent="0.35">
      <c r="A1388" s="224" t="s">
        <v>247</v>
      </c>
      <c r="B1388" s="224" t="s">
        <v>21</v>
      </c>
      <c r="C1388" s="224" t="s">
        <v>102</v>
      </c>
      <c r="D1388" s="224" t="s">
        <v>257</v>
      </c>
      <c r="E1388" s="224" t="str">
        <f>VLOOKUP($B1388,'FRS geographical categories'!$A$2:$C$45,2,FALSE)</f>
        <v>Significantly Rural</v>
      </c>
      <c r="F1388" s="224" t="str">
        <f>VLOOKUP($B1388,'FRS geographical categories'!$A$2:$C$45,3,FALSE)</f>
        <v>Non-metropolitan</v>
      </c>
      <c r="G1388" s="98">
        <v>0</v>
      </c>
    </row>
    <row r="1389" spans="1:7" ht="15.5" x14ac:dyDescent="0.35">
      <c r="A1389" s="224" t="s">
        <v>247</v>
      </c>
      <c r="B1389" s="224" t="s">
        <v>21</v>
      </c>
      <c r="C1389" s="224" t="s">
        <v>105</v>
      </c>
      <c r="D1389" s="224" t="s">
        <v>257</v>
      </c>
      <c r="E1389" s="224" t="str">
        <f>VLOOKUP($B1389,'FRS geographical categories'!$A$2:$C$45,2,FALSE)</f>
        <v>Significantly Rural</v>
      </c>
      <c r="F1389" s="224" t="str">
        <f>VLOOKUP($B1389,'FRS geographical categories'!$A$2:$C$45,3,FALSE)</f>
        <v>Non-metropolitan</v>
      </c>
      <c r="G1389" s="98">
        <v>0</v>
      </c>
    </row>
    <row r="1390" spans="1:7" ht="15.5" x14ac:dyDescent="0.35">
      <c r="A1390" s="224" t="s">
        <v>247</v>
      </c>
      <c r="B1390" s="224" t="s">
        <v>21</v>
      </c>
      <c r="C1390" s="224" t="s">
        <v>106</v>
      </c>
      <c r="D1390" s="224" t="s">
        <v>257</v>
      </c>
      <c r="E1390" s="224" t="str">
        <f>VLOOKUP($B1390,'FRS geographical categories'!$A$2:$C$45,2,FALSE)</f>
        <v>Significantly Rural</v>
      </c>
      <c r="F1390" s="224" t="str">
        <f>VLOOKUP($B1390,'FRS geographical categories'!$A$2:$C$45,3,FALSE)</f>
        <v>Non-metropolitan</v>
      </c>
      <c r="G1390" s="98">
        <v>8506</v>
      </c>
    </row>
    <row r="1391" spans="1:7" ht="15.5" x14ac:dyDescent="0.35">
      <c r="A1391" s="224" t="s">
        <v>247</v>
      </c>
      <c r="B1391" s="224" t="s">
        <v>21</v>
      </c>
      <c r="C1391" s="224" t="s">
        <v>107</v>
      </c>
      <c r="D1391" s="224" t="s">
        <v>257</v>
      </c>
      <c r="E1391" s="224" t="str">
        <f>VLOOKUP($B1391,'FRS geographical categories'!$A$2:$C$45,2,FALSE)</f>
        <v>Significantly Rural</v>
      </c>
      <c r="F1391" s="224" t="str">
        <f>VLOOKUP($B1391,'FRS geographical categories'!$A$2:$C$45,3,FALSE)</f>
        <v>Non-metropolitan</v>
      </c>
      <c r="G1391" s="98">
        <v>0</v>
      </c>
    </row>
    <row r="1392" spans="1:7" ht="15.5" x14ac:dyDescent="0.35">
      <c r="A1392" s="224" t="s">
        <v>247</v>
      </c>
      <c r="B1392" s="224" t="s">
        <v>21</v>
      </c>
      <c r="C1392" s="224" t="s">
        <v>108</v>
      </c>
      <c r="D1392" s="224" t="s">
        <v>257</v>
      </c>
      <c r="E1392" s="224" t="str">
        <f>VLOOKUP($B1392,'FRS geographical categories'!$A$2:$C$45,2,FALSE)</f>
        <v>Significantly Rural</v>
      </c>
      <c r="F1392" s="224" t="str">
        <f>VLOOKUP($B1392,'FRS geographical categories'!$A$2:$C$45,3,FALSE)</f>
        <v>Non-metropolitan</v>
      </c>
      <c r="G1392" s="98">
        <v>3477</v>
      </c>
    </row>
    <row r="1393" spans="1:7" ht="15.5" x14ac:dyDescent="0.35">
      <c r="A1393" s="224" t="s">
        <v>247</v>
      </c>
      <c r="B1393" s="224" t="s">
        <v>21</v>
      </c>
      <c r="C1393" s="224" t="s">
        <v>109</v>
      </c>
      <c r="D1393" s="224" t="s">
        <v>257</v>
      </c>
      <c r="E1393" s="224" t="str">
        <f>VLOOKUP($B1393,'FRS geographical categories'!$A$2:$C$45,2,FALSE)</f>
        <v>Significantly Rural</v>
      </c>
      <c r="F1393" s="224" t="str">
        <f>VLOOKUP($B1393,'FRS geographical categories'!$A$2:$C$45,3,FALSE)</f>
        <v>Non-metropolitan</v>
      </c>
      <c r="G1393" s="98">
        <v>0</v>
      </c>
    </row>
    <row r="1394" spans="1:7" ht="15.5" x14ac:dyDescent="0.35">
      <c r="A1394" s="224" t="s">
        <v>247</v>
      </c>
      <c r="B1394" s="224" t="s">
        <v>22</v>
      </c>
      <c r="C1394" s="224" t="s">
        <v>102</v>
      </c>
      <c r="D1394" s="224" t="s">
        <v>257</v>
      </c>
      <c r="E1394" s="224" t="str">
        <f>VLOOKUP($B1394,'FRS geographical categories'!$A$2:$C$45,2,FALSE)</f>
        <v>Predominantly Rural</v>
      </c>
      <c r="F1394" s="224" t="str">
        <f>VLOOKUP($B1394,'FRS geographical categories'!$A$2:$C$45,3,FALSE)</f>
        <v>Non-metropolitan</v>
      </c>
      <c r="G1394" s="98">
        <v>0</v>
      </c>
    </row>
    <row r="1395" spans="1:7" ht="15.5" x14ac:dyDescent="0.35">
      <c r="A1395" s="224" t="s">
        <v>247</v>
      </c>
      <c r="B1395" s="224" t="s">
        <v>22</v>
      </c>
      <c r="C1395" s="224" t="s">
        <v>105</v>
      </c>
      <c r="D1395" s="224" t="s">
        <v>257</v>
      </c>
      <c r="E1395" s="224" t="str">
        <f>VLOOKUP($B1395,'FRS geographical categories'!$A$2:$C$45,2,FALSE)</f>
        <v>Predominantly Rural</v>
      </c>
      <c r="F1395" s="224" t="str">
        <f>VLOOKUP($B1395,'FRS geographical categories'!$A$2:$C$45,3,FALSE)</f>
        <v>Non-metropolitan</v>
      </c>
      <c r="G1395" s="98">
        <v>0</v>
      </c>
    </row>
    <row r="1396" spans="1:7" ht="15.5" x14ac:dyDescent="0.35">
      <c r="A1396" s="224" t="s">
        <v>247</v>
      </c>
      <c r="B1396" s="224" t="s">
        <v>22</v>
      </c>
      <c r="C1396" s="224" t="s">
        <v>106</v>
      </c>
      <c r="D1396" s="224" t="s">
        <v>257</v>
      </c>
      <c r="E1396" s="224" t="str">
        <f>VLOOKUP($B1396,'FRS geographical categories'!$A$2:$C$45,2,FALSE)</f>
        <v>Predominantly Rural</v>
      </c>
      <c r="F1396" s="224" t="str">
        <f>VLOOKUP($B1396,'FRS geographical categories'!$A$2:$C$45,3,FALSE)</f>
        <v>Non-metropolitan</v>
      </c>
      <c r="G1396" s="98">
        <v>35106</v>
      </c>
    </row>
    <row r="1397" spans="1:7" ht="15.5" x14ac:dyDescent="0.35">
      <c r="A1397" s="224" t="s">
        <v>247</v>
      </c>
      <c r="B1397" s="224" t="s">
        <v>22</v>
      </c>
      <c r="C1397" s="224" t="s">
        <v>107</v>
      </c>
      <c r="D1397" s="224" t="s">
        <v>257</v>
      </c>
      <c r="E1397" s="224" t="str">
        <f>VLOOKUP($B1397,'FRS geographical categories'!$A$2:$C$45,2,FALSE)</f>
        <v>Predominantly Rural</v>
      </c>
      <c r="F1397" s="224" t="str">
        <f>VLOOKUP($B1397,'FRS geographical categories'!$A$2:$C$45,3,FALSE)</f>
        <v>Non-metropolitan</v>
      </c>
      <c r="G1397" s="98">
        <v>0</v>
      </c>
    </row>
    <row r="1398" spans="1:7" ht="15.5" x14ac:dyDescent="0.35">
      <c r="A1398" s="224" t="s">
        <v>247</v>
      </c>
      <c r="B1398" s="224" t="s">
        <v>22</v>
      </c>
      <c r="C1398" s="224" t="s">
        <v>108</v>
      </c>
      <c r="D1398" s="224" t="s">
        <v>257</v>
      </c>
      <c r="E1398" s="224" t="str">
        <f>VLOOKUP($B1398,'FRS geographical categories'!$A$2:$C$45,2,FALSE)</f>
        <v>Predominantly Rural</v>
      </c>
      <c r="F1398" s="224" t="str">
        <f>VLOOKUP($B1398,'FRS geographical categories'!$A$2:$C$45,3,FALSE)</f>
        <v>Non-metropolitan</v>
      </c>
      <c r="G1398" s="98">
        <v>867</v>
      </c>
    </row>
    <row r="1399" spans="1:7" ht="15.5" x14ac:dyDescent="0.35">
      <c r="A1399" s="224" t="s">
        <v>247</v>
      </c>
      <c r="B1399" s="224" t="s">
        <v>22</v>
      </c>
      <c r="C1399" s="224" t="s">
        <v>109</v>
      </c>
      <c r="D1399" s="224" t="s">
        <v>257</v>
      </c>
      <c r="E1399" s="224" t="str">
        <f>VLOOKUP($B1399,'FRS geographical categories'!$A$2:$C$45,2,FALSE)</f>
        <v>Predominantly Rural</v>
      </c>
      <c r="F1399" s="224" t="str">
        <f>VLOOKUP($B1399,'FRS geographical categories'!$A$2:$C$45,3,FALSE)</f>
        <v>Non-metropolitan</v>
      </c>
      <c r="G1399" s="98">
        <v>0</v>
      </c>
    </row>
    <row r="1400" spans="1:7" ht="15.5" x14ac:dyDescent="0.35">
      <c r="A1400" s="224" t="s">
        <v>247</v>
      </c>
      <c r="B1400" s="224" t="s">
        <v>23</v>
      </c>
      <c r="C1400" s="224" t="s">
        <v>102</v>
      </c>
      <c r="D1400" s="224" t="s">
        <v>257</v>
      </c>
      <c r="E1400" s="224" t="str">
        <f>VLOOKUP($B1400,'FRS geographical categories'!$A$2:$C$45,2,FALSE)</f>
        <v>Significantly Rural</v>
      </c>
      <c r="F1400" s="224" t="str">
        <f>VLOOKUP($B1400,'FRS geographical categories'!$A$2:$C$45,3,FALSE)</f>
        <v>Non-metropolitan</v>
      </c>
      <c r="G1400" s="98">
        <v>5714</v>
      </c>
    </row>
    <row r="1401" spans="1:7" ht="15.5" x14ac:dyDescent="0.35">
      <c r="A1401" s="224" t="s">
        <v>247</v>
      </c>
      <c r="B1401" s="224" t="s">
        <v>23</v>
      </c>
      <c r="C1401" s="224" t="s">
        <v>105</v>
      </c>
      <c r="D1401" s="224" t="s">
        <v>257</v>
      </c>
      <c r="E1401" s="224" t="str">
        <f>VLOOKUP($B1401,'FRS geographical categories'!$A$2:$C$45,2,FALSE)</f>
        <v>Significantly Rural</v>
      </c>
      <c r="F1401" s="224" t="str">
        <f>VLOOKUP($B1401,'FRS geographical categories'!$A$2:$C$45,3,FALSE)</f>
        <v>Non-metropolitan</v>
      </c>
      <c r="G1401" s="98">
        <v>0</v>
      </c>
    </row>
    <row r="1402" spans="1:7" ht="15.5" x14ac:dyDescent="0.35">
      <c r="A1402" s="224" t="s">
        <v>247</v>
      </c>
      <c r="B1402" s="224" t="s">
        <v>23</v>
      </c>
      <c r="C1402" s="224" t="s">
        <v>106</v>
      </c>
      <c r="D1402" s="224" t="s">
        <v>257</v>
      </c>
      <c r="E1402" s="224" t="str">
        <f>VLOOKUP($B1402,'FRS geographical categories'!$A$2:$C$45,2,FALSE)</f>
        <v>Significantly Rural</v>
      </c>
      <c r="F1402" s="224" t="str">
        <f>VLOOKUP($B1402,'FRS geographical categories'!$A$2:$C$45,3,FALSE)</f>
        <v>Non-metropolitan</v>
      </c>
      <c r="G1402" s="98">
        <v>12436</v>
      </c>
    </row>
    <row r="1403" spans="1:7" ht="15.5" x14ac:dyDescent="0.35">
      <c r="A1403" s="224" t="s">
        <v>247</v>
      </c>
      <c r="B1403" s="224" t="s">
        <v>23</v>
      </c>
      <c r="C1403" s="224" t="s">
        <v>107</v>
      </c>
      <c r="D1403" s="224" t="s">
        <v>257</v>
      </c>
      <c r="E1403" s="224" t="str">
        <f>VLOOKUP($B1403,'FRS geographical categories'!$A$2:$C$45,2,FALSE)</f>
        <v>Significantly Rural</v>
      </c>
      <c r="F1403" s="224" t="str">
        <f>VLOOKUP($B1403,'FRS geographical categories'!$A$2:$C$45,3,FALSE)</f>
        <v>Non-metropolitan</v>
      </c>
      <c r="G1403" s="98">
        <v>0</v>
      </c>
    </row>
    <row r="1404" spans="1:7" ht="15.5" x14ac:dyDescent="0.35">
      <c r="A1404" s="224" t="s">
        <v>247</v>
      </c>
      <c r="B1404" s="224" t="s">
        <v>23</v>
      </c>
      <c r="C1404" s="224" t="s">
        <v>108</v>
      </c>
      <c r="D1404" s="224" t="s">
        <v>257</v>
      </c>
      <c r="E1404" s="224" t="str">
        <f>VLOOKUP($B1404,'FRS geographical categories'!$A$2:$C$45,2,FALSE)</f>
        <v>Significantly Rural</v>
      </c>
      <c r="F1404" s="224" t="str">
        <f>VLOOKUP($B1404,'FRS geographical categories'!$A$2:$C$45,3,FALSE)</f>
        <v>Non-metropolitan</v>
      </c>
      <c r="G1404" s="98">
        <v>0</v>
      </c>
    </row>
    <row r="1405" spans="1:7" ht="15.5" x14ac:dyDescent="0.35">
      <c r="A1405" s="224" t="s">
        <v>247</v>
      </c>
      <c r="B1405" s="224" t="s">
        <v>23</v>
      </c>
      <c r="C1405" s="224" t="s">
        <v>109</v>
      </c>
      <c r="D1405" s="224" t="s">
        <v>257</v>
      </c>
      <c r="E1405" s="224" t="str">
        <f>VLOOKUP($B1405,'FRS geographical categories'!$A$2:$C$45,2,FALSE)</f>
        <v>Significantly Rural</v>
      </c>
      <c r="F1405" s="224" t="str">
        <f>VLOOKUP($B1405,'FRS geographical categories'!$A$2:$C$45,3,FALSE)</f>
        <v>Non-metropolitan</v>
      </c>
      <c r="G1405" s="98">
        <v>0</v>
      </c>
    </row>
    <row r="1406" spans="1:7" ht="15.5" x14ac:dyDescent="0.35">
      <c r="A1406" s="224" t="s">
        <v>247</v>
      </c>
      <c r="B1406" s="224" t="s">
        <v>24</v>
      </c>
      <c r="C1406" s="224" t="s">
        <v>102</v>
      </c>
      <c r="D1406" s="224" t="s">
        <v>257</v>
      </c>
      <c r="E1406" s="224" t="str">
        <f>VLOOKUP($B1406,'FRS geographical categories'!$A$2:$C$45,2,FALSE)</f>
        <v>Significantly Rural</v>
      </c>
      <c r="F1406" s="224" t="str">
        <f>VLOOKUP($B1406,'FRS geographical categories'!$A$2:$C$45,3,FALSE)</f>
        <v>Non-metropolitan</v>
      </c>
      <c r="G1406" s="98">
        <v>0</v>
      </c>
    </row>
    <row r="1407" spans="1:7" ht="15.5" x14ac:dyDescent="0.35">
      <c r="A1407" s="224" t="s">
        <v>247</v>
      </c>
      <c r="B1407" s="224" t="s">
        <v>24</v>
      </c>
      <c r="C1407" s="224" t="s">
        <v>105</v>
      </c>
      <c r="D1407" s="224" t="s">
        <v>257</v>
      </c>
      <c r="E1407" s="224" t="str">
        <f>VLOOKUP($B1407,'FRS geographical categories'!$A$2:$C$45,2,FALSE)</f>
        <v>Significantly Rural</v>
      </c>
      <c r="F1407" s="224" t="str">
        <f>VLOOKUP($B1407,'FRS geographical categories'!$A$2:$C$45,3,FALSE)</f>
        <v>Non-metropolitan</v>
      </c>
      <c r="G1407" s="98">
        <v>0</v>
      </c>
    </row>
    <row r="1408" spans="1:7" ht="15.5" x14ac:dyDescent="0.35">
      <c r="A1408" s="224" t="s">
        <v>247</v>
      </c>
      <c r="B1408" s="224" t="s">
        <v>24</v>
      </c>
      <c r="C1408" s="224" t="s">
        <v>106</v>
      </c>
      <c r="D1408" s="224" t="s">
        <v>257</v>
      </c>
      <c r="E1408" s="224" t="str">
        <f>VLOOKUP($B1408,'FRS geographical categories'!$A$2:$C$45,2,FALSE)</f>
        <v>Significantly Rural</v>
      </c>
      <c r="F1408" s="224" t="str">
        <f>VLOOKUP($B1408,'FRS geographical categories'!$A$2:$C$45,3,FALSE)</f>
        <v>Non-metropolitan</v>
      </c>
      <c r="G1408" s="98">
        <v>6846</v>
      </c>
    </row>
    <row r="1409" spans="1:7" ht="15.5" x14ac:dyDescent="0.35">
      <c r="A1409" s="224" t="s">
        <v>247</v>
      </c>
      <c r="B1409" s="224" t="s">
        <v>24</v>
      </c>
      <c r="C1409" s="224" t="s">
        <v>107</v>
      </c>
      <c r="D1409" s="224" t="s">
        <v>257</v>
      </c>
      <c r="E1409" s="224" t="str">
        <f>VLOOKUP($B1409,'FRS geographical categories'!$A$2:$C$45,2,FALSE)</f>
        <v>Significantly Rural</v>
      </c>
      <c r="F1409" s="224" t="str">
        <f>VLOOKUP($B1409,'FRS geographical categories'!$A$2:$C$45,3,FALSE)</f>
        <v>Non-metropolitan</v>
      </c>
      <c r="G1409" s="98">
        <v>427</v>
      </c>
    </row>
    <row r="1410" spans="1:7" ht="15.5" x14ac:dyDescent="0.35">
      <c r="A1410" s="224" t="s">
        <v>247</v>
      </c>
      <c r="B1410" s="224" t="s">
        <v>24</v>
      </c>
      <c r="C1410" s="224" t="s">
        <v>108</v>
      </c>
      <c r="D1410" s="224" t="s">
        <v>257</v>
      </c>
      <c r="E1410" s="224" t="str">
        <f>VLOOKUP($B1410,'FRS geographical categories'!$A$2:$C$45,2,FALSE)</f>
        <v>Significantly Rural</v>
      </c>
      <c r="F1410" s="224" t="str">
        <f>VLOOKUP($B1410,'FRS geographical categories'!$A$2:$C$45,3,FALSE)</f>
        <v>Non-metropolitan</v>
      </c>
      <c r="G1410" s="98">
        <v>6261</v>
      </c>
    </row>
    <row r="1411" spans="1:7" ht="15.5" x14ac:dyDescent="0.35">
      <c r="A1411" s="224" t="s">
        <v>247</v>
      </c>
      <c r="B1411" s="224" t="s">
        <v>24</v>
      </c>
      <c r="C1411" s="224" t="s">
        <v>109</v>
      </c>
      <c r="D1411" s="224" t="s">
        <v>257</v>
      </c>
      <c r="E1411" s="224" t="str">
        <f>VLOOKUP($B1411,'FRS geographical categories'!$A$2:$C$45,2,FALSE)</f>
        <v>Significantly Rural</v>
      </c>
      <c r="F1411" s="224" t="str">
        <f>VLOOKUP($B1411,'FRS geographical categories'!$A$2:$C$45,3,FALSE)</f>
        <v>Non-metropolitan</v>
      </c>
      <c r="G1411" s="98">
        <v>0</v>
      </c>
    </row>
    <row r="1412" spans="1:7" ht="15.5" x14ac:dyDescent="0.35">
      <c r="A1412" s="224" t="s">
        <v>247</v>
      </c>
      <c r="B1412" s="224" t="s">
        <v>25</v>
      </c>
      <c r="C1412" s="224" t="s">
        <v>102</v>
      </c>
      <c r="D1412" s="224" t="s">
        <v>257</v>
      </c>
      <c r="E1412" s="224" t="str">
        <f>VLOOKUP($B1412,'FRS geographical categories'!$A$2:$C$45,2,FALSE)</f>
        <v>Significantly Rural</v>
      </c>
      <c r="F1412" s="224" t="str">
        <f>VLOOKUP($B1412,'FRS geographical categories'!$A$2:$C$45,3,FALSE)</f>
        <v>Non-metropolitan</v>
      </c>
      <c r="G1412" s="98">
        <v>0</v>
      </c>
    </row>
    <row r="1413" spans="1:7" ht="15.5" x14ac:dyDescent="0.35">
      <c r="A1413" s="224" t="s">
        <v>247</v>
      </c>
      <c r="B1413" s="224" t="s">
        <v>25</v>
      </c>
      <c r="C1413" s="224" t="s">
        <v>105</v>
      </c>
      <c r="D1413" s="224" t="s">
        <v>257</v>
      </c>
      <c r="E1413" s="224" t="str">
        <f>VLOOKUP($B1413,'FRS geographical categories'!$A$2:$C$45,2,FALSE)</f>
        <v>Significantly Rural</v>
      </c>
      <c r="F1413" s="224" t="str">
        <f>VLOOKUP($B1413,'FRS geographical categories'!$A$2:$C$45,3,FALSE)</f>
        <v>Non-metropolitan</v>
      </c>
      <c r="G1413" s="98">
        <v>0</v>
      </c>
    </row>
    <row r="1414" spans="1:7" ht="15.5" x14ac:dyDescent="0.35">
      <c r="A1414" s="224" t="s">
        <v>247</v>
      </c>
      <c r="B1414" s="224" t="s">
        <v>25</v>
      </c>
      <c r="C1414" s="224" t="s">
        <v>106</v>
      </c>
      <c r="D1414" s="224" t="s">
        <v>257</v>
      </c>
      <c r="E1414" s="224" t="str">
        <f>VLOOKUP($B1414,'FRS geographical categories'!$A$2:$C$45,2,FALSE)</f>
        <v>Significantly Rural</v>
      </c>
      <c r="F1414" s="224" t="str">
        <f>VLOOKUP($B1414,'FRS geographical categories'!$A$2:$C$45,3,FALSE)</f>
        <v>Non-metropolitan</v>
      </c>
      <c r="G1414" s="98">
        <v>7866</v>
      </c>
    </row>
    <row r="1415" spans="1:7" ht="15.5" x14ac:dyDescent="0.35">
      <c r="A1415" s="224" t="s">
        <v>247</v>
      </c>
      <c r="B1415" s="224" t="s">
        <v>25</v>
      </c>
      <c r="C1415" s="224" t="s">
        <v>107</v>
      </c>
      <c r="D1415" s="224" t="s">
        <v>257</v>
      </c>
      <c r="E1415" s="224" t="str">
        <f>VLOOKUP($B1415,'FRS geographical categories'!$A$2:$C$45,2,FALSE)</f>
        <v>Significantly Rural</v>
      </c>
      <c r="F1415" s="224" t="str">
        <f>VLOOKUP($B1415,'FRS geographical categories'!$A$2:$C$45,3,FALSE)</f>
        <v>Non-metropolitan</v>
      </c>
      <c r="G1415" s="98">
        <v>0</v>
      </c>
    </row>
    <row r="1416" spans="1:7" ht="15.5" x14ac:dyDescent="0.35">
      <c r="A1416" s="224" t="s">
        <v>247</v>
      </c>
      <c r="B1416" s="224" t="s">
        <v>25</v>
      </c>
      <c r="C1416" s="224" t="s">
        <v>108</v>
      </c>
      <c r="D1416" s="224" t="s">
        <v>257</v>
      </c>
      <c r="E1416" s="224" t="str">
        <f>VLOOKUP($B1416,'FRS geographical categories'!$A$2:$C$45,2,FALSE)</f>
        <v>Significantly Rural</v>
      </c>
      <c r="F1416" s="224" t="str">
        <f>VLOOKUP($B1416,'FRS geographical categories'!$A$2:$C$45,3,FALSE)</f>
        <v>Non-metropolitan</v>
      </c>
      <c r="G1416" s="98">
        <v>1329</v>
      </c>
    </row>
    <row r="1417" spans="1:7" ht="15.5" x14ac:dyDescent="0.35">
      <c r="A1417" s="224" t="s">
        <v>247</v>
      </c>
      <c r="B1417" s="224" t="s">
        <v>25</v>
      </c>
      <c r="C1417" s="224" t="s">
        <v>109</v>
      </c>
      <c r="D1417" s="224" t="s">
        <v>257</v>
      </c>
      <c r="E1417" s="224" t="str">
        <f>VLOOKUP($B1417,'FRS geographical categories'!$A$2:$C$45,2,FALSE)</f>
        <v>Significantly Rural</v>
      </c>
      <c r="F1417" s="224" t="str">
        <f>VLOOKUP($B1417,'FRS geographical categories'!$A$2:$C$45,3,FALSE)</f>
        <v>Non-metropolitan</v>
      </c>
      <c r="G1417" s="98">
        <v>0</v>
      </c>
    </row>
    <row r="1418" spans="1:7" ht="15.5" x14ac:dyDescent="0.35">
      <c r="A1418" s="224" t="s">
        <v>247</v>
      </c>
      <c r="B1418" s="224" t="s">
        <v>26</v>
      </c>
      <c r="C1418" s="224" t="s">
        <v>102</v>
      </c>
      <c r="D1418" s="224" t="s">
        <v>257</v>
      </c>
      <c r="E1418" s="224" t="str">
        <f>VLOOKUP($B1418,'FRS geographical categories'!$A$2:$C$45,2,FALSE)</f>
        <v>Predominantly Urban</v>
      </c>
      <c r="F1418" s="224" t="str">
        <f>VLOOKUP($B1418,'FRS geographical categories'!$A$2:$C$45,3,FALSE)</f>
        <v>Metropolitan</v>
      </c>
      <c r="G1418" s="98">
        <v>0</v>
      </c>
    </row>
    <row r="1419" spans="1:7" ht="15.5" x14ac:dyDescent="0.35">
      <c r="A1419" s="224" t="s">
        <v>247</v>
      </c>
      <c r="B1419" s="224" t="s">
        <v>26</v>
      </c>
      <c r="C1419" s="224" t="s">
        <v>105</v>
      </c>
      <c r="D1419" s="224" t="s">
        <v>257</v>
      </c>
      <c r="E1419" s="224" t="str">
        <f>VLOOKUP($B1419,'FRS geographical categories'!$A$2:$C$45,2,FALSE)</f>
        <v>Predominantly Urban</v>
      </c>
      <c r="F1419" s="224" t="str">
        <f>VLOOKUP($B1419,'FRS geographical categories'!$A$2:$C$45,3,FALSE)</f>
        <v>Metropolitan</v>
      </c>
      <c r="G1419" s="98">
        <v>6</v>
      </c>
    </row>
    <row r="1420" spans="1:7" ht="15.5" x14ac:dyDescent="0.35">
      <c r="A1420" s="224" t="s">
        <v>247</v>
      </c>
      <c r="B1420" s="224" t="s">
        <v>26</v>
      </c>
      <c r="C1420" s="224" t="s">
        <v>106</v>
      </c>
      <c r="D1420" s="224" t="s">
        <v>257</v>
      </c>
      <c r="E1420" s="224" t="str">
        <f>VLOOKUP($B1420,'FRS geographical categories'!$A$2:$C$45,2,FALSE)</f>
        <v>Predominantly Urban</v>
      </c>
      <c r="F1420" s="224" t="str">
        <f>VLOOKUP($B1420,'FRS geographical categories'!$A$2:$C$45,3,FALSE)</f>
        <v>Metropolitan</v>
      </c>
      <c r="G1420" s="98">
        <v>120780</v>
      </c>
    </row>
    <row r="1421" spans="1:7" ht="15.5" x14ac:dyDescent="0.35">
      <c r="A1421" s="224" t="s">
        <v>247</v>
      </c>
      <c r="B1421" s="224" t="s">
        <v>26</v>
      </c>
      <c r="C1421" s="224" t="s">
        <v>107</v>
      </c>
      <c r="D1421" s="224" t="s">
        <v>257</v>
      </c>
      <c r="E1421" s="224" t="str">
        <f>VLOOKUP($B1421,'FRS geographical categories'!$A$2:$C$45,2,FALSE)</f>
        <v>Predominantly Urban</v>
      </c>
      <c r="F1421" s="224" t="str">
        <f>VLOOKUP($B1421,'FRS geographical categories'!$A$2:$C$45,3,FALSE)</f>
        <v>Metropolitan</v>
      </c>
      <c r="G1421" s="98">
        <v>0</v>
      </c>
    </row>
    <row r="1422" spans="1:7" ht="15.5" x14ac:dyDescent="0.35">
      <c r="A1422" s="224" t="s">
        <v>247</v>
      </c>
      <c r="B1422" s="224" t="s">
        <v>26</v>
      </c>
      <c r="C1422" s="224" t="s">
        <v>108</v>
      </c>
      <c r="D1422" s="224" t="s">
        <v>257</v>
      </c>
      <c r="E1422" s="224" t="str">
        <f>VLOOKUP($B1422,'FRS geographical categories'!$A$2:$C$45,2,FALSE)</f>
        <v>Predominantly Urban</v>
      </c>
      <c r="F1422" s="224" t="str">
        <f>VLOOKUP($B1422,'FRS geographical categories'!$A$2:$C$45,3,FALSE)</f>
        <v>Metropolitan</v>
      </c>
      <c r="G1422" s="98">
        <v>2008</v>
      </c>
    </row>
    <row r="1423" spans="1:7" ht="15.5" x14ac:dyDescent="0.35">
      <c r="A1423" s="224" t="s">
        <v>247</v>
      </c>
      <c r="B1423" s="224" t="s">
        <v>26</v>
      </c>
      <c r="C1423" s="224" t="s">
        <v>109</v>
      </c>
      <c r="D1423" s="224" t="s">
        <v>257</v>
      </c>
      <c r="E1423" s="224" t="str">
        <f>VLOOKUP($B1423,'FRS geographical categories'!$A$2:$C$45,2,FALSE)</f>
        <v>Predominantly Urban</v>
      </c>
      <c r="F1423" s="224" t="str">
        <f>VLOOKUP($B1423,'FRS geographical categories'!$A$2:$C$45,3,FALSE)</f>
        <v>Metropolitan</v>
      </c>
      <c r="G1423" s="98">
        <v>0</v>
      </c>
    </row>
    <row r="1424" spans="1:7" ht="15.5" x14ac:dyDescent="0.35">
      <c r="A1424" s="224" t="s">
        <v>247</v>
      </c>
      <c r="B1424" s="224" t="s">
        <v>27</v>
      </c>
      <c r="C1424" s="224" t="s">
        <v>102</v>
      </c>
      <c r="D1424" s="224" t="s">
        <v>257</v>
      </c>
      <c r="E1424" s="224" t="str">
        <f>VLOOKUP($B1424,'FRS geographical categories'!$A$2:$C$45,2,FALSE)</f>
        <v>Predominantly Urban</v>
      </c>
      <c r="F1424" s="224" t="str">
        <f>VLOOKUP($B1424,'FRS geographical categories'!$A$2:$C$45,3,FALSE)</f>
        <v>Metropolitan</v>
      </c>
      <c r="G1424" s="98">
        <v>2193</v>
      </c>
    </row>
    <row r="1425" spans="1:7" ht="15.5" x14ac:dyDescent="0.35">
      <c r="A1425" s="224" t="s">
        <v>247</v>
      </c>
      <c r="B1425" s="224" t="s">
        <v>27</v>
      </c>
      <c r="C1425" s="224" t="s">
        <v>105</v>
      </c>
      <c r="D1425" s="224" t="s">
        <v>257</v>
      </c>
      <c r="E1425" s="224" t="str">
        <f>VLOOKUP($B1425,'FRS geographical categories'!$A$2:$C$45,2,FALSE)</f>
        <v>Predominantly Urban</v>
      </c>
      <c r="F1425" s="224" t="str">
        <f>VLOOKUP($B1425,'FRS geographical categories'!$A$2:$C$45,3,FALSE)</f>
        <v>Metropolitan</v>
      </c>
      <c r="G1425" s="98">
        <v>0</v>
      </c>
    </row>
    <row r="1426" spans="1:7" ht="15.5" x14ac:dyDescent="0.35">
      <c r="A1426" s="224" t="s">
        <v>247</v>
      </c>
      <c r="B1426" s="224" t="s">
        <v>27</v>
      </c>
      <c r="C1426" s="224" t="s">
        <v>106</v>
      </c>
      <c r="D1426" s="224" t="s">
        <v>257</v>
      </c>
      <c r="E1426" s="224" t="str">
        <f>VLOOKUP($B1426,'FRS geographical categories'!$A$2:$C$45,2,FALSE)</f>
        <v>Predominantly Urban</v>
      </c>
      <c r="F1426" s="224" t="str">
        <f>VLOOKUP($B1426,'FRS geographical categories'!$A$2:$C$45,3,FALSE)</f>
        <v>Metropolitan</v>
      </c>
      <c r="G1426" s="98">
        <v>56680</v>
      </c>
    </row>
    <row r="1427" spans="1:7" ht="15.5" x14ac:dyDescent="0.35">
      <c r="A1427" s="224" t="s">
        <v>247</v>
      </c>
      <c r="B1427" s="224" t="s">
        <v>27</v>
      </c>
      <c r="C1427" s="224" t="s">
        <v>107</v>
      </c>
      <c r="D1427" s="224" t="s">
        <v>257</v>
      </c>
      <c r="E1427" s="224" t="str">
        <f>VLOOKUP($B1427,'FRS geographical categories'!$A$2:$C$45,2,FALSE)</f>
        <v>Predominantly Urban</v>
      </c>
      <c r="F1427" s="224" t="str">
        <f>VLOOKUP($B1427,'FRS geographical categories'!$A$2:$C$45,3,FALSE)</f>
        <v>Metropolitan</v>
      </c>
      <c r="G1427" s="98">
        <v>0</v>
      </c>
    </row>
    <row r="1428" spans="1:7" ht="15.5" x14ac:dyDescent="0.35">
      <c r="A1428" s="224" t="s">
        <v>247</v>
      </c>
      <c r="B1428" s="224" t="s">
        <v>27</v>
      </c>
      <c r="C1428" s="224" t="s">
        <v>108</v>
      </c>
      <c r="D1428" s="224" t="s">
        <v>257</v>
      </c>
      <c r="E1428" s="224" t="str">
        <f>VLOOKUP($B1428,'FRS geographical categories'!$A$2:$C$45,2,FALSE)</f>
        <v>Predominantly Urban</v>
      </c>
      <c r="F1428" s="224" t="str">
        <f>VLOOKUP($B1428,'FRS geographical categories'!$A$2:$C$45,3,FALSE)</f>
        <v>Metropolitan</v>
      </c>
      <c r="G1428" s="98">
        <v>0</v>
      </c>
    </row>
    <row r="1429" spans="1:7" ht="15.5" x14ac:dyDescent="0.35">
      <c r="A1429" s="224" t="s">
        <v>247</v>
      </c>
      <c r="B1429" s="224" t="s">
        <v>27</v>
      </c>
      <c r="C1429" s="224" t="s">
        <v>109</v>
      </c>
      <c r="D1429" s="224" t="s">
        <v>257</v>
      </c>
      <c r="E1429" s="224" t="str">
        <f>VLOOKUP($B1429,'FRS geographical categories'!$A$2:$C$45,2,FALSE)</f>
        <v>Predominantly Urban</v>
      </c>
      <c r="F1429" s="224" t="str">
        <f>VLOOKUP($B1429,'FRS geographical categories'!$A$2:$C$45,3,FALSE)</f>
        <v>Metropolitan</v>
      </c>
      <c r="G1429" s="98">
        <v>0</v>
      </c>
    </row>
    <row r="1430" spans="1:7" ht="15.5" x14ac:dyDescent="0.35">
      <c r="A1430" s="224" t="s">
        <v>247</v>
      </c>
      <c r="B1430" s="224" t="s">
        <v>93</v>
      </c>
      <c r="C1430" s="224" t="s">
        <v>102</v>
      </c>
      <c r="D1430" s="224" t="s">
        <v>257</v>
      </c>
      <c r="E1430" s="224" t="str">
        <f>VLOOKUP($B1430,'FRS geographical categories'!$A$2:$C$45,2,FALSE)</f>
        <v>Significantly Rural</v>
      </c>
      <c r="F1430" s="224" t="str">
        <f>VLOOKUP($B1430,'FRS geographical categories'!$A$2:$C$45,3,FALSE)</f>
        <v>Non-metropolitan</v>
      </c>
      <c r="G1430" s="98">
        <v>4803</v>
      </c>
    </row>
    <row r="1431" spans="1:7" ht="15.5" x14ac:dyDescent="0.35">
      <c r="A1431" s="224" t="s">
        <v>247</v>
      </c>
      <c r="B1431" s="224" t="s">
        <v>93</v>
      </c>
      <c r="C1431" s="224" t="s">
        <v>105</v>
      </c>
      <c r="D1431" s="224" t="s">
        <v>257</v>
      </c>
      <c r="E1431" s="224" t="str">
        <f>VLOOKUP($B1431,'FRS geographical categories'!$A$2:$C$45,2,FALSE)</f>
        <v>Significantly Rural</v>
      </c>
      <c r="F1431" s="224" t="str">
        <f>VLOOKUP($B1431,'FRS geographical categories'!$A$2:$C$45,3,FALSE)</f>
        <v>Non-metropolitan</v>
      </c>
      <c r="G1431" s="98">
        <v>0</v>
      </c>
    </row>
    <row r="1432" spans="1:7" ht="15.5" x14ac:dyDescent="0.35">
      <c r="A1432" s="224" t="s">
        <v>247</v>
      </c>
      <c r="B1432" s="224" t="s">
        <v>93</v>
      </c>
      <c r="C1432" s="224" t="s">
        <v>106</v>
      </c>
      <c r="D1432" s="224" t="s">
        <v>257</v>
      </c>
      <c r="E1432" s="224" t="str">
        <f>VLOOKUP($B1432,'FRS geographical categories'!$A$2:$C$45,2,FALSE)</f>
        <v>Significantly Rural</v>
      </c>
      <c r="F1432" s="224" t="str">
        <f>VLOOKUP($B1432,'FRS geographical categories'!$A$2:$C$45,3,FALSE)</f>
        <v>Non-metropolitan</v>
      </c>
      <c r="G1432" s="98">
        <v>12466</v>
      </c>
    </row>
    <row r="1433" spans="1:7" ht="15.5" x14ac:dyDescent="0.35">
      <c r="A1433" s="224" t="s">
        <v>247</v>
      </c>
      <c r="B1433" s="224" t="s">
        <v>93</v>
      </c>
      <c r="C1433" s="224" t="s">
        <v>107</v>
      </c>
      <c r="D1433" s="224" t="s">
        <v>257</v>
      </c>
      <c r="E1433" s="224" t="str">
        <f>VLOOKUP($B1433,'FRS geographical categories'!$A$2:$C$45,2,FALSE)</f>
        <v>Significantly Rural</v>
      </c>
      <c r="F1433" s="224" t="str">
        <f>VLOOKUP($B1433,'FRS geographical categories'!$A$2:$C$45,3,FALSE)</f>
        <v>Non-metropolitan</v>
      </c>
      <c r="G1433" s="98">
        <v>277</v>
      </c>
    </row>
    <row r="1434" spans="1:7" ht="15.5" x14ac:dyDescent="0.35">
      <c r="A1434" s="224" t="s">
        <v>247</v>
      </c>
      <c r="B1434" s="224" t="s">
        <v>93</v>
      </c>
      <c r="C1434" s="224" t="s">
        <v>108</v>
      </c>
      <c r="D1434" s="224" t="s">
        <v>257</v>
      </c>
      <c r="E1434" s="224" t="str">
        <f>VLOOKUP($B1434,'FRS geographical categories'!$A$2:$C$45,2,FALSE)</f>
        <v>Significantly Rural</v>
      </c>
      <c r="F1434" s="224" t="str">
        <f>VLOOKUP($B1434,'FRS geographical categories'!$A$2:$C$45,3,FALSE)</f>
        <v>Non-metropolitan</v>
      </c>
      <c r="G1434" s="98">
        <v>1004</v>
      </c>
    </row>
    <row r="1435" spans="1:7" ht="15.5" x14ac:dyDescent="0.35">
      <c r="A1435" s="224" t="s">
        <v>247</v>
      </c>
      <c r="B1435" s="224" t="s">
        <v>93</v>
      </c>
      <c r="C1435" s="224" t="s">
        <v>109</v>
      </c>
      <c r="D1435" s="224" t="s">
        <v>257</v>
      </c>
      <c r="E1435" s="224" t="str">
        <f>VLOOKUP($B1435,'FRS geographical categories'!$A$2:$C$45,2,FALSE)</f>
        <v>Significantly Rural</v>
      </c>
      <c r="F1435" s="224" t="str">
        <f>VLOOKUP($B1435,'FRS geographical categories'!$A$2:$C$45,3,FALSE)</f>
        <v>Non-metropolitan</v>
      </c>
      <c r="G1435" s="98">
        <v>63</v>
      </c>
    </row>
    <row r="1436" spans="1:7" ht="15.5" x14ac:dyDescent="0.35">
      <c r="A1436" s="224" t="s">
        <v>247</v>
      </c>
      <c r="B1436" s="224" t="s">
        <v>28</v>
      </c>
      <c r="C1436" s="224" t="s">
        <v>102</v>
      </c>
      <c r="D1436" s="224" t="s">
        <v>257</v>
      </c>
      <c r="E1436" s="224" t="str">
        <f>VLOOKUP($B1436,'FRS geographical categories'!$A$2:$C$45,2,FALSE)</f>
        <v>Significantly Rural</v>
      </c>
      <c r="F1436" s="224" t="str">
        <f>VLOOKUP($B1436,'FRS geographical categories'!$A$2:$C$45,3,FALSE)</f>
        <v>Non-metropolitan</v>
      </c>
      <c r="G1436" s="98">
        <v>0</v>
      </c>
    </row>
    <row r="1437" spans="1:7" ht="15.5" x14ac:dyDescent="0.35">
      <c r="A1437" s="224" t="s">
        <v>247</v>
      </c>
      <c r="B1437" s="224" t="s">
        <v>28</v>
      </c>
      <c r="C1437" s="224" t="s">
        <v>105</v>
      </c>
      <c r="D1437" s="224" t="s">
        <v>257</v>
      </c>
      <c r="E1437" s="224" t="str">
        <f>VLOOKUP($B1437,'FRS geographical categories'!$A$2:$C$45,2,FALSE)</f>
        <v>Significantly Rural</v>
      </c>
      <c r="F1437" s="224" t="str">
        <f>VLOOKUP($B1437,'FRS geographical categories'!$A$2:$C$45,3,FALSE)</f>
        <v>Non-metropolitan</v>
      </c>
      <c r="G1437" s="98">
        <v>0</v>
      </c>
    </row>
    <row r="1438" spans="1:7" ht="15.5" x14ac:dyDescent="0.35">
      <c r="A1438" s="224" t="s">
        <v>247</v>
      </c>
      <c r="B1438" s="224" t="s">
        <v>28</v>
      </c>
      <c r="C1438" s="224" t="s">
        <v>106</v>
      </c>
      <c r="D1438" s="224" t="s">
        <v>257</v>
      </c>
      <c r="E1438" s="224" t="str">
        <f>VLOOKUP($B1438,'FRS geographical categories'!$A$2:$C$45,2,FALSE)</f>
        <v>Significantly Rural</v>
      </c>
      <c r="F1438" s="224" t="str">
        <f>VLOOKUP($B1438,'FRS geographical categories'!$A$2:$C$45,3,FALSE)</f>
        <v>Non-metropolitan</v>
      </c>
      <c r="G1438" s="98">
        <v>11900</v>
      </c>
    </row>
    <row r="1439" spans="1:7" ht="15.5" x14ac:dyDescent="0.35">
      <c r="A1439" s="224" t="s">
        <v>247</v>
      </c>
      <c r="B1439" s="224" t="s">
        <v>28</v>
      </c>
      <c r="C1439" s="224" t="s">
        <v>107</v>
      </c>
      <c r="D1439" s="224" t="s">
        <v>257</v>
      </c>
      <c r="E1439" s="224" t="str">
        <f>VLOOKUP($B1439,'FRS geographical categories'!$A$2:$C$45,2,FALSE)</f>
        <v>Significantly Rural</v>
      </c>
      <c r="F1439" s="224" t="str">
        <f>VLOOKUP($B1439,'FRS geographical categories'!$A$2:$C$45,3,FALSE)</f>
        <v>Non-metropolitan</v>
      </c>
      <c r="G1439" s="98">
        <v>0</v>
      </c>
    </row>
    <row r="1440" spans="1:7" ht="15.5" x14ac:dyDescent="0.35">
      <c r="A1440" s="224" t="s">
        <v>247</v>
      </c>
      <c r="B1440" s="224" t="s">
        <v>28</v>
      </c>
      <c r="C1440" s="224" t="s">
        <v>108</v>
      </c>
      <c r="D1440" s="224" t="s">
        <v>257</v>
      </c>
      <c r="E1440" s="224" t="str">
        <f>VLOOKUP($B1440,'FRS geographical categories'!$A$2:$C$45,2,FALSE)</f>
        <v>Significantly Rural</v>
      </c>
      <c r="F1440" s="224" t="str">
        <f>VLOOKUP($B1440,'FRS geographical categories'!$A$2:$C$45,3,FALSE)</f>
        <v>Non-metropolitan</v>
      </c>
      <c r="G1440" s="98">
        <v>2014</v>
      </c>
    </row>
    <row r="1441" spans="1:7" ht="15.5" x14ac:dyDescent="0.35">
      <c r="A1441" s="224" t="s">
        <v>247</v>
      </c>
      <c r="B1441" s="224" t="s">
        <v>28</v>
      </c>
      <c r="C1441" s="224" t="s">
        <v>109</v>
      </c>
      <c r="D1441" s="224" t="s">
        <v>257</v>
      </c>
      <c r="E1441" s="224" t="str">
        <f>VLOOKUP($B1441,'FRS geographical categories'!$A$2:$C$45,2,FALSE)</f>
        <v>Significantly Rural</v>
      </c>
      <c r="F1441" s="224" t="str">
        <f>VLOOKUP($B1441,'FRS geographical categories'!$A$2:$C$45,3,FALSE)</f>
        <v>Non-metropolitan</v>
      </c>
      <c r="G1441" s="98">
        <v>89</v>
      </c>
    </row>
    <row r="1442" spans="1:7" ht="15.5" x14ac:dyDescent="0.35">
      <c r="A1442" s="224" t="s">
        <v>247</v>
      </c>
      <c r="B1442" s="224" t="s">
        <v>29</v>
      </c>
      <c r="C1442" s="224" t="s">
        <v>102</v>
      </c>
      <c r="D1442" s="224" t="s">
        <v>257</v>
      </c>
      <c r="E1442" s="224" t="str">
        <f>VLOOKUP($B1442,'FRS geographical categories'!$A$2:$C$45,2,FALSE)</f>
        <v>Predominantly Urban</v>
      </c>
      <c r="F1442" s="224" t="str">
        <f>VLOOKUP($B1442,'FRS geographical categories'!$A$2:$C$45,3,FALSE)</f>
        <v>Non-metropolitan</v>
      </c>
      <c r="G1442" s="98">
        <v>0</v>
      </c>
    </row>
    <row r="1443" spans="1:7" ht="15.5" x14ac:dyDescent="0.35">
      <c r="A1443" s="224" t="s">
        <v>247</v>
      </c>
      <c r="B1443" s="224" t="s">
        <v>29</v>
      </c>
      <c r="C1443" s="224" t="s">
        <v>105</v>
      </c>
      <c r="D1443" s="224" t="s">
        <v>257</v>
      </c>
      <c r="E1443" s="224" t="str">
        <f>VLOOKUP($B1443,'FRS geographical categories'!$A$2:$C$45,2,FALSE)</f>
        <v>Predominantly Urban</v>
      </c>
      <c r="F1443" s="224" t="str">
        <f>VLOOKUP($B1443,'FRS geographical categories'!$A$2:$C$45,3,FALSE)</f>
        <v>Non-metropolitan</v>
      </c>
      <c r="G1443" s="98">
        <v>0</v>
      </c>
    </row>
    <row r="1444" spans="1:7" ht="15.5" x14ac:dyDescent="0.35">
      <c r="A1444" s="224" t="s">
        <v>247</v>
      </c>
      <c r="B1444" s="224" t="s">
        <v>29</v>
      </c>
      <c r="C1444" s="224" t="s">
        <v>106</v>
      </c>
      <c r="D1444" s="224" t="s">
        <v>257</v>
      </c>
      <c r="E1444" s="224" t="str">
        <f>VLOOKUP($B1444,'FRS geographical categories'!$A$2:$C$45,2,FALSE)</f>
        <v>Predominantly Urban</v>
      </c>
      <c r="F1444" s="224" t="str">
        <f>VLOOKUP($B1444,'FRS geographical categories'!$A$2:$C$45,3,FALSE)</f>
        <v>Non-metropolitan</v>
      </c>
      <c r="G1444" s="98">
        <v>12274</v>
      </c>
    </row>
    <row r="1445" spans="1:7" ht="15.5" x14ac:dyDescent="0.35">
      <c r="A1445" s="224" t="s">
        <v>247</v>
      </c>
      <c r="B1445" s="224" t="s">
        <v>29</v>
      </c>
      <c r="C1445" s="224" t="s">
        <v>107</v>
      </c>
      <c r="D1445" s="224" t="s">
        <v>257</v>
      </c>
      <c r="E1445" s="224" t="str">
        <f>VLOOKUP($B1445,'FRS geographical categories'!$A$2:$C$45,2,FALSE)</f>
        <v>Predominantly Urban</v>
      </c>
      <c r="F1445" s="224" t="str">
        <f>VLOOKUP($B1445,'FRS geographical categories'!$A$2:$C$45,3,FALSE)</f>
        <v>Non-metropolitan</v>
      </c>
      <c r="G1445" s="98">
        <v>0</v>
      </c>
    </row>
    <row r="1446" spans="1:7" ht="15.5" x14ac:dyDescent="0.35">
      <c r="A1446" s="224" t="s">
        <v>247</v>
      </c>
      <c r="B1446" s="224" t="s">
        <v>29</v>
      </c>
      <c r="C1446" s="224" t="s">
        <v>108</v>
      </c>
      <c r="D1446" s="224" t="s">
        <v>257</v>
      </c>
      <c r="E1446" s="224" t="str">
        <f>VLOOKUP($B1446,'FRS geographical categories'!$A$2:$C$45,2,FALSE)</f>
        <v>Predominantly Urban</v>
      </c>
      <c r="F1446" s="224" t="str">
        <f>VLOOKUP($B1446,'FRS geographical categories'!$A$2:$C$45,3,FALSE)</f>
        <v>Non-metropolitan</v>
      </c>
      <c r="G1446" s="98">
        <v>3514</v>
      </c>
    </row>
    <row r="1447" spans="1:7" ht="15.5" x14ac:dyDescent="0.35">
      <c r="A1447" s="224" t="s">
        <v>247</v>
      </c>
      <c r="B1447" s="224" t="s">
        <v>29</v>
      </c>
      <c r="C1447" s="224" t="s">
        <v>109</v>
      </c>
      <c r="D1447" s="224" t="s">
        <v>257</v>
      </c>
      <c r="E1447" s="224" t="str">
        <f>VLOOKUP($B1447,'FRS geographical categories'!$A$2:$C$45,2,FALSE)</f>
        <v>Predominantly Urban</v>
      </c>
      <c r="F1447" s="224" t="str">
        <f>VLOOKUP($B1447,'FRS geographical categories'!$A$2:$C$45,3,FALSE)</f>
        <v>Non-metropolitan</v>
      </c>
      <c r="G1447" s="98">
        <v>0</v>
      </c>
    </row>
    <row r="1448" spans="1:7" ht="15.5" x14ac:dyDescent="0.35">
      <c r="A1448" s="224" t="s">
        <v>247</v>
      </c>
      <c r="B1448" s="224" t="s">
        <v>30</v>
      </c>
      <c r="C1448" s="224" t="s">
        <v>102</v>
      </c>
      <c r="D1448" s="224" t="s">
        <v>257</v>
      </c>
      <c r="E1448" s="224" t="str">
        <f>VLOOKUP($B1448,'FRS geographical categories'!$A$2:$C$45,2,FALSE)</f>
        <v>Significantly Rural</v>
      </c>
      <c r="F1448" s="224" t="str">
        <f>VLOOKUP($B1448,'FRS geographical categories'!$A$2:$C$45,3,FALSE)</f>
        <v>Non-metropolitan</v>
      </c>
      <c r="G1448" s="98">
        <v>1248</v>
      </c>
    </row>
    <row r="1449" spans="1:7" ht="15.5" x14ac:dyDescent="0.35">
      <c r="A1449" s="224" t="s">
        <v>247</v>
      </c>
      <c r="B1449" s="224" t="s">
        <v>30</v>
      </c>
      <c r="C1449" s="224" t="s">
        <v>105</v>
      </c>
      <c r="D1449" s="224" t="s">
        <v>257</v>
      </c>
      <c r="E1449" s="224" t="str">
        <f>VLOOKUP($B1449,'FRS geographical categories'!$A$2:$C$45,2,FALSE)</f>
        <v>Significantly Rural</v>
      </c>
      <c r="F1449" s="224" t="str">
        <f>VLOOKUP($B1449,'FRS geographical categories'!$A$2:$C$45,3,FALSE)</f>
        <v>Non-metropolitan</v>
      </c>
      <c r="G1449" s="98">
        <v>0</v>
      </c>
    </row>
    <row r="1450" spans="1:7" ht="15.5" x14ac:dyDescent="0.35">
      <c r="A1450" s="224" t="s">
        <v>247</v>
      </c>
      <c r="B1450" s="224" t="s">
        <v>30</v>
      </c>
      <c r="C1450" s="224" t="s">
        <v>106</v>
      </c>
      <c r="D1450" s="224" t="s">
        <v>257</v>
      </c>
      <c r="E1450" s="224" t="str">
        <f>VLOOKUP($B1450,'FRS geographical categories'!$A$2:$C$45,2,FALSE)</f>
        <v>Significantly Rural</v>
      </c>
      <c r="F1450" s="224" t="str">
        <f>VLOOKUP($B1450,'FRS geographical categories'!$A$2:$C$45,3,FALSE)</f>
        <v>Non-metropolitan</v>
      </c>
      <c r="G1450" s="98">
        <v>17126</v>
      </c>
    </row>
    <row r="1451" spans="1:7" ht="15.5" x14ac:dyDescent="0.35">
      <c r="A1451" s="224" t="s">
        <v>247</v>
      </c>
      <c r="B1451" s="224" t="s">
        <v>30</v>
      </c>
      <c r="C1451" s="224" t="s">
        <v>107</v>
      </c>
      <c r="D1451" s="224" t="s">
        <v>257</v>
      </c>
      <c r="E1451" s="224" t="str">
        <f>VLOOKUP($B1451,'FRS geographical categories'!$A$2:$C$45,2,FALSE)</f>
        <v>Significantly Rural</v>
      </c>
      <c r="F1451" s="224" t="str">
        <f>VLOOKUP($B1451,'FRS geographical categories'!$A$2:$C$45,3,FALSE)</f>
        <v>Non-metropolitan</v>
      </c>
      <c r="G1451" s="98">
        <v>0</v>
      </c>
    </row>
    <row r="1452" spans="1:7" ht="15.5" x14ac:dyDescent="0.35">
      <c r="A1452" s="224" t="s">
        <v>247</v>
      </c>
      <c r="B1452" s="224" t="s">
        <v>30</v>
      </c>
      <c r="C1452" s="224" t="s">
        <v>108</v>
      </c>
      <c r="D1452" s="224" t="s">
        <v>257</v>
      </c>
      <c r="E1452" s="224" t="str">
        <f>VLOOKUP($B1452,'FRS geographical categories'!$A$2:$C$45,2,FALSE)</f>
        <v>Significantly Rural</v>
      </c>
      <c r="F1452" s="224" t="str">
        <f>VLOOKUP($B1452,'FRS geographical categories'!$A$2:$C$45,3,FALSE)</f>
        <v>Non-metropolitan</v>
      </c>
      <c r="G1452" s="98">
        <v>0</v>
      </c>
    </row>
    <row r="1453" spans="1:7" ht="15.5" x14ac:dyDescent="0.35">
      <c r="A1453" s="224" t="s">
        <v>247</v>
      </c>
      <c r="B1453" s="224" t="s">
        <v>30</v>
      </c>
      <c r="C1453" s="224" t="s">
        <v>109</v>
      </c>
      <c r="D1453" s="224" t="s">
        <v>257</v>
      </c>
      <c r="E1453" s="224" t="str">
        <f>VLOOKUP($B1453,'FRS geographical categories'!$A$2:$C$45,2,FALSE)</f>
        <v>Significantly Rural</v>
      </c>
      <c r="F1453" s="224" t="str">
        <f>VLOOKUP($B1453,'FRS geographical categories'!$A$2:$C$45,3,FALSE)</f>
        <v>Non-metropolitan</v>
      </c>
      <c r="G1453" s="98">
        <v>0</v>
      </c>
    </row>
    <row r="1454" spans="1:7" ht="15.5" x14ac:dyDescent="0.35">
      <c r="A1454" s="224" t="s">
        <v>247</v>
      </c>
      <c r="B1454" s="224" t="s">
        <v>31</v>
      </c>
      <c r="C1454" s="224" t="s">
        <v>102</v>
      </c>
      <c r="D1454" s="224" t="s">
        <v>257</v>
      </c>
      <c r="E1454" s="224" t="str">
        <f>VLOOKUP($B1454,'FRS geographical categories'!$A$2:$C$45,2,FALSE)</f>
        <v>Predominantly Rural</v>
      </c>
      <c r="F1454" s="224" t="str">
        <f>VLOOKUP($B1454,'FRS geographical categories'!$A$2:$C$45,3,FALSE)</f>
        <v>Non-metropolitan</v>
      </c>
      <c r="G1454" s="98">
        <v>0</v>
      </c>
    </row>
    <row r="1455" spans="1:7" ht="15.5" x14ac:dyDescent="0.35">
      <c r="A1455" s="224" t="s">
        <v>247</v>
      </c>
      <c r="B1455" s="224" t="s">
        <v>31</v>
      </c>
      <c r="C1455" s="224" t="s">
        <v>105</v>
      </c>
      <c r="D1455" s="224" t="s">
        <v>257</v>
      </c>
      <c r="E1455" s="224" t="str">
        <f>VLOOKUP($B1455,'FRS geographical categories'!$A$2:$C$45,2,FALSE)</f>
        <v>Predominantly Rural</v>
      </c>
      <c r="F1455" s="224" t="str">
        <f>VLOOKUP($B1455,'FRS geographical categories'!$A$2:$C$45,3,FALSE)</f>
        <v>Non-metropolitan</v>
      </c>
      <c r="G1455" s="98">
        <v>0</v>
      </c>
    </row>
    <row r="1456" spans="1:7" ht="15.5" x14ac:dyDescent="0.35">
      <c r="A1456" s="224" t="s">
        <v>247</v>
      </c>
      <c r="B1456" s="224" t="s">
        <v>31</v>
      </c>
      <c r="C1456" s="224" t="s">
        <v>106</v>
      </c>
      <c r="D1456" s="224" t="s">
        <v>257</v>
      </c>
      <c r="E1456" s="224" t="str">
        <f>VLOOKUP($B1456,'FRS geographical categories'!$A$2:$C$45,2,FALSE)</f>
        <v>Predominantly Rural</v>
      </c>
      <c r="F1456" s="224" t="str">
        <f>VLOOKUP($B1456,'FRS geographical categories'!$A$2:$C$45,3,FALSE)</f>
        <v>Non-metropolitan</v>
      </c>
      <c r="G1456" s="98">
        <v>234</v>
      </c>
    </row>
    <row r="1457" spans="1:7" ht="15.5" x14ac:dyDescent="0.35">
      <c r="A1457" s="224" t="s">
        <v>247</v>
      </c>
      <c r="B1457" s="224" t="s">
        <v>31</v>
      </c>
      <c r="C1457" s="224" t="s">
        <v>107</v>
      </c>
      <c r="D1457" s="224" t="s">
        <v>257</v>
      </c>
      <c r="E1457" s="224" t="str">
        <f>VLOOKUP($B1457,'FRS geographical categories'!$A$2:$C$45,2,FALSE)</f>
        <v>Predominantly Rural</v>
      </c>
      <c r="F1457" s="224" t="str">
        <f>VLOOKUP($B1457,'FRS geographical categories'!$A$2:$C$45,3,FALSE)</f>
        <v>Non-metropolitan</v>
      </c>
      <c r="G1457" s="98">
        <v>0</v>
      </c>
    </row>
    <row r="1458" spans="1:7" ht="15.5" x14ac:dyDescent="0.35">
      <c r="A1458" s="224" t="s">
        <v>247</v>
      </c>
      <c r="B1458" s="224" t="s">
        <v>31</v>
      </c>
      <c r="C1458" s="224" t="s">
        <v>108</v>
      </c>
      <c r="D1458" s="224" t="s">
        <v>257</v>
      </c>
      <c r="E1458" s="224" t="str">
        <f>VLOOKUP($B1458,'FRS geographical categories'!$A$2:$C$45,2,FALSE)</f>
        <v>Predominantly Rural</v>
      </c>
      <c r="F1458" s="224" t="str">
        <f>VLOOKUP($B1458,'FRS geographical categories'!$A$2:$C$45,3,FALSE)</f>
        <v>Non-metropolitan</v>
      </c>
      <c r="G1458" s="98">
        <v>0</v>
      </c>
    </row>
    <row r="1459" spans="1:7" ht="15.5" x14ac:dyDescent="0.35">
      <c r="A1459" s="224" t="s">
        <v>247</v>
      </c>
      <c r="B1459" s="224" t="s">
        <v>31</v>
      </c>
      <c r="C1459" s="224" t="s">
        <v>109</v>
      </c>
      <c r="D1459" s="224" t="s">
        <v>257</v>
      </c>
      <c r="E1459" s="224" t="str">
        <f>VLOOKUP($B1459,'FRS geographical categories'!$A$2:$C$45,2,FALSE)</f>
        <v>Predominantly Rural</v>
      </c>
      <c r="F1459" s="224" t="str">
        <f>VLOOKUP($B1459,'FRS geographical categories'!$A$2:$C$45,3,FALSE)</f>
        <v>Non-metropolitan</v>
      </c>
      <c r="G1459" s="98">
        <v>0</v>
      </c>
    </row>
    <row r="1460" spans="1:7" ht="15.5" x14ac:dyDescent="0.35">
      <c r="A1460" s="224" t="s">
        <v>247</v>
      </c>
      <c r="B1460" s="224" t="s">
        <v>32</v>
      </c>
      <c r="C1460" s="224" t="s">
        <v>102</v>
      </c>
      <c r="D1460" s="224" t="s">
        <v>257</v>
      </c>
      <c r="E1460" s="224" t="str">
        <f>VLOOKUP($B1460,'FRS geographical categories'!$A$2:$C$45,2,FALSE)</f>
        <v>Significantly Rural</v>
      </c>
      <c r="F1460" s="224" t="str">
        <f>VLOOKUP($B1460,'FRS geographical categories'!$A$2:$C$45,3,FALSE)</f>
        <v>Non-metropolitan</v>
      </c>
      <c r="G1460" s="98">
        <v>23356</v>
      </c>
    </row>
    <row r="1461" spans="1:7" ht="15.5" x14ac:dyDescent="0.35">
      <c r="A1461" s="224" t="s">
        <v>247</v>
      </c>
      <c r="B1461" s="224" t="s">
        <v>32</v>
      </c>
      <c r="C1461" s="224" t="s">
        <v>105</v>
      </c>
      <c r="D1461" s="224" t="s">
        <v>257</v>
      </c>
      <c r="E1461" s="224" t="str">
        <f>VLOOKUP($B1461,'FRS geographical categories'!$A$2:$C$45,2,FALSE)</f>
        <v>Significantly Rural</v>
      </c>
      <c r="F1461" s="224" t="str">
        <f>VLOOKUP($B1461,'FRS geographical categories'!$A$2:$C$45,3,FALSE)</f>
        <v>Non-metropolitan</v>
      </c>
      <c r="G1461" s="98">
        <v>0</v>
      </c>
    </row>
    <row r="1462" spans="1:7" ht="15.5" x14ac:dyDescent="0.35">
      <c r="A1462" s="224" t="s">
        <v>247</v>
      </c>
      <c r="B1462" s="224" t="s">
        <v>32</v>
      </c>
      <c r="C1462" s="224" t="s">
        <v>106</v>
      </c>
      <c r="D1462" s="224" t="s">
        <v>257</v>
      </c>
      <c r="E1462" s="224" t="str">
        <f>VLOOKUP($B1462,'FRS geographical categories'!$A$2:$C$45,2,FALSE)</f>
        <v>Significantly Rural</v>
      </c>
      <c r="F1462" s="224" t="str">
        <f>VLOOKUP($B1462,'FRS geographical categories'!$A$2:$C$45,3,FALSE)</f>
        <v>Non-metropolitan</v>
      </c>
      <c r="G1462" s="98">
        <v>36766</v>
      </c>
    </row>
    <row r="1463" spans="1:7" ht="15.5" x14ac:dyDescent="0.35">
      <c r="A1463" s="224" t="s">
        <v>247</v>
      </c>
      <c r="B1463" s="224" t="s">
        <v>32</v>
      </c>
      <c r="C1463" s="224" t="s">
        <v>107</v>
      </c>
      <c r="D1463" s="224" t="s">
        <v>257</v>
      </c>
      <c r="E1463" s="224" t="str">
        <f>VLOOKUP($B1463,'FRS geographical categories'!$A$2:$C$45,2,FALSE)</f>
        <v>Significantly Rural</v>
      </c>
      <c r="F1463" s="224" t="str">
        <f>VLOOKUP($B1463,'FRS geographical categories'!$A$2:$C$45,3,FALSE)</f>
        <v>Non-metropolitan</v>
      </c>
      <c r="G1463" s="98">
        <v>0</v>
      </c>
    </row>
    <row r="1464" spans="1:7" ht="15.5" x14ac:dyDescent="0.35">
      <c r="A1464" s="224" t="s">
        <v>247</v>
      </c>
      <c r="B1464" s="224" t="s">
        <v>32</v>
      </c>
      <c r="C1464" s="224" t="s">
        <v>108</v>
      </c>
      <c r="D1464" s="224" t="s">
        <v>257</v>
      </c>
      <c r="E1464" s="224" t="str">
        <f>VLOOKUP($B1464,'FRS geographical categories'!$A$2:$C$45,2,FALSE)</f>
        <v>Significantly Rural</v>
      </c>
      <c r="F1464" s="224" t="str">
        <f>VLOOKUP($B1464,'FRS geographical categories'!$A$2:$C$45,3,FALSE)</f>
        <v>Non-metropolitan</v>
      </c>
      <c r="G1464" s="98">
        <v>0</v>
      </c>
    </row>
    <row r="1465" spans="1:7" ht="15.5" x14ac:dyDescent="0.35">
      <c r="A1465" s="224" t="s">
        <v>247</v>
      </c>
      <c r="B1465" s="224" t="s">
        <v>32</v>
      </c>
      <c r="C1465" s="224" t="s">
        <v>109</v>
      </c>
      <c r="D1465" s="224" t="s">
        <v>257</v>
      </c>
      <c r="E1465" s="224" t="str">
        <f>VLOOKUP($B1465,'FRS geographical categories'!$A$2:$C$45,2,FALSE)</f>
        <v>Significantly Rural</v>
      </c>
      <c r="F1465" s="224" t="str">
        <f>VLOOKUP($B1465,'FRS geographical categories'!$A$2:$C$45,3,FALSE)</f>
        <v>Non-metropolitan</v>
      </c>
      <c r="G1465" s="98">
        <v>0</v>
      </c>
    </row>
    <row r="1466" spans="1:7" ht="15.5" x14ac:dyDescent="0.35">
      <c r="A1466" s="224" t="s">
        <v>247</v>
      </c>
      <c r="B1466" s="224" t="s">
        <v>33</v>
      </c>
      <c r="C1466" s="224" t="s">
        <v>102</v>
      </c>
      <c r="D1466" s="224" t="s">
        <v>257</v>
      </c>
      <c r="E1466" s="224" t="str">
        <f>VLOOKUP($B1466,'FRS geographical categories'!$A$2:$C$45,2,FALSE)</f>
        <v>Predominantly Urban</v>
      </c>
      <c r="F1466" s="224" t="str">
        <f>VLOOKUP($B1466,'FRS geographical categories'!$A$2:$C$45,3,FALSE)</f>
        <v>Non-metropolitan</v>
      </c>
      <c r="G1466" s="98">
        <v>36432</v>
      </c>
    </row>
    <row r="1467" spans="1:7" ht="15.5" x14ac:dyDescent="0.35">
      <c r="A1467" s="224" t="s">
        <v>247</v>
      </c>
      <c r="B1467" s="224" t="s">
        <v>33</v>
      </c>
      <c r="C1467" s="224" t="s">
        <v>105</v>
      </c>
      <c r="D1467" s="224" t="s">
        <v>257</v>
      </c>
      <c r="E1467" s="224" t="str">
        <f>VLOOKUP($B1467,'FRS geographical categories'!$A$2:$C$45,2,FALSE)</f>
        <v>Predominantly Urban</v>
      </c>
      <c r="F1467" s="224" t="str">
        <f>VLOOKUP($B1467,'FRS geographical categories'!$A$2:$C$45,3,FALSE)</f>
        <v>Non-metropolitan</v>
      </c>
      <c r="G1467" s="98">
        <v>0</v>
      </c>
    </row>
    <row r="1468" spans="1:7" ht="15.5" x14ac:dyDescent="0.35">
      <c r="A1468" s="224" t="s">
        <v>247</v>
      </c>
      <c r="B1468" s="224" t="s">
        <v>33</v>
      </c>
      <c r="C1468" s="224" t="s">
        <v>106</v>
      </c>
      <c r="D1468" s="224" t="s">
        <v>257</v>
      </c>
      <c r="E1468" s="224" t="str">
        <f>VLOOKUP($B1468,'FRS geographical categories'!$A$2:$C$45,2,FALSE)</f>
        <v>Predominantly Urban</v>
      </c>
      <c r="F1468" s="224" t="str">
        <f>VLOOKUP($B1468,'FRS geographical categories'!$A$2:$C$45,3,FALSE)</f>
        <v>Non-metropolitan</v>
      </c>
      <c r="G1468" s="98">
        <v>11002</v>
      </c>
    </row>
    <row r="1469" spans="1:7" ht="15.5" x14ac:dyDescent="0.35">
      <c r="A1469" s="224" t="s">
        <v>247</v>
      </c>
      <c r="B1469" s="224" t="s">
        <v>33</v>
      </c>
      <c r="C1469" s="224" t="s">
        <v>107</v>
      </c>
      <c r="D1469" s="224" t="s">
        <v>257</v>
      </c>
      <c r="E1469" s="224" t="str">
        <f>VLOOKUP($B1469,'FRS geographical categories'!$A$2:$C$45,2,FALSE)</f>
        <v>Predominantly Urban</v>
      </c>
      <c r="F1469" s="224" t="str">
        <f>VLOOKUP($B1469,'FRS geographical categories'!$A$2:$C$45,3,FALSE)</f>
        <v>Non-metropolitan</v>
      </c>
      <c r="G1469" s="98">
        <v>0</v>
      </c>
    </row>
    <row r="1470" spans="1:7" ht="15.5" x14ac:dyDescent="0.35">
      <c r="A1470" s="224" t="s">
        <v>247</v>
      </c>
      <c r="B1470" s="224" t="s">
        <v>33</v>
      </c>
      <c r="C1470" s="224" t="s">
        <v>108</v>
      </c>
      <c r="D1470" s="224" t="s">
        <v>257</v>
      </c>
      <c r="E1470" s="224" t="str">
        <f>VLOOKUP($B1470,'FRS geographical categories'!$A$2:$C$45,2,FALSE)</f>
        <v>Predominantly Urban</v>
      </c>
      <c r="F1470" s="224" t="str">
        <f>VLOOKUP($B1470,'FRS geographical categories'!$A$2:$C$45,3,FALSE)</f>
        <v>Non-metropolitan</v>
      </c>
      <c r="G1470" s="98">
        <v>0</v>
      </c>
    </row>
    <row r="1471" spans="1:7" ht="15.5" x14ac:dyDescent="0.35">
      <c r="A1471" s="224" t="s">
        <v>247</v>
      </c>
      <c r="B1471" s="224" t="s">
        <v>33</v>
      </c>
      <c r="C1471" s="224" t="s">
        <v>109</v>
      </c>
      <c r="D1471" s="224" t="s">
        <v>257</v>
      </c>
      <c r="E1471" s="224" t="str">
        <f>VLOOKUP($B1471,'FRS geographical categories'!$A$2:$C$45,2,FALSE)</f>
        <v>Predominantly Urban</v>
      </c>
      <c r="F1471" s="224" t="str">
        <f>VLOOKUP($B1471,'FRS geographical categories'!$A$2:$C$45,3,FALSE)</f>
        <v>Non-metropolitan</v>
      </c>
      <c r="G1471" s="98">
        <v>0</v>
      </c>
    </row>
    <row r="1472" spans="1:7" ht="15.5" x14ac:dyDescent="0.35">
      <c r="A1472" s="224" t="s">
        <v>247</v>
      </c>
      <c r="B1472" s="224" t="s">
        <v>34</v>
      </c>
      <c r="C1472" s="224" t="s">
        <v>102</v>
      </c>
      <c r="D1472" s="224" t="s">
        <v>257</v>
      </c>
      <c r="E1472" s="224" t="str">
        <f>VLOOKUP($B1472,'FRS geographical categories'!$A$2:$C$45,2,FALSE)</f>
        <v>Significantly Rural</v>
      </c>
      <c r="F1472" s="224" t="str">
        <f>VLOOKUP($B1472,'FRS geographical categories'!$A$2:$C$45,3,FALSE)</f>
        <v>Non-metropolitan</v>
      </c>
      <c r="G1472" s="98">
        <v>8272</v>
      </c>
    </row>
    <row r="1473" spans="1:7" ht="15.5" x14ac:dyDescent="0.35">
      <c r="A1473" s="224" t="s">
        <v>247</v>
      </c>
      <c r="B1473" s="224" t="s">
        <v>34</v>
      </c>
      <c r="C1473" s="224" t="s">
        <v>105</v>
      </c>
      <c r="D1473" s="224" t="s">
        <v>257</v>
      </c>
      <c r="E1473" s="224" t="str">
        <f>VLOOKUP($B1473,'FRS geographical categories'!$A$2:$C$45,2,FALSE)</f>
        <v>Significantly Rural</v>
      </c>
      <c r="F1473" s="224" t="str">
        <f>VLOOKUP($B1473,'FRS geographical categories'!$A$2:$C$45,3,FALSE)</f>
        <v>Non-metropolitan</v>
      </c>
      <c r="G1473" s="98">
        <v>0</v>
      </c>
    </row>
    <row r="1474" spans="1:7" ht="15.5" x14ac:dyDescent="0.35">
      <c r="A1474" s="224" t="s">
        <v>247</v>
      </c>
      <c r="B1474" s="224" t="s">
        <v>34</v>
      </c>
      <c r="C1474" s="224" t="s">
        <v>106</v>
      </c>
      <c r="D1474" s="224" t="s">
        <v>257</v>
      </c>
      <c r="E1474" s="224" t="str">
        <f>VLOOKUP($B1474,'FRS geographical categories'!$A$2:$C$45,2,FALSE)</f>
        <v>Significantly Rural</v>
      </c>
      <c r="F1474" s="224" t="str">
        <f>VLOOKUP($B1474,'FRS geographical categories'!$A$2:$C$45,3,FALSE)</f>
        <v>Non-metropolitan</v>
      </c>
      <c r="G1474" s="98">
        <v>14904</v>
      </c>
    </row>
    <row r="1475" spans="1:7" ht="15.5" x14ac:dyDescent="0.35">
      <c r="A1475" s="224" t="s">
        <v>247</v>
      </c>
      <c r="B1475" s="224" t="s">
        <v>34</v>
      </c>
      <c r="C1475" s="224" t="s">
        <v>107</v>
      </c>
      <c r="D1475" s="224" t="s">
        <v>257</v>
      </c>
      <c r="E1475" s="224" t="str">
        <f>VLOOKUP($B1475,'FRS geographical categories'!$A$2:$C$45,2,FALSE)</f>
        <v>Significantly Rural</v>
      </c>
      <c r="F1475" s="224" t="str">
        <f>VLOOKUP($B1475,'FRS geographical categories'!$A$2:$C$45,3,FALSE)</f>
        <v>Non-metropolitan</v>
      </c>
      <c r="G1475" s="98">
        <v>0</v>
      </c>
    </row>
    <row r="1476" spans="1:7" ht="15.5" x14ac:dyDescent="0.35">
      <c r="A1476" s="224" t="s">
        <v>247</v>
      </c>
      <c r="B1476" s="224" t="s">
        <v>34</v>
      </c>
      <c r="C1476" s="224" t="s">
        <v>108</v>
      </c>
      <c r="D1476" s="224" t="s">
        <v>257</v>
      </c>
      <c r="E1476" s="224" t="str">
        <f>VLOOKUP($B1476,'FRS geographical categories'!$A$2:$C$45,2,FALSE)</f>
        <v>Significantly Rural</v>
      </c>
      <c r="F1476" s="224" t="str">
        <f>VLOOKUP($B1476,'FRS geographical categories'!$A$2:$C$45,3,FALSE)</f>
        <v>Non-metropolitan</v>
      </c>
      <c r="G1476" s="98">
        <v>0</v>
      </c>
    </row>
    <row r="1477" spans="1:7" ht="15.5" x14ac:dyDescent="0.35">
      <c r="A1477" s="224" t="s">
        <v>247</v>
      </c>
      <c r="B1477" s="224" t="s">
        <v>34</v>
      </c>
      <c r="C1477" s="224" t="s">
        <v>109</v>
      </c>
      <c r="D1477" s="224" t="s">
        <v>257</v>
      </c>
      <c r="E1477" s="224" t="str">
        <f>VLOOKUP($B1477,'FRS geographical categories'!$A$2:$C$45,2,FALSE)</f>
        <v>Significantly Rural</v>
      </c>
      <c r="F1477" s="224" t="str">
        <f>VLOOKUP($B1477,'FRS geographical categories'!$A$2:$C$45,3,FALSE)</f>
        <v>Non-metropolitan</v>
      </c>
      <c r="G1477" s="98">
        <v>500</v>
      </c>
    </row>
    <row r="1478" spans="1:7" ht="15.5" x14ac:dyDescent="0.35">
      <c r="A1478" s="224" t="s">
        <v>247</v>
      </c>
      <c r="B1478" s="224" t="s">
        <v>35</v>
      </c>
      <c r="C1478" s="224" t="s">
        <v>102</v>
      </c>
      <c r="D1478" s="224" t="s">
        <v>257</v>
      </c>
      <c r="E1478" s="224" t="str">
        <f>VLOOKUP($B1478,'FRS geographical categories'!$A$2:$C$45,2,FALSE)</f>
        <v>Predominantly Rural</v>
      </c>
      <c r="F1478" s="224" t="str">
        <f>VLOOKUP($B1478,'FRS geographical categories'!$A$2:$C$45,3,FALSE)</f>
        <v>Non-metropolitan</v>
      </c>
      <c r="G1478" s="98">
        <v>3285</v>
      </c>
    </row>
    <row r="1479" spans="1:7" ht="15.5" x14ac:dyDescent="0.35">
      <c r="A1479" s="224" t="s">
        <v>247</v>
      </c>
      <c r="B1479" s="224" t="s">
        <v>35</v>
      </c>
      <c r="C1479" s="224" t="s">
        <v>105</v>
      </c>
      <c r="D1479" s="224" t="s">
        <v>257</v>
      </c>
      <c r="E1479" s="224" t="str">
        <f>VLOOKUP($B1479,'FRS geographical categories'!$A$2:$C$45,2,FALSE)</f>
        <v>Predominantly Rural</v>
      </c>
      <c r="F1479" s="224" t="str">
        <f>VLOOKUP($B1479,'FRS geographical categories'!$A$2:$C$45,3,FALSE)</f>
        <v>Non-metropolitan</v>
      </c>
      <c r="G1479" s="98">
        <v>0</v>
      </c>
    </row>
    <row r="1480" spans="1:7" ht="15.5" x14ac:dyDescent="0.35">
      <c r="A1480" s="224" t="s">
        <v>247</v>
      </c>
      <c r="B1480" s="224" t="s">
        <v>35</v>
      </c>
      <c r="C1480" s="224" t="s">
        <v>106</v>
      </c>
      <c r="D1480" s="224" t="s">
        <v>257</v>
      </c>
      <c r="E1480" s="224" t="str">
        <f>VLOOKUP($B1480,'FRS geographical categories'!$A$2:$C$45,2,FALSE)</f>
        <v>Predominantly Rural</v>
      </c>
      <c r="F1480" s="224" t="str">
        <f>VLOOKUP($B1480,'FRS geographical categories'!$A$2:$C$45,3,FALSE)</f>
        <v>Non-metropolitan</v>
      </c>
      <c r="G1480" s="98">
        <v>15154</v>
      </c>
    </row>
    <row r="1481" spans="1:7" ht="15.5" x14ac:dyDescent="0.35">
      <c r="A1481" s="224" t="s">
        <v>247</v>
      </c>
      <c r="B1481" s="224" t="s">
        <v>35</v>
      </c>
      <c r="C1481" s="224" t="s">
        <v>107</v>
      </c>
      <c r="D1481" s="224" t="s">
        <v>257</v>
      </c>
      <c r="E1481" s="224" t="str">
        <f>VLOOKUP($B1481,'FRS geographical categories'!$A$2:$C$45,2,FALSE)</f>
        <v>Predominantly Rural</v>
      </c>
      <c r="F1481" s="224" t="str">
        <f>VLOOKUP($B1481,'FRS geographical categories'!$A$2:$C$45,3,FALSE)</f>
        <v>Non-metropolitan</v>
      </c>
      <c r="G1481" s="98">
        <v>0</v>
      </c>
    </row>
    <row r="1482" spans="1:7" ht="15.5" x14ac:dyDescent="0.35">
      <c r="A1482" s="224" t="s">
        <v>247</v>
      </c>
      <c r="B1482" s="224" t="s">
        <v>35</v>
      </c>
      <c r="C1482" s="224" t="s">
        <v>108</v>
      </c>
      <c r="D1482" s="224" t="s">
        <v>257</v>
      </c>
      <c r="E1482" s="224" t="str">
        <f>VLOOKUP($B1482,'FRS geographical categories'!$A$2:$C$45,2,FALSE)</f>
        <v>Predominantly Rural</v>
      </c>
      <c r="F1482" s="224" t="str">
        <f>VLOOKUP($B1482,'FRS geographical categories'!$A$2:$C$45,3,FALSE)</f>
        <v>Non-metropolitan</v>
      </c>
      <c r="G1482" s="98">
        <v>0</v>
      </c>
    </row>
    <row r="1483" spans="1:7" ht="15.5" x14ac:dyDescent="0.35">
      <c r="A1483" s="224" t="s">
        <v>247</v>
      </c>
      <c r="B1483" s="224" t="s">
        <v>35</v>
      </c>
      <c r="C1483" s="224" t="s">
        <v>109</v>
      </c>
      <c r="D1483" s="224" t="s">
        <v>257</v>
      </c>
      <c r="E1483" s="224" t="str">
        <f>VLOOKUP($B1483,'FRS geographical categories'!$A$2:$C$45,2,FALSE)</f>
        <v>Predominantly Rural</v>
      </c>
      <c r="F1483" s="224" t="str">
        <f>VLOOKUP($B1483,'FRS geographical categories'!$A$2:$C$45,3,FALSE)</f>
        <v>Non-metropolitan</v>
      </c>
      <c r="G1483" s="98">
        <v>0</v>
      </c>
    </row>
    <row r="1484" spans="1:7" ht="15.5" x14ac:dyDescent="0.35">
      <c r="A1484" s="224" t="s">
        <v>247</v>
      </c>
      <c r="B1484" s="224" t="s">
        <v>36</v>
      </c>
      <c r="C1484" s="224" t="s">
        <v>102</v>
      </c>
      <c r="D1484" s="224" t="s">
        <v>257</v>
      </c>
      <c r="E1484" s="224" t="str">
        <f>VLOOKUP($B1484,'FRS geographical categories'!$A$2:$C$45,2,FALSE)</f>
        <v>Predominantly Urban</v>
      </c>
      <c r="F1484" s="224" t="str">
        <f>VLOOKUP($B1484,'FRS geographical categories'!$A$2:$C$45,3,FALSE)</f>
        <v>Metropolitan</v>
      </c>
      <c r="G1484" s="98">
        <v>26</v>
      </c>
    </row>
    <row r="1485" spans="1:7" ht="15.5" x14ac:dyDescent="0.35">
      <c r="A1485" s="224" t="s">
        <v>247</v>
      </c>
      <c r="B1485" s="224" t="s">
        <v>36</v>
      </c>
      <c r="C1485" s="224" t="s">
        <v>105</v>
      </c>
      <c r="D1485" s="224" t="s">
        <v>257</v>
      </c>
      <c r="E1485" s="224" t="str">
        <f>VLOOKUP($B1485,'FRS geographical categories'!$A$2:$C$45,2,FALSE)</f>
        <v>Predominantly Urban</v>
      </c>
      <c r="F1485" s="224" t="str">
        <f>VLOOKUP($B1485,'FRS geographical categories'!$A$2:$C$45,3,FALSE)</f>
        <v>Metropolitan</v>
      </c>
      <c r="G1485" s="98">
        <v>0</v>
      </c>
    </row>
    <row r="1486" spans="1:7" ht="15.5" x14ac:dyDescent="0.35">
      <c r="A1486" s="224" t="s">
        <v>247</v>
      </c>
      <c r="B1486" s="224" t="s">
        <v>36</v>
      </c>
      <c r="C1486" s="224" t="s">
        <v>106</v>
      </c>
      <c r="D1486" s="224" t="s">
        <v>257</v>
      </c>
      <c r="E1486" s="224" t="str">
        <f>VLOOKUP($B1486,'FRS geographical categories'!$A$2:$C$45,2,FALSE)</f>
        <v>Predominantly Urban</v>
      </c>
      <c r="F1486" s="224" t="str">
        <f>VLOOKUP($B1486,'FRS geographical categories'!$A$2:$C$45,3,FALSE)</f>
        <v>Metropolitan</v>
      </c>
      <c r="G1486" s="98">
        <v>642</v>
      </c>
    </row>
    <row r="1487" spans="1:7" ht="15.5" x14ac:dyDescent="0.35">
      <c r="A1487" s="224" t="s">
        <v>247</v>
      </c>
      <c r="B1487" s="224" t="s">
        <v>36</v>
      </c>
      <c r="C1487" s="224" t="s">
        <v>107</v>
      </c>
      <c r="D1487" s="224" t="s">
        <v>257</v>
      </c>
      <c r="E1487" s="224" t="str">
        <f>VLOOKUP($B1487,'FRS geographical categories'!$A$2:$C$45,2,FALSE)</f>
        <v>Predominantly Urban</v>
      </c>
      <c r="F1487" s="224" t="str">
        <f>VLOOKUP($B1487,'FRS geographical categories'!$A$2:$C$45,3,FALSE)</f>
        <v>Metropolitan</v>
      </c>
      <c r="G1487" s="98">
        <v>0</v>
      </c>
    </row>
    <row r="1488" spans="1:7" ht="15.5" x14ac:dyDescent="0.35">
      <c r="A1488" s="224" t="s">
        <v>247</v>
      </c>
      <c r="B1488" s="224" t="s">
        <v>36</v>
      </c>
      <c r="C1488" s="224" t="s">
        <v>108</v>
      </c>
      <c r="D1488" s="224" t="s">
        <v>257</v>
      </c>
      <c r="E1488" s="224" t="str">
        <f>VLOOKUP($B1488,'FRS geographical categories'!$A$2:$C$45,2,FALSE)</f>
        <v>Predominantly Urban</v>
      </c>
      <c r="F1488" s="224" t="str">
        <f>VLOOKUP($B1488,'FRS geographical categories'!$A$2:$C$45,3,FALSE)</f>
        <v>Metropolitan</v>
      </c>
      <c r="G1488" s="98">
        <v>0</v>
      </c>
    </row>
    <row r="1489" spans="1:7" ht="15.5" x14ac:dyDescent="0.35">
      <c r="A1489" s="224" t="s">
        <v>247</v>
      </c>
      <c r="B1489" s="224" t="s">
        <v>36</v>
      </c>
      <c r="C1489" s="224" t="s">
        <v>109</v>
      </c>
      <c r="D1489" s="224" t="s">
        <v>257</v>
      </c>
      <c r="E1489" s="224" t="str">
        <f>VLOOKUP($B1489,'FRS geographical categories'!$A$2:$C$45,2,FALSE)</f>
        <v>Predominantly Urban</v>
      </c>
      <c r="F1489" s="224" t="str">
        <f>VLOOKUP($B1489,'FRS geographical categories'!$A$2:$C$45,3,FALSE)</f>
        <v>Metropolitan</v>
      </c>
      <c r="G1489" s="98">
        <v>0</v>
      </c>
    </row>
    <row r="1490" spans="1:7" ht="15.5" x14ac:dyDescent="0.35">
      <c r="A1490" s="224" t="s">
        <v>247</v>
      </c>
      <c r="B1490" s="224" t="s">
        <v>37</v>
      </c>
      <c r="C1490" s="224" t="s">
        <v>102</v>
      </c>
      <c r="D1490" s="224" t="s">
        <v>257</v>
      </c>
      <c r="E1490" s="224" t="str">
        <f>VLOOKUP($B1490,'FRS geographical categories'!$A$2:$C$45,2,FALSE)</f>
        <v>Predominantly Rural</v>
      </c>
      <c r="F1490" s="224" t="str">
        <f>VLOOKUP($B1490,'FRS geographical categories'!$A$2:$C$45,3,FALSE)</f>
        <v>Non-metropolitan</v>
      </c>
      <c r="G1490" s="98">
        <v>0</v>
      </c>
    </row>
    <row r="1491" spans="1:7" ht="15.5" x14ac:dyDescent="0.35">
      <c r="A1491" s="224" t="s">
        <v>247</v>
      </c>
      <c r="B1491" s="224" t="s">
        <v>37</v>
      </c>
      <c r="C1491" s="224" t="s">
        <v>105</v>
      </c>
      <c r="D1491" s="224" t="s">
        <v>257</v>
      </c>
      <c r="E1491" s="224" t="str">
        <f>VLOOKUP($B1491,'FRS geographical categories'!$A$2:$C$45,2,FALSE)</f>
        <v>Predominantly Rural</v>
      </c>
      <c r="F1491" s="224" t="str">
        <f>VLOOKUP($B1491,'FRS geographical categories'!$A$2:$C$45,3,FALSE)</f>
        <v>Non-metropolitan</v>
      </c>
      <c r="G1491" s="98">
        <v>0</v>
      </c>
    </row>
    <row r="1492" spans="1:7" ht="15.5" x14ac:dyDescent="0.35">
      <c r="A1492" s="224" t="s">
        <v>247</v>
      </c>
      <c r="B1492" s="224" t="s">
        <v>37</v>
      </c>
      <c r="C1492" s="224" t="s">
        <v>106</v>
      </c>
      <c r="D1492" s="224" t="s">
        <v>257</v>
      </c>
      <c r="E1492" s="224" t="str">
        <f>VLOOKUP($B1492,'FRS geographical categories'!$A$2:$C$45,2,FALSE)</f>
        <v>Predominantly Rural</v>
      </c>
      <c r="F1492" s="224" t="str">
        <f>VLOOKUP($B1492,'FRS geographical categories'!$A$2:$C$45,3,FALSE)</f>
        <v>Non-metropolitan</v>
      </c>
      <c r="G1492" s="98">
        <v>8339</v>
      </c>
    </row>
    <row r="1493" spans="1:7" ht="15.5" x14ac:dyDescent="0.35">
      <c r="A1493" s="224" t="s">
        <v>247</v>
      </c>
      <c r="B1493" s="224" t="s">
        <v>37</v>
      </c>
      <c r="C1493" s="224" t="s">
        <v>107</v>
      </c>
      <c r="D1493" s="224" t="s">
        <v>257</v>
      </c>
      <c r="E1493" s="224" t="str">
        <f>VLOOKUP($B1493,'FRS geographical categories'!$A$2:$C$45,2,FALSE)</f>
        <v>Predominantly Rural</v>
      </c>
      <c r="F1493" s="224" t="str">
        <f>VLOOKUP($B1493,'FRS geographical categories'!$A$2:$C$45,3,FALSE)</f>
        <v>Non-metropolitan</v>
      </c>
      <c r="G1493" s="98">
        <v>46</v>
      </c>
    </row>
    <row r="1494" spans="1:7" ht="15.5" x14ac:dyDescent="0.35">
      <c r="A1494" s="224" t="s">
        <v>247</v>
      </c>
      <c r="B1494" s="224" t="s">
        <v>37</v>
      </c>
      <c r="C1494" s="224" t="s">
        <v>108</v>
      </c>
      <c r="D1494" s="224" t="s">
        <v>257</v>
      </c>
      <c r="E1494" s="224" t="str">
        <f>VLOOKUP($B1494,'FRS geographical categories'!$A$2:$C$45,2,FALSE)</f>
        <v>Predominantly Rural</v>
      </c>
      <c r="F1494" s="224" t="str">
        <f>VLOOKUP($B1494,'FRS geographical categories'!$A$2:$C$45,3,FALSE)</f>
        <v>Non-metropolitan</v>
      </c>
      <c r="G1494" s="98">
        <v>1584</v>
      </c>
    </row>
    <row r="1495" spans="1:7" ht="15.5" x14ac:dyDescent="0.35">
      <c r="A1495" s="224" t="s">
        <v>247</v>
      </c>
      <c r="B1495" s="224" t="s">
        <v>37</v>
      </c>
      <c r="C1495" s="224" t="s">
        <v>109</v>
      </c>
      <c r="D1495" s="224" t="s">
        <v>257</v>
      </c>
      <c r="E1495" s="224" t="str">
        <f>VLOOKUP($B1495,'FRS geographical categories'!$A$2:$C$45,2,FALSE)</f>
        <v>Predominantly Rural</v>
      </c>
      <c r="F1495" s="224" t="str">
        <f>VLOOKUP($B1495,'FRS geographical categories'!$A$2:$C$45,3,FALSE)</f>
        <v>Non-metropolitan</v>
      </c>
      <c r="G1495" s="98">
        <v>0</v>
      </c>
    </row>
    <row r="1496" spans="1:7" ht="15.5" x14ac:dyDescent="0.35">
      <c r="A1496" s="224" t="s">
        <v>247</v>
      </c>
      <c r="B1496" s="224" t="s">
        <v>38</v>
      </c>
      <c r="C1496" s="224" t="s">
        <v>102</v>
      </c>
      <c r="D1496" s="224" t="s">
        <v>257</v>
      </c>
      <c r="E1496" s="224" t="str">
        <f>VLOOKUP($B1496,'FRS geographical categories'!$A$2:$C$45,2,FALSE)</f>
        <v>Predominantly Rural</v>
      </c>
      <c r="F1496" s="224" t="str">
        <f>VLOOKUP($B1496,'FRS geographical categories'!$A$2:$C$45,3,FALSE)</f>
        <v>Non-metropolitan</v>
      </c>
      <c r="G1496" s="98">
        <v>7</v>
      </c>
    </row>
    <row r="1497" spans="1:7" ht="15.5" x14ac:dyDescent="0.35">
      <c r="A1497" s="224" t="s">
        <v>247</v>
      </c>
      <c r="B1497" s="224" t="s">
        <v>38</v>
      </c>
      <c r="C1497" s="224" t="s">
        <v>105</v>
      </c>
      <c r="D1497" s="224" t="s">
        <v>257</v>
      </c>
      <c r="E1497" s="224" t="str">
        <f>VLOOKUP($B1497,'FRS geographical categories'!$A$2:$C$45,2,FALSE)</f>
        <v>Predominantly Rural</v>
      </c>
      <c r="F1497" s="224" t="str">
        <f>VLOOKUP($B1497,'FRS geographical categories'!$A$2:$C$45,3,FALSE)</f>
        <v>Non-metropolitan</v>
      </c>
      <c r="G1497" s="98">
        <v>0</v>
      </c>
    </row>
    <row r="1498" spans="1:7" ht="15.5" x14ac:dyDescent="0.35">
      <c r="A1498" s="224" t="s">
        <v>247</v>
      </c>
      <c r="B1498" s="224" t="s">
        <v>38</v>
      </c>
      <c r="C1498" s="224" t="s">
        <v>106</v>
      </c>
      <c r="D1498" s="224" t="s">
        <v>257</v>
      </c>
      <c r="E1498" s="224" t="str">
        <f>VLOOKUP($B1498,'FRS geographical categories'!$A$2:$C$45,2,FALSE)</f>
        <v>Predominantly Rural</v>
      </c>
      <c r="F1498" s="224" t="str">
        <f>VLOOKUP($B1498,'FRS geographical categories'!$A$2:$C$45,3,FALSE)</f>
        <v>Non-metropolitan</v>
      </c>
      <c r="G1498" s="98">
        <v>7332</v>
      </c>
    </row>
    <row r="1499" spans="1:7" ht="15.5" x14ac:dyDescent="0.35">
      <c r="A1499" s="224" t="s">
        <v>247</v>
      </c>
      <c r="B1499" s="224" t="s">
        <v>38</v>
      </c>
      <c r="C1499" s="224" t="s">
        <v>107</v>
      </c>
      <c r="D1499" s="224" t="s">
        <v>257</v>
      </c>
      <c r="E1499" s="224" t="str">
        <f>VLOOKUP($B1499,'FRS geographical categories'!$A$2:$C$45,2,FALSE)</f>
        <v>Predominantly Rural</v>
      </c>
      <c r="F1499" s="224" t="str">
        <f>VLOOKUP($B1499,'FRS geographical categories'!$A$2:$C$45,3,FALSE)</f>
        <v>Non-metropolitan</v>
      </c>
      <c r="G1499" s="98">
        <v>0</v>
      </c>
    </row>
    <row r="1500" spans="1:7" ht="15.5" x14ac:dyDescent="0.35">
      <c r="A1500" s="224" t="s">
        <v>247</v>
      </c>
      <c r="B1500" s="224" t="s">
        <v>38</v>
      </c>
      <c r="C1500" s="224" t="s">
        <v>108</v>
      </c>
      <c r="D1500" s="224" t="s">
        <v>257</v>
      </c>
      <c r="E1500" s="224" t="str">
        <f>VLOOKUP($B1500,'FRS geographical categories'!$A$2:$C$45,2,FALSE)</f>
        <v>Predominantly Rural</v>
      </c>
      <c r="F1500" s="224" t="str">
        <f>VLOOKUP($B1500,'FRS geographical categories'!$A$2:$C$45,3,FALSE)</f>
        <v>Non-metropolitan</v>
      </c>
      <c r="G1500" s="98">
        <v>0</v>
      </c>
    </row>
    <row r="1501" spans="1:7" ht="15.5" x14ac:dyDescent="0.35">
      <c r="A1501" s="224" t="s">
        <v>247</v>
      </c>
      <c r="B1501" s="224" t="s">
        <v>38</v>
      </c>
      <c r="C1501" s="224" t="s">
        <v>109</v>
      </c>
      <c r="D1501" s="224" t="s">
        <v>257</v>
      </c>
      <c r="E1501" s="224" t="str">
        <f>VLOOKUP($B1501,'FRS geographical categories'!$A$2:$C$45,2,FALSE)</f>
        <v>Predominantly Rural</v>
      </c>
      <c r="F1501" s="224" t="str">
        <f>VLOOKUP($B1501,'FRS geographical categories'!$A$2:$C$45,3,FALSE)</f>
        <v>Non-metropolitan</v>
      </c>
      <c r="G1501" s="98">
        <v>0</v>
      </c>
    </row>
    <row r="1502" spans="1:7" ht="15.5" x14ac:dyDescent="0.35">
      <c r="A1502" s="224" t="s">
        <v>247</v>
      </c>
      <c r="B1502" s="224" t="s">
        <v>39</v>
      </c>
      <c r="C1502" s="224" t="s">
        <v>102</v>
      </c>
      <c r="D1502" s="224" t="s">
        <v>257</v>
      </c>
      <c r="E1502" s="224" t="str">
        <f>VLOOKUP($B1502,'FRS geographical categories'!$A$2:$C$45,2,FALSE)</f>
        <v>Significantly Rural</v>
      </c>
      <c r="F1502" s="224" t="str">
        <f>VLOOKUP($B1502,'FRS geographical categories'!$A$2:$C$45,3,FALSE)</f>
        <v>Non-metropolitan</v>
      </c>
      <c r="G1502" s="98">
        <v>0</v>
      </c>
    </row>
    <row r="1503" spans="1:7" ht="15.5" x14ac:dyDescent="0.35">
      <c r="A1503" s="224" t="s">
        <v>247</v>
      </c>
      <c r="B1503" s="224" t="s">
        <v>39</v>
      </c>
      <c r="C1503" s="224" t="s">
        <v>105</v>
      </c>
      <c r="D1503" s="224" t="s">
        <v>257</v>
      </c>
      <c r="E1503" s="224" t="str">
        <f>VLOOKUP($B1503,'FRS geographical categories'!$A$2:$C$45,2,FALSE)</f>
        <v>Significantly Rural</v>
      </c>
      <c r="F1503" s="224" t="str">
        <f>VLOOKUP($B1503,'FRS geographical categories'!$A$2:$C$45,3,FALSE)</f>
        <v>Non-metropolitan</v>
      </c>
      <c r="G1503" s="98">
        <v>0</v>
      </c>
    </row>
    <row r="1504" spans="1:7" ht="15.5" x14ac:dyDescent="0.35">
      <c r="A1504" s="224" t="s">
        <v>247</v>
      </c>
      <c r="B1504" s="224" t="s">
        <v>39</v>
      </c>
      <c r="C1504" s="224" t="s">
        <v>106</v>
      </c>
      <c r="D1504" s="224" t="s">
        <v>257</v>
      </c>
      <c r="E1504" s="224" t="str">
        <f>VLOOKUP($B1504,'FRS geographical categories'!$A$2:$C$45,2,FALSE)</f>
        <v>Significantly Rural</v>
      </c>
      <c r="F1504" s="224" t="str">
        <f>VLOOKUP($B1504,'FRS geographical categories'!$A$2:$C$45,3,FALSE)</f>
        <v>Non-metropolitan</v>
      </c>
      <c r="G1504" s="98">
        <v>7902</v>
      </c>
    </row>
    <row r="1505" spans="1:7" ht="15.5" x14ac:dyDescent="0.35">
      <c r="A1505" s="224" t="s">
        <v>247</v>
      </c>
      <c r="B1505" s="224" t="s">
        <v>39</v>
      </c>
      <c r="C1505" s="224" t="s">
        <v>107</v>
      </c>
      <c r="D1505" s="224" t="s">
        <v>257</v>
      </c>
      <c r="E1505" s="224" t="str">
        <f>VLOOKUP($B1505,'FRS geographical categories'!$A$2:$C$45,2,FALSE)</f>
        <v>Significantly Rural</v>
      </c>
      <c r="F1505" s="224" t="str">
        <f>VLOOKUP($B1505,'FRS geographical categories'!$A$2:$C$45,3,FALSE)</f>
        <v>Non-metropolitan</v>
      </c>
      <c r="G1505" s="98">
        <v>0</v>
      </c>
    </row>
    <row r="1506" spans="1:7" ht="15.5" x14ac:dyDescent="0.35">
      <c r="A1506" s="224" t="s">
        <v>247</v>
      </c>
      <c r="B1506" s="224" t="s">
        <v>39</v>
      </c>
      <c r="C1506" s="224" t="s">
        <v>108</v>
      </c>
      <c r="D1506" s="224" t="s">
        <v>257</v>
      </c>
      <c r="E1506" s="224" t="str">
        <f>VLOOKUP($B1506,'FRS geographical categories'!$A$2:$C$45,2,FALSE)</f>
        <v>Significantly Rural</v>
      </c>
      <c r="F1506" s="224" t="str">
        <f>VLOOKUP($B1506,'FRS geographical categories'!$A$2:$C$45,3,FALSE)</f>
        <v>Non-metropolitan</v>
      </c>
      <c r="G1506" s="98">
        <v>1659</v>
      </c>
    </row>
    <row r="1507" spans="1:7" ht="15.5" x14ac:dyDescent="0.35">
      <c r="A1507" s="224" t="s">
        <v>247</v>
      </c>
      <c r="B1507" s="224" t="s">
        <v>39</v>
      </c>
      <c r="C1507" s="224" t="s">
        <v>109</v>
      </c>
      <c r="D1507" s="224" t="s">
        <v>257</v>
      </c>
      <c r="E1507" s="224" t="str">
        <f>VLOOKUP($B1507,'FRS geographical categories'!$A$2:$C$45,2,FALSE)</f>
        <v>Significantly Rural</v>
      </c>
      <c r="F1507" s="224" t="str">
        <f>VLOOKUP($B1507,'FRS geographical categories'!$A$2:$C$45,3,FALSE)</f>
        <v>Non-metropolitan</v>
      </c>
      <c r="G1507" s="98">
        <v>344</v>
      </c>
    </row>
    <row r="1508" spans="1:7" ht="15.5" x14ac:dyDescent="0.35">
      <c r="A1508" s="224" t="s">
        <v>247</v>
      </c>
      <c r="B1508" s="224" t="s">
        <v>40</v>
      </c>
      <c r="C1508" s="224" t="s">
        <v>102</v>
      </c>
      <c r="D1508" s="224" t="s">
        <v>257</v>
      </c>
      <c r="E1508" s="224" t="str">
        <f>VLOOKUP($B1508,'FRS geographical categories'!$A$2:$C$45,2,FALSE)</f>
        <v>Predominantly Rural</v>
      </c>
      <c r="F1508" s="224" t="str">
        <f>VLOOKUP($B1508,'FRS geographical categories'!$A$2:$C$45,3,FALSE)</f>
        <v>Non-metropolitan</v>
      </c>
      <c r="G1508" s="98">
        <v>0</v>
      </c>
    </row>
    <row r="1509" spans="1:7" ht="15.5" x14ac:dyDescent="0.35">
      <c r="A1509" s="224" t="s">
        <v>247</v>
      </c>
      <c r="B1509" s="224" t="s">
        <v>40</v>
      </c>
      <c r="C1509" s="224" t="s">
        <v>105</v>
      </c>
      <c r="D1509" s="224" t="s">
        <v>257</v>
      </c>
      <c r="E1509" s="224" t="str">
        <f>VLOOKUP($B1509,'FRS geographical categories'!$A$2:$C$45,2,FALSE)</f>
        <v>Predominantly Rural</v>
      </c>
      <c r="F1509" s="224" t="str">
        <f>VLOOKUP($B1509,'FRS geographical categories'!$A$2:$C$45,3,FALSE)</f>
        <v>Non-metropolitan</v>
      </c>
      <c r="G1509" s="98">
        <v>0</v>
      </c>
    </row>
    <row r="1510" spans="1:7" ht="15.5" x14ac:dyDescent="0.35">
      <c r="A1510" s="224" t="s">
        <v>247</v>
      </c>
      <c r="B1510" s="224" t="s">
        <v>40</v>
      </c>
      <c r="C1510" s="224" t="s">
        <v>106</v>
      </c>
      <c r="D1510" s="224" t="s">
        <v>257</v>
      </c>
      <c r="E1510" s="224" t="str">
        <f>VLOOKUP($B1510,'FRS geographical categories'!$A$2:$C$45,2,FALSE)</f>
        <v>Predominantly Rural</v>
      </c>
      <c r="F1510" s="224" t="str">
        <f>VLOOKUP($B1510,'FRS geographical categories'!$A$2:$C$45,3,FALSE)</f>
        <v>Non-metropolitan</v>
      </c>
      <c r="G1510" s="98">
        <v>8182</v>
      </c>
    </row>
    <row r="1511" spans="1:7" ht="15.5" x14ac:dyDescent="0.35">
      <c r="A1511" s="224" t="s">
        <v>247</v>
      </c>
      <c r="B1511" s="224" t="s">
        <v>40</v>
      </c>
      <c r="C1511" s="224" t="s">
        <v>107</v>
      </c>
      <c r="D1511" s="224" t="s">
        <v>257</v>
      </c>
      <c r="E1511" s="224" t="str">
        <f>VLOOKUP($B1511,'FRS geographical categories'!$A$2:$C$45,2,FALSE)</f>
        <v>Predominantly Rural</v>
      </c>
      <c r="F1511" s="224" t="str">
        <f>VLOOKUP($B1511,'FRS geographical categories'!$A$2:$C$45,3,FALSE)</f>
        <v>Non-metropolitan</v>
      </c>
      <c r="G1511" s="98">
        <v>0</v>
      </c>
    </row>
    <row r="1512" spans="1:7" ht="15.5" x14ac:dyDescent="0.35">
      <c r="A1512" s="224" t="s">
        <v>247</v>
      </c>
      <c r="B1512" s="224" t="s">
        <v>40</v>
      </c>
      <c r="C1512" s="224" t="s">
        <v>108</v>
      </c>
      <c r="D1512" s="224" t="s">
        <v>257</v>
      </c>
      <c r="E1512" s="224" t="str">
        <f>VLOOKUP($B1512,'FRS geographical categories'!$A$2:$C$45,2,FALSE)</f>
        <v>Predominantly Rural</v>
      </c>
      <c r="F1512" s="224" t="str">
        <f>VLOOKUP($B1512,'FRS geographical categories'!$A$2:$C$45,3,FALSE)</f>
        <v>Non-metropolitan</v>
      </c>
      <c r="G1512" s="98">
        <v>1596</v>
      </c>
    </row>
    <row r="1513" spans="1:7" ht="15.5" x14ac:dyDescent="0.35">
      <c r="A1513" s="224" t="s">
        <v>247</v>
      </c>
      <c r="B1513" s="224" t="s">
        <v>40</v>
      </c>
      <c r="C1513" s="224" t="s">
        <v>109</v>
      </c>
      <c r="D1513" s="224" t="s">
        <v>257</v>
      </c>
      <c r="E1513" s="224" t="str">
        <f>VLOOKUP($B1513,'FRS geographical categories'!$A$2:$C$45,2,FALSE)</f>
        <v>Predominantly Rural</v>
      </c>
      <c r="F1513" s="224" t="str">
        <f>VLOOKUP($B1513,'FRS geographical categories'!$A$2:$C$45,3,FALSE)</f>
        <v>Non-metropolitan</v>
      </c>
      <c r="G1513" s="98">
        <v>0</v>
      </c>
    </row>
    <row r="1514" spans="1:7" ht="15.5" x14ac:dyDescent="0.35">
      <c r="A1514" s="224" t="s">
        <v>247</v>
      </c>
      <c r="B1514" s="224" t="s">
        <v>41</v>
      </c>
      <c r="C1514" s="224" t="s">
        <v>102</v>
      </c>
      <c r="D1514" s="224" t="s">
        <v>257</v>
      </c>
      <c r="E1514" s="224" t="str">
        <f>VLOOKUP($B1514,'FRS geographical categories'!$A$2:$C$45,2,FALSE)</f>
        <v>Predominantly Urban</v>
      </c>
      <c r="F1514" s="224" t="str">
        <f>VLOOKUP($B1514,'FRS geographical categories'!$A$2:$C$45,3,FALSE)</f>
        <v>Non-metropolitan</v>
      </c>
      <c r="G1514" s="98">
        <v>0</v>
      </c>
    </row>
    <row r="1515" spans="1:7" ht="15.5" x14ac:dyDescent="0.35">
      <c r="A1515" s="224" t="s">
        <v>247</v>
      </c>
      <c r="B1515" s="224" t="s">
        <v>41</v>
      </c>
      <c r="C1515" s="224" t="s">
        <v>105</v>
      </c>
      <c r="D1515" s="224" t="s">
        <v>257</v>
      </c>
      <c r="E1515" s="224" t="str">
        <f>VLOOKUP($B1515,'FRS geographical categories'!$A$2:$C$45,2,FALSE)</f>
        <v>Predominantly Urban</v>
      </c>
      <c r="F1515" s="224" t="str">
        <f>VLOOKUP($B1515,'FRS geographical categories'!$A$2:$C$45,3,FALSE)</f>
        <v>Non-metropolitan</v>
      </c>
      <c r="G1515" s="98">
        <v>0</v>
      </c>
    </row>
    <row r="1516" spans="1:7" ht="15.5" x14ac:dyDescent="0.35">
      <c r="A1516" s="224" t="s">
        <v>247</v>
      </c>
      <c r="B1516" s="224" t="s">
        <v>41</v>
      </c>
      <c r="C1516" s="224" t="s">
        <v>106</v>
      </c>
      <c r="D1516" s="224" t="s">
        <v>257</v>
      </c>
      <c r="E1516" s="224" t="str">
        <f>VLOOKUP($B1516,'FRS geographical categories'!$A$2:$C$45,2,FALSE)</f>
        <v>Predominantly Urban</v>
      </c>
      <c r="F1516" s="224" t="str">
        <f>VLOOKUP($B1516,'FRS geographical categories'!$A$2:$C$45,3,FALSE)</f>
        <v>Non-metropolitan</v>
      </c>
      <c r="G1516" s="98">
        <v>33982</v>
      </c>
    </row>
    <row r="1517" spans="1:7" ht="15.5" x14ac:dyDescent="0.35">
      <c r="A1517" s="224" t="s">
        <v>247</v>
      </c>
      <c r="B1517" s="224" t="s">
        <v>41</v>
      </c>
      <c r="C1517" s="224" t="s">
        <v>107</v>
      </c>
      <c r="D1517" s="224" t="s">
        <v>257</v>
      </c>
      <c r="E1517" s="224" t="str">
        <f>VLOOKUP($B1517,'FRS geographical categories'!$A$2:$C$45,2,FALSE)</f>
        <v>Predominantly Urban</v>
      </c>
      <c r="F1517" s="224" t="str">
        <f>VLOOKUP($B1517,'FRS geographical categories'!$A$2:$C$45,3,FALSE)</f>
        <v>Non-metropolitan</v>
      </c>
      <c r="G1517" s="98">
        <v>0</v>
      </c>
    </row>
    <row r="1518" spans="1:7" ht="15.5" x14ac:dyDescent="0.35">
      <c r="A1518" s="224" t="s">
        <v>247</v>
      </c>
      <c r="B1518" s="224" t="s">
        <v>41</v>
      </c>
      <c r="C1518" s="224" t="s">
        <v>108</v>
      </c>
      <c r="D1518" s="224" t="s">
        <v>257</v>
      </c>
      <c r="E1518" s="224" t="str">
        <f>VLOOKUP($B1518,'FRS geographical categories'!$A$2:$C$45,2,FALSE)</f>
        <v>Predominantly Urban</v>
      </c>
      <c r="F1518" s="224" t="str">
        <f>VLOOKUP($B1518,'FRS geographical categories'!$A$2:$C$45,3,FALSE)</f>
        <v>Non-metropolitan</v>
      </c>
      <c r="G1518" s="98">
        <v>0</v>
      </c>
    </row>
    <row r="1519" spans="1:7" ht="15.5" x14ac:dyDescent="0.35">
      <c r="A1519" s="224" t="s">
        <v>247</v>
      </c>
      <c r="B1519" s="224" t="s">
        <v>41</v>
      </c>
      <c r="C1519" s="224" t="s">
        <v>109</v>
      </c>
      <c r="D1519" s="224" t="s">
        <v>257</v>
      </c>
      <c r="E1519" s="224" t="str">
        <f>VLOOKUP($B1519,'FRS geographical categories'!$A$2:$C$45,2,FALSE)</f>
        <v>Predominantly Urban</v>
      </c>
      <c r="F1519" s="224" t="str">
        <f>VLOOKUP($B1519,'FRS geographical categories'!$A$2:$C$45,3,FALSE)</f>
        <v>Non-metropolitan</v>
      </c>
      <c r="G1519" s="98">
        <v>0</v>
      </c>
    </row>
    <row r="1520" spans="1:7" ht="15.5" x14ac:dyDescent="0.35">
      <c r="A1520" s="224" t="s">
        <v>247</v>
      </c>
      <c r="B1520" s="224" t="s">
        <v>42</v>
      </c>
      <c r="C1520" s="224" t="s">
        <v>102</v>
      </c>
      <c r="D1520" s="224" t="s">
        <v>257</v>
      </c>
      <c r="E1520" s="224" t="str">
        <f>VLOOKUP($B1520,'FRS geographical categories'!$A$2:$C$45,2,FALSE)</f>
        <v>Predominantly Rural</v>
      </c>
      <c r="F1520" s="224" t="str">
        <f>VLOOKUP($B1520,'FRS geographical categories'!$A$2:$C$45,3,FALSE)</f>
        <v>Non-metropolitan</v>
      </c>
      <c r="G1520" s="98">
        <v>657</v>
      </c>
    </row>
    <row r="1521" spans="1:7" ht="15.5" x14ac:dyDescent="0.35">
      <c r="A1521" s="224" t="s">
        <v>247</v>
      </c>
      <c r="B1521" s="224" t="s">
        <v>42</v>
      </c>
      <c r="C1521" s="224" t="s">
        <v>105</v>
      </c>
      <c r="D1521" s="224" t="s">
        <v>257</v>
      </c>
      <c r="E1521" s="224" t="str">
        <f>VLOOKUP($B1521,'FRS geographical categories'!$A$2:$C$45,2,FALSE)</f>
        <v>Predominantly Rural</v>
      </c>
      <c r="F1521" s="224" t="str">
        <f>VLOOKUP($B1521,'FRS geographical categories'!$A$2:$C$45,3,FALSE)</f>
        <v>Non-metropolitan</v>
      </c>
      <c r="G1521" s="98">
        <v>0</v>
      </c>
    </row>
    <row r="1522" spans="1:7" ht="15.5" x14ac:dyDescent="0.35">
      <c r="A1522" s="224" t="s">
        <v>247</v>
      </c>
      <c r="B1522" s="224" t="s">
        <v>42</v>
      </c>
      <c r="C1522" s="224" t="s">
        <v>106</v>
      </c>
      <c r="D1522" s="224" t="s">
        <v>257</v>
      </c>
      <c r="E1522" s="224" t="str">
        <f>VLOOKUP($B1522,'FRS geographical categories'!$A$2:$C$45,2,FALSE)</f>
        <v>Predominantly Rural</v>
      </c>
      <c r="F1522" s="224" t="str">
        <f>VLOOKUP($B1522,'FRS geographical categories'!$A$2:$C$45,3,FALSE)</f>
        <v>Non-metropolitan</v>
      </c>
      <c r="G1522" s="98">
        <v>4625</v>
      </c>
    </row>
    <row r="1523" spans="1:7" ht="15.5" x14ac:dyDescent="0.35">
      <c r="A1523" s="224" t="s">
        <v>247</v>
      </c>
      <c r="B1523" s="224" t="s">
        <v>42</v>
      </c>
      <c r="C1523" s="224" t="s">
        <v>107</v>
      </c>
      <c r="D1523" s="224" t="s">
        <v>257</v>
      </c>
      <c r="E1523" s="224" t="str">
        <f>VLOOKUP($B1523,'FRS geographical categories'!$A$2:$C$45,2,FALSE)</f>
        <v>Predominantly Rural</v>
      </c>
      <c r="F1523" s="224" t="str">
        <f>VLOOKUP($B1523,'FRS geographical categories'!$A$2:$C$45,3,FALSE)</f>
        <v>Non-metropolitan</v>
      </c>
      <c r="G1523" s="98">
        <v>0</v>
      </c>
    </row>
    <row r="1524" spans="1:7" ht="15.5" x14ac:dyDescent="0.35">
      <c r="A1524" s="224" t="s">
        <v>247</v>
      </c>
      <c r="B1524" s="224" t="s">
        <v>42</v>
      </c>
      <c r="C1524" s="224" t="s">
        <v>108</v>
      </c>
      <c r="D1524" s="224" t="s">
        <v>257</v>
      </c>
      <c r="E1524" s="224" t="str">
        <f>VLOOKUP($B1524,'FRS geographical categories'!$A$2:$C$45,2,FALSE)</f>
        <v>Predominantly Rural</v>
      </c>
      <c r="F1524" s="224" t="str">
        <f>VLOOKUP($B1524,'FRS geographical categories'!$A$2:$C$45,3,FALSE)</f>
        <v>Non-metropolitan</v>
      </c>
      <c r="G1524" s="98">
        <v>0</v>
      </c>
    </row>
    <row r="1525" spans="1:7" ht="15.5" x14ac:dyDescent="0.35">
      <c r="A1525" s="224" t="s">
        <v>247</v>
      </c>
      <c r="B1525" s="224" t="s">
        <v>42</v>
      </c>
      <c r="C1525" s="224" t="s">
        <v>109</v>
      </c>
      <c r="D1525" s="224" t="s">
        <v>257</v>
      </c>
      <c r="E1525" s="224" t="str">
        <f>VLOOKUP($B1525,'FRS geographical categories'!$A$2:$C$45,2,FALSE)</f>
        <v>Predominantly Rural</v>
      </c>
      <c r="F1525" s="224" t="str">
        <f>VLOOKUP($B1525,'FRS geographical categories'!$A$2:$C$45,3,FALSE)</f>
        <v>Non-metropolitan</v>
      </c>
      <c r="G1525" s="98">
        <v>0</v>
      </c>
    </row>
    <row r="1526" spans="1:7" ht="15.5" x14ac:dyDescent="0.35">
      <c r="A1526" s="224" t="s">
        <v>247</v>
      </c>
      <c r="B1526" s="224" t="s">
        <v>43</v>
      </c>
      <c r="C1526" s="224" t="s">
        <v>102</v>
      </c>
      <c r="D1526" s="224" t="s">
        <v>257</v>
      </c>
      <c r="E1526" s="224" t="str">
        <f>VLOOKUP($B1526,'FRS geographical categories'!$A$2:$C$45,2,FALSE)</f>
        <v>Predominantly Rural</v>
      </c>
      <c r="F1526" s="224" t="str">
        <f>VLOOKUP($B1526,'FRS geographical categories'!$A$2:$C$45,3,FALSE)</f>
        <v>Non-metropolitan</v>
      </c>
      <c r="G1526" s="98">
        <v>0</v>
      </c>
    </row>
    <row r="1527" spans="1:7" ht="15.5" x14ac:dyDescent="0.35">
      <c r="A1527" s="224" t="s">
        <v>247</v>
      </c>
      <c r="B1527" s="224" t="s">
        <v>43</v>
      </c>
      <c r="C1527" s="224" t="s">
        <v>105</v>
      </c>
      <c r="D1527" s="224" t="s">
        <v>257</v>
      </c>
      <c r="E1527" s="224" t="str">
        <f>VLOOKUP($B1527,'FRS geographical categories'!$A$2:$C$45,2,FALSE)</f>
        <v>Predominantly Rural</v>
      </c>
      <c r="F1527" s="224" t="str">
        <f>VLOOKUP($B1527,'FRS geographical categories'!$A$2:$C$45,3,FALSE)</f>
        <v>Non-metropolitan</v>
      </c>
      <c r="G1527" s="98">
        <v>0</v>
      </c>
    </row>
    <row r="1528" spans="1:7" ht="15.5" x14ac:dyDescent="0.35">
      <c r="A1528" s="224" t="s">
        <v>247</v>
      </c>
      <c r="B1528" s="224" t="s">
        <v>43</v>
      </c>
      <c r="C1528" s="224" t="s">
        <v>106</v>
      </c>
      <c r="D1528" s="224" t="s">
        <v>257</v>
      </c>
      <c r="E1528" s="224" t="str">
        <f>VLOOKUP($B1528,'FRS geographical categories'!$A$2:$C$45,2,FALSE)</f>
        <v>Predominantly Rural</v>
      </c>
      <c r="F1528" s="224" t="str">
        <f>VLOOKUP($B1528,'FRS geographical categories'!$A$2:$C$45,3,FALSE)</f>
        <v>Non-metropolitan</v>
      </c>
      <c r="G1528" s="98">
        <v>4169</v>
      </c>
    </row>
    <row r="1529" spans="1:7" ht="15.5" x14ac:dyDescent="0.35">
      <c r="A1529" s="224" t="s">
        <v>247</v>
      </c>
      <c r="B1529" s="224" t="s">
        <v>43</v>
      </c>
      <c r="C1529" s="224" t="s">
        <v>107</v>
      </c>
      <c r="D1529" s="224" t="s">
        <v>257</v>
      </c>
      <c r="E1529" s="224" t="str">
        <f>VLOOKUP($B1529,'FRS geographical categories'!$A$2:$C$45,2,FALSE)</f>
        <v>Predominantly Rural</v>
      </c>
      <c r="F1529" s="224" t="str">
        <f>VLOOKUP($B1529,'FRS geographical categories'!$A$2:$C$45,3,FALSE)</f>
        <v>Non-metropolitan</v>
      </c>
      <c r="G1529" s="98">
        <v>0</v>
      </c>
    </row>
    <row r="1530" spans="1:7" ht="15.5" x14ac:dyDescent="0.35">
      <c r="A1530" s="224" t="s">
        <v>247</v>
      </c>
      <c r="B1530" s="224" t="s">
        <v>43</v>
      </c>
      <c r="C1530" s="224" t="s">
        <v>108</v>
      </c>
      <c r="D1530" s="224" t="s">
        <v>257</v>
      </c>
      <c r="E1530" s="224" t="str">
        <f>VLOOKUP($B1530,'FRS geographical categories'!$A$2:$C$45,2,FALSE)</f>
        <v>Predominantly Rural</v>
      </c>
      <c r="F1530" s="224" t="str">
        <f>VLOOKUP($B1530,'FRS geographical categories'!$A$2:$C$45,3,FALSE)</f>
        <v>Non-metropolitan</v>
      </c>
      <c r="G1530" s="98">
        <v>1225</v>
      </c>
    </row>
    <row r="1531" spans="1:7" ht="15.5" x14ac:dyDescent="0.35">
      <c r="A1531" s="224" t="s">
        <v>247</v>
      </c>
      <c r="B1531" s="224" t="s">
        <v>43</v>
      </c>
      <c r="C1531" s="224" t="s">
        <v>109</v>
      </c>
      <c r="D1531" s="224" t="s">
        <v>257</v>
      </c>
      <c r="E1531" s="224" t="str">
        <f>VLOOKUP($B1531,'FRS geographical categories'!$A$2:$C$45,2,FALSE)</f>
        <v>Predominantly Rural</v>
      </c>
      <c r="F1531" s="224" t="str">
        <f>VLOOKUP($B1531,'FRS geographical categories'!$A$2:$C$45,3,FALSE)</f>
        <v>Non-metropolitan</v>
      </c>
      <c r="G1531" s="98">
        <v>0</v>
      </c>
    </row>
    <row r="1532" spans="1:7" ht="15.5" x14ac:dyDescent="0.35">
      <c r="A1532" s="224" t="s">
        <v>247</v>
      </c>
      <c r="B1532" s="224" t="s">
        <v>44</v>
      </c>
      <c r="C1532" s="224" t="s">
        <v>102</v>
      </c>
      <c r="D1532" s="224" t="s">
        <v>257</v>
      </c>
      <c r="E1532" s="224" t="str">
        <f>VLOOKUP($B1532,'FRS geographical categories'!$A$2:$C$45,2,FALSE)</f>
        <v>Predominantly Urban</v>
      </c>
      <c r="F1532" s="224" t="str">
        <f>VLOOKUP($B1532,'FRS geographical categories'!$A$2:$C$45,3,FALSE)</f>
        <v>Metropolitan</v>
      </c>
      <c r="G1532" s="98">
        <v>5939</v>
      </c>
    </row>
    <row r="1533" spans="1:7" ht="15.5" x14ac:dyDescent="0.35">
      <c r="A1533" s="224" t="s">
        <v>247</v>
      </c>
      <c r="B1533" s="224" t="s">
        <v>44</v>
      </c>
      <c r="C1533" s="224" t="s">
        <v>105</v>
      </c>
      <c r="D1533" s="224" t="s">
        <v>257</v>
      </c>
      <c r="E1533" s="224" t="str">
        <f>VLOOKUP($B1533,'FRS geographical categories'!$A$2:$C$45,2,FALSE)</f>
        <v>Predominantly Urban</v>
      </c>
      <c r="F1533" s="224" t="str">
        <f>VLOOKUP($B1533,'FRS geographical categories'!$A$2:$C$45,3,FALSE)</f>
        <v>Metropolitan</v>
      </c>
      <c r="G1533" s="98">
        <v>135</v>
      </c>
    </row>
    <row r="1534" spans="1:7" ht="15.5" x14ac:dyDescent="0.35">
      <c r="A1534" s="224" t="s">
        <v>247</v>
      </c>
      <c r="B1534" s="224" t="s">
        <v>44</v>
      </c>
      <c r="C1534" s="224" t="s">
        <v>106</v>
      </c>
      <c r="D1534" s="224" t="s">
        <v>257</v>
      </c>
      <c r="E1534" s="224" t="str">
        <f>VLOOKUP($B1534,'FRS geographical categories'!$A$2:$C$45,2,FALSE)</f>
        <v>Predominantly Urban</v>
      </c>
      <c r="F1534" s="224" t="str">
        <f>VLOOKUP($B1534,'FRS geographical categories'!$A$2:$C$45,3,FALSE)</f>
        <v>Metropolitan</v>
      </c>
      <c r="G1534" s="98">
        <v>50945</v>
      </c>
    </row>
    <row r="1535" spans="1:7" ht="15.5" x14ac:dyDescent="0.35">
      <c r="A1535" s="224" t="s">
        <v>247</v>
      </c>
      <c r="B1535" s="224" t="s">
        <v>44</v>
      </c>
      <c r="C1535" s="224" t="s">
        <v>107</v>
      </c>
      <c r="D1535" s="224" t="s">
        <v>257</v>
      </c>
      <c r="E1535" s="224" t="str">
        <f>VLOOKUP($B1535,'FRS geographical categories'!$A$2:$C$45,2,FALSE)</f>
        <v>Predominantly Urban</v>
      </c>
      <c r="F1535" s="224" t="str">
        <f>VLOOKUP($B1535,'FRS geographical categories'!$A$2:$C$45,3,FALSE)</f>
        <v>Metropolitan</v>
      </c>
      <c r="G1535" s="98">
        <v>64</v>
      </c>
    </row>
    <row r="1536" spans="1:7" ht="15.5" x14ac:dyDescent="0.35">
      <c r="A1536" s="224" t="s">
        <v>247</v>
      </c>
      <c r="B1536" s="224" t="s">
        <v>44</v>
      </c>
      <c r="C1536" s="224" t="s">
        <v>108</v>
      </c>
      <c r="D1536" s="224" t="s">
        <v>257</v>
      </c>
      <c r="E1536" s="224" t="str">
        <f>VLOOKUP($B1536,'FRS geographical categories'!$A$2:$C$45,2,FALSE)</f>
        <v>Predominantly Urban</v>
      </c>
      <c r="F1536" s="224" t="str">
        <f>VLOOKUP($B1536,'FRS geographical categories'!$A$2:$C$45,3,FALSE)</f>
        <v>Metropolitan</v>
      </c>
      <c r="G1536" s="98">
        <v>0</v>
      </c>
    </row>
    <row r="1537" spans="1:7" ht="15.5" x14ac:dyDescent="0.35">
      <c r="A1537" s="224" t="s">
        <v>247</v>
      </c>
      <c r="B1537" s="224" t="s">
        <v>44</v>
      </c>
      <c r="C1537" s="224" t="s">
        <v>109</v>
      </c>
      <c r="D1537" s="224" t="s">
        <v>257</v>
      </c>
      <c r="E1537" s="224" t="str">
        <f>VLOOKUP($B1537,'FRS geographical categories'!$A$2:$C$45,2,FALSE)</f>
        <v>Predominantly Urban</v>
      </c>
      <c r="F1537" s="224" t="str">
        <f>VLOOKUP($B1537,'FRS geographical categories'!$A$2:$C$45,3,FALSE)</f>
        <v>Metropolitan</v>
      </c>
      <c r="G1537" s="98">
        <v>0</v>
      </c>
    </row>
    <row r="1538" spans="1:7" ht="15.5" x14ac:dyDescent="0.35">
      <c r="A1538" s="224" t="s">
        <v>247</v>
      </c>
      <c r="B1538" s="224" t="s">
        <v>45</v>
      </c>
      <c r="C1538" s="224" t="s">
        <v>102</v>
      </c>
      <c r="D1538" s="224" t="s">
        <v>257</v>
      </c>
      <c r="E1538" s="224" t="str">
        <f>VLOOKUP($B1538,'FRS geographical categories'!$A$2:$C$45,2,FALSE)</f>
        <v>Significantly Rural</v>
      </c>
      <c r="F1538" s="224" t="str">
        <f>VLOOKUP($B1538,'FRS geographical categories'!$A$2:$C$45,3,FALSE)</f>
        <v>Non-metropolitan</v>
      </c>
      <c r="G1538" s="98">
        <v>0</v>
      </c>
    </row>
    <row r="1539" spans="1:7" ht="15.5" x14ac:dyDescent="0.35">
      <c r="A1539" s="224" t="s">
        <v>247</v>
      </c>
      <c r="B1539" s="224" t="s">
        <v>45</v>
      </c>
      <c r="C1539" s="224" t="s">
        <v>105</v>
      </c>
      <c r="D1539" s="224" t="s">
        <v>257</v>
      </c>
      <c r="E1539" s="224" t="str">
        <f>VLOOKUP($B1539,'FRS geographical categories'!$A$2:$C$45,2,FALSE)</f>
        <v>Significantly Rural</v>
      </c>
      <c r="F1539" s="224" t="str">
        <f>VLOOKUP($B1539,'FRS geographical categories'!$A$2:$C$45,3,FALSE)</f>
        <v>Non-metropolitan</v>
      </c>
      <c r="G1539" s="98">
        <v>0</v>
      </c>
    </row>
    <row r="1540" spans="1:7" ht="15.5" x14ac:dyDescent="0.35">
      <c r="A1540" s="224" t="s">
        <v>247</v>
      </c>
      <c r="B1540" s="224" t="s">
        <v>45</v>
      </c>
      <c r="C1540" s="224" t="s">
        <v>106</v>
      </c>
      <c r="D1540" s="224" t="s">
        <v>257</v>
      </c>
      <c r="E1540" s="224" t="str">
        <f>VLOOKUP($B1540,'FRS geographical categories'!$A$2:$C$45,2,FALSE)</f>
        <v>Significantly Rural</v>
      </c>
      <c r="F1540" s="224" t="str">
        <f>VLOOKUP($B1540,'FRS geographical categories'!$A$2:$C$45,3,FALSE)</f>
        <v>Non-metropolitan</v>
      </c>
      <c r="G1540" s="98">
        <v>0</v>
      </c>
    </row>
    <row r="1541" spans="1:7" ht="15.5" x14ac:dyDescent="0.35">
      <c r="A1541" s="224" t="s">
        <v>247</v>
      </c>
      <c r="B1541" s="224" t="s">
        <v>45</v>
      </c>
      <c r="C1541" s="224" t="s">
        <v>107</v>
      </c>
      <c r="D1541" s="224" t="s">
        <v>257</v>
      </c>
      <c r="E1541" s="224" t="str">
        <f>VLOOKUP($B1541,'FRS geographical categories'!$A$2:$C$45,2,FALSE)</f>
        <v>Significantly Rural</v>
      </c>
      <c r="F1541" s="224" t="str">
        <f>VLOOKUP($B1541,'FRS geographical categories'!$A$2:$C$45,3,FALSE)</f>
        <v>Non-metropolitan</v>
      </c>
      <c r="G1541" s="98">
        <v>0</v>
      </c>
    </row>
    <row r="1542" spans="1:7" ht="15.5" x14ac:dyDescent="0.35">
      <c r="A1542" s="224" t="s">
        <v>247</v>
      </c>
      <c r="B1542" s="224" t="s">
        <v>45</v>
      </c>
      <c r="C1542" s="224" t="s">
        <v>108</v>
      </c>
      <c r="D1542" s="224" t="s">
        <v>257</v>
      </c>
      <c r="E1542" s="224" t="str">
        <f>VLOOKUP($B1542,'FRS geographical categories'!$A$2:$C$45,2,FALSE)</f>
        <v>Significantly Rural</v>
      </c>
      <c r="F1542" s="224" t="str">
        <f>VLOOKUP($B1542,'FRS geographical categories'!$A$2:$C$45,3,FALSE)</f>
        <v>Non-metropolitan</v>
      </c>
      <c r="G1542" s="98">
        <v>0</v>
      </c>
    </row>
    <row r="1543" spans="1:7" ht="15.5" x14ac:dyDescent="0.35">
      <c r="A1543" s="224" t="s">
        <v>247</v>
      </c>
      <c r="B1543" s="224" t="s">
        <v>45</v>
      </c>
      <c r="C1543" s="224" t="s">
        <v>109</v>
      </c>
      <c r="D1543" s="224" t="s">
        <v>257</v>
      </c>
      <c r="E1543" s="224" t="str">
        <f>VLOOKUP($B1543,'FRS geographical categories'!$A$2:$C$45,2,FALSE)</f>
        <v>Significantly Rural</v>
      </c>
      <c r="F1543" s="224" t="str">
        <f>VLOOKUP($B1543,'FRS geographical categories'!$A$2:$C$45,3,FALSE)</f>
        <v>Non-metropolitan</v>
      </c>
      <c r="G1543" s="98">
        <v>0</v>
      </c>
    </row>
    <row r="1544" spans="1:7" ht="15.5" x14ac:dyDescent="0.35">
      <c r="A1544" s="224" t="s">
        <v>247</v>
      </c>
      <c r="B1544" s="224" t="s">
        <v>46</v>
      </c>
      <c r="C1544" s="224" t="s">
        <v>102</v>
      </c>
      <c r="D1544" s="224" t="s">
        <v>257</v>
      </c>
      <c r="E1544" s="224" t="str">
        <f>VLOOKUP($B1544,'FRS geographical categories'!$A$2:$C$45,2,FALSE)</f>
        <v>Predominantly Rural</v>
      </c>
      <c r="F1544" s="224" t="str">
        <f>VLOOKUP($B1544,'FRS geographical categories'!$A$2:$C$45,3,FALSE)</f>
        <v>Non-metropolitan</v>
      </c>
      <c r="G1544" s="98">
        <v>0</v>
      </c>
    </row>
    <row r="1545" spans="1:7" ht="15.5" x14ac:dyDescent="0.35">
      <c r="A1545" s="224" t="s">
        <v>247</v>
      </c>
      <c r="B1545" s="224" t="s">
        <v>46</v>
      </c>
      <c r="C1545" s="224" t="s">
        <v>105</v>
      </c>
      <c r="D1545" s="224" t="s">
        <v>257</v>
      </c>
      <c r="E1545" s="224" t="str">
        <f>VLOOKUP($B1545,'FRS geographical categories'!$A$2:$C$45,2,FALSE)</f>
        <v>Predominantly Rural</v>
      </c>
      <c r="F1545" s="224" t="str">
        <f>VLOOKUP($B1545,'FRS geographical categories'!$A$2:$C$45,3,FALSE)</f>
        <v>Non-metropolitan</v>
      </c>
      <c r="G1545" s="98">
        <v>0</v>
      </c>
    </row>
    <row r="1546" spans="1:7" ht="15.5" x14ac:dyDescent="0.35">
      <c r="A1546" s="224" t="s">
        <v>247</v>
      </c>
      <c r="B1546" s="224" t="s">
        <v>46</v>
      </c>
      <c r="C1546" s="224" t="s">
        <v>106</v>
      </c>
      <c r="D1546" s="224" t="s">
        <v>257</v>
      </c>
      <c r="E1546" s="224" t="str">
        <f>VLOOKUP($B1546,'FRS geographical categories'!$A$2:$C$45,2,FALSE)</f>
        <v>Predominantly Rural</v>
      </c>
      <c r="F1546" s="224" t="str">
        <f>VLOOKUP($B1546,'FRS geographical categories'!$A$2:$C$45,3,FALSE)</f>
        <v>Non-metropolitan</v>
      </c>
      <c r="G1546" s="98">
        <v>2808</v>
      </c>
    </row>
    <row r="1547" spans="1:7" ht="15.5" x14ac:dyDescent="0.35">
      <c r="A1547" s="224" t="s">
        <v>247</v>
      </c>
      <c r="B1547" s="224" t="s">
        <v>46</v>
      </c>
      <c r="C1547" s="224" t="s">
        <v>107</v>
      </c>
      <c r="D1547" s="224" t="s">
        <v>257</v>
      </c>
      <c r="E1547" s="224" t="str">
        <f>VLOOKUP($B1547,'FRS geographical categories'!$A$2:$C$45,2,FALSE)</f>
        <v>Predominantly Rural</v>
      </c>
      <c r="F1547" s="224" t="str">
        <f>VLOOKUP($B1547,'FRS geographical categories'!$A$2:$C$45,3,FALSE)</f>
        <v>Non-metropolitan</v>
      </c>
      <c r="G1547" s="98">
        <v>0</v>
      </c>
    </row>
    <row r="1548" spans="1:7" ht="15.5" x14ac:dyDescent="0.35">
      <c r="A1548" s="224" t="s">
        <v>247</v>
      </c>
      <c r="B1548" s="224" t="s">
        <v>46</v>
      </c>
      <c r="C1548" s="224" t="s">
        <v>108</v>
      </c>
      <c r="D1548" s="224" t="s">
        <v>257</v>
      </c>
      <c r="E1548" s="224" t="str">
        <f>VLOOKUP($B1548,'FRS geographical categories'!$A$2:$C$45,2,FALSE)</f>
        <v>Predominantly Rural</v>
      </c>
      <c r="F1548" s="224" t="str">
        <f>VLOOKUP($B1548,'FRS geographical categories'!$A$2:$C$45,3,FALSE)</f>
        <v>Non-metropolitan</v>
      </c>
      <c r="G1548" s="98">
        <v>2148</v>
      </c>
    </row>
    <row r="1549" spans="1:7" ht="15.5" x14ac:dyDescent="0.35">
      <c r="A1549" s="224" t="s">
        <v>247</v>
      </c>
      <c r="B1549" s="224" t="s">
        <v>46</v>
      </c>
      <c r="C1549" s="224" t="s">
        <v>109</v>
      </c>
      <c r="D1549" s="224" t="s">
        <v>257</v>
      </c>
      <c r="E1549" s="224" t="str">
        <f>VLOOKUP($B1549,'FRS geographical categories'!$A$2:$C$45,2,FALSE)</f>
        <v>Predominantly Rural</v>
      </c>
      <c r="F1549" s="224" t="str">
        <f>VLOOKUP($B1549,'FRS geographical categories'!$A$2:$C$45,3,FALSE)</f>
        <v>Non-metropolitan</v>
      </c>
      <c r="G1549" s="98">
        <v>0</v>
      </c>
    </row>
    <row r="1550" spans="1:7" ht="15.5" x14ac:dyDescent="0.35">
      <c r="A1550" s="224" t="s">
        <v>247</v>
      </c>
      <c r="B1550" s="224" t="s">
        <v>47</v>
      </c>
      <c r="C1550" s="224" t="s">
        <v>102</v>
      </c>
      <c r="D1550" s="224" t="s">
        <v>257</v>
      </c>
      <c r="E1550" s="224" t="str">
        <f>VLOOKUP($B1550,'FRS geographical categories'!$A$2:$C$45,2,FALSE)</f>
        <v>Predominantly Urban</v>
      </c>
      <c r="F1550" s="224" t="str">
        <f>VLOOKUP($B1550,'FRS geographical categories'!$A$2:$C$45,3,FALSE)</f>
        <v>Non-metropolitan</v>
      </c>
      <c r="G1550" s="98">
        <v>1268</v>
      </c>
    </row>
    <row r="1551" spans="1:7" ht="15.5" x14ac:dyDescent="0.35">
      <c r="A1551" s="224" t="s">
        <v>247</v>
      </c>
      <c r="B1551" s="224" t="s">
        <v>47</v>
      </c>
      <c r="C1551" s="224" t="s">
        <v>105</v>
      </c>
      <c r="D1551" s="224" t="s">
        <v>257</v>
      </c>
      <c r="E1551" s="224" t="str">
        <f>VLOOKUP($B1551,'FRS geographical categories'!$A$2:$C$45,2,FALSE)</f>
        <v>Predominantly Urban</v>
      </c>
      <c r="F1551" s="224" t="str">
        <f>VLOOKUP($B1551,'FRS geographical categories'!$A$2:$C$45,3,FALSE)</f>
        <v>Non-metropolitan</v>
      </c>
      <c r="G1551" s="98">
        <v>0</v>
      </c>
    </row>
    <row r="1552" spans="1:7" ht="15.5" x14ac:dyDescent="0.35">
      <c r="A1552" s="224" t="s">
        <v>247</v>
      </c>
      <c r="B1552" s="224" t="s">
        <v>47</v>
      </c>
      <c r="C1552" s="224" t="s">
        <v>106</v>
      </c>
      <c r="D1552" s="224" t="s">
        <v>257</v>
      </c>
      <c r="E1552" s="224" t="str">
        <f>VLOOKUP($B1552,'FRS geographical categories'!$A$2:$C$45,2,FALSE)</f>
        <v>Predominantly Urban</v>
      </c>
      <c r="F1552" s="224" t="str">
        <f>VLOOKUP($B1552,'FRS geographical categories'!$A$2:$C$45,3,FALSE)</f>
        <v>Non-metropolitan</v>
      </c>
      <c r="G1552" s="98">
        <v>8902</v>
      </c>
    </row>
    <row r="1553" spans="1:7" ht="15.5" x14ac:dyDescent="0.35">
      <c r="A1553" s="224" t="s">
        <v>247</v>
      </c>
      <c r="B1553" s="224" t="s">
        <v>47</v>
      </c>
      <c r="C1553" s="224" t="s">
        <v>107</v>
      </c>
      <c r="D1553" s="224" t="s">
        <v>257</v>
      </c>
      <c r="E1553" s="224" t="str">
        <f>VLOOKUP($B1553,'FRS geographical categories'!$A$2:$C$45,2,FALSE)</f>
        <v>Predominantly Urban</v>
      </c>
      <c r="F1553" s="224" t="str">
        <f>VLOOKUP($B1553,'FRS geographical categories'!$A$2:$C$45,3,FALSE)</f>
        <v>Non-metropolitan</v>
      </c>
      <c r="G1553" s="98">
        <v>121</v>
      </c>
    </row>
    <row r="1554" spans="1:7" ht="15.5" x14ac:dyDescent="0.35">
      <c r="A1554" s="224" t="s">
        <v>247</v>
      </c>
      <c r="B1554" s="224" t="s">
        <v>47</v>
      </c>
      <c r="C1554" s="224" t="s">
        <v>108</v>
      </c>
      <c r="D1554" s="224" t="s">
        <v>257</v>
      </c>
      <c r="E1554" s="224" t="str">
        <f>VLOOKUP($B1554,'FRS geographical categories'!$A$2:$C$45,2,FALSE)</f>
        <v>Predominantly Urban</v>
      </c>
      <c r="F1554" s="224" t="str">
        <f>VLOOKUP($B1554,'FRS geographical categories'!$A$2:$C$45,3,FALSE)</f>
        <v>Non-metropolitan</v>
      </c>
      <c r="G1554" s="98">
        <v>0</v>
      </c>
    </row>
    <row r="1555" spans="1:7" ht="15.5" x14ac:dyDescent="0.35">
      <c r="A1555" s="224" t="s">
        <v>247</v>
      </c>
      <c r="B1555" s="224" t="s">
        <v>47</v>
      </c>
      <c r="C1555" s="224" t="s">
        <v>109</v>
      </c>
      <c r="D1555" s="224" t="s">
        <v>257</v>
      </c>
      <c r="E1555" s="224" t="str">
        <f>VLOOKUP($B1555,'FRS geographical categories'!$A$2:$C$45,2,FALSE)</f>
        <v>Predominantly Urban</v>
      </c>
      <c r="F1555" s="224" t="str">
        <f>VLOOKUP($B1555,'FRS geographical categories'!$A$2:$C$45,3,FALSE)</f>
        <v>Non-metropolitan</v>
      </c>
      <c r="G1555" s="98">
        <v>0</v>
      </c>
    </row>
    <row r="1556" spans="1:7" ht="15.5" x14ac:dyDescent="0.35">
      <c r="A1556" s="224" t="s">
        <v>247</v>
      </c>
      <c r="B1556" s="224" t="s">
        <v>48</v>
      </c>
      <c r="C1556" s="224" t="s">
        <v>102</v>
      </c>
      <c r="D1556" s="224" t="s">
        <v>257</v>
      </c>
      <c r="E1556" s="224" t="str">
        <f>VLOOKUP($B1556,'FRS geographical categories'!$A$2:$C$45,2,FALSE)</f>
        <v>Predominantly Urban</v>
      </c>
      <c r="F1556" s="224" t="str">
        <f>VLOOKUP($B1556,'FRS geographical categories'!$A$2:$C$45,3,FALSE)</f>
        <v>Metropolitan</v>
      </c>
      <c r="G1556" s="98">
        <v>0</v>
      </c>
    </row>
    <row r="1557" spans="1:7" ht="15.5" x14ac:dyDescent="0.35">
      <c r="A1557" s="224" t="s">
        <v>247</v>
      </c>
      <c r="B1557" s="224" t="s">
        <v>48</v>
      </c>
      <c r="C1557" s="224" t="s">
        <v>105</v>
      </c>
      <c r="D1557" s="224" t="s">
        <v>257</v>
      </c>
      <c r="E1557" s="224" t="str">
        <f>VLOOKUP($B1557,'FRS geographical categories'!$A$2:$C$45,2,FALSE)</f>
        <v>Predominantly Urban</v>
      </c>
      <c r="F1557" s="224" t="str">
        <f>VLOOKUP($B1557,'FRS geographical categories'!$A$2:$C$45,3,FALSE)</f>
        <v>Metropolitan</v>
      </c>
      <c r="G1557" s="98">
        <v>1519</v>
      </c>
    </row>
    <row r="1558" spans="1:7" ht="15.5" x14ac:dyDescent="0.35">
      <c r="A1558" s="224" t="s">
        <v>247</v>
      </c>
      <c r="B1558" s="224" t="s">
        <v>48</v>
      </c>
      <c r="C1558" s="224" t="s">
        <v>106</v>
      </c>
      <c r="D1558" s="224" t="s">
        <v>257</v>
      </c>
      <c r="E1558" s="224" t="str">
        <f>VLOOKUP($B1558,'FRS geographical categories'!$A$2:$C$45,2,FALSE)</f>
        <v>Predominantly Urban</v>
      </c>
      <c r="F1558" s="224" t="str">
        <f>VLOOKUP($B1558,'FRS geographical categories'!$A$2:$C$45,3,FALSE)</f>
        <v>Metropolitan</v>
      </c>
      <c r="G1558" s="98">
        <v>28512</v>
      </c>
    </row>
    <row r="1559" spans="1:7" ht="15.5" x14ac:dyDescent="0.35">
      <c r="A1559" s="224" t="s">
        <v>247</v>
      </c>
      <c r="B1559" s="224" t="s">
        <v>48</v>
      </c>
      <c r="C1559" s="224" t="s">
        <v>107</v>
      </c>
      <c r="D1559" s="224" t="s">
        <v>257</v>
      </c>
      <c r="E1559" s="224" t="str">
        <f>VLOOKUP($B1559,'FRS geographical categories'!$A$2:$C$45,2,FALSE)</f>
        <v>Predominantly Urban</v>
      </c>
      <c r="F1559" s="224" t="str">
        <f>VLOOKUP($B1559,'FRS geographical categories'!$A$2:$C$45,3,FALSE)</f>
        <v>Metropolitan</v>
      </c>
      <c r="G1559" s="98">
        <v>0</v>
      </c>
    </row>
    <row r="1560" spans="1:7" ht="15.5" x14ac:dyDescent="0.35">
      <c r="A1560" s="224" t="s">
        <v>247</v>
      </c>
      <c r="B1560" s="224" t="s">
        <v>48</v>
      </c>
      <c r="C1560" s="224" t="s">
        <v>108</v>
      </c>
      <c r="D1560" s="224" t="s">
        <v>257</v>
      </c>
      <c r="E1560" s="224" t="str">
        <f>VLOOKUP($B1560,'FRS geographical categories'!$A$2:$C$45,2,FALSE)</f>
        <v>Predominantly Urban</v>
      </c>
      <c r="F1560" s="224" t="str">
        <f>VLOOKUP($B1560,'FRS geographical categories'!$A$2:$C$45,3,FALSE)</f>
        <v>Metropolitan</v>
      </c>
      <c r="G1560" s="98">
        <v>13012</v>
      </c>
    </row>
    <row r="1561" spans="1:7" ht="15.5" x14ac:dyDescent="0.35">
      <c r="A1561" s="224" t="s">
        <v>247</v>
      </c>
      <c r="B1561" s="224" t="s">
        <v>48</v>
      </c>
      <c r="C1561" s="224" t="s">
        <v>109</v>
      </c>
      <c r="D1561" s="224" t="s">
        <v>257</v>
      </c>
      <c r="E1561" s="224" t="str">
        <f>VLOOKUP($B1561,'FRS geographical categories'!$A$2:$C$45,2,FALSE)</f>
        <v>Predominantly Urban</v>
      </c>
      <c r="F1561" s="224" t="str">
        <f>VLOOKUP($B1561,'FRS geographical categories'!$A$2:$C$45,3,FALSE)</f>
        <v>Metropolitan</v>
      </c>
      <c r="G1561" s="98">
        <v>0</v>
      </c>
    </row>
    <row r="1562" spans="1:7" ht="15.5" x14ac:dyDescent="0.35">
      <c r="A1562" s="224" t="s">
        <v>247</v>
      </c>
      <c r="B1562" s="224" t="s">
        <v>49</v>
      </c>
      <c r="C1562" s="224" t="s">
        <v>102</v>
      </c>
      <c r="D1562" s="224" t="s">
        <v>257</v>
      </c>
      <c r="E1562" s="224" t="str">
        <f>VLOOKUP($B1562,'FRS geographical categories'!$A$2:$C$45,2,FALSE)</f>
        <v>Significantly Rural</v>
      </c>
      <c r="F1562" s="224" t="str">
        <f>VLOOKUP($B1562,'FRS geographical categories'!$A$2:$C$45,3,FALSE)</f>
        <v>Non-metropolitan</v>
      </c>
      <c r="G1562" s="98">
        <v>0</v>
      </c>
    </row>
    <row r="1563" spans="1:7" ht="15.5" x14ac:dyDescent="0.35">
      <c r="A1563" s="224" t="s">
        <v>247</v>
      </c>
      <c r="B1563" s="224" t="s">
        <v>49</v>
      </c>
      <c r="C1563" s="224" t="s">
        <v>105</v>
      </c>
      <c r="D1563" s="224" t="s">
        <v>257</v>
      </c>
      <c r="E1563" s="224" t="str">
        <f>VLOOKUP($B1563,'FRS geographical categories'!$A$2:$C$45,2,FALSE)</f>
        <v>Significantly Rural</v>
      </c>
      <c r="F1563" s="224" t="str">
        <f>VLOOKUP($B1563,'FRS geographical categories'!$A$2:$C$45,3,FALSE)</f>
        <v>Non-metropolitan</v>
      </c>
      <c r="G1563" s="98">
        <v>0</v>
      </c>
    </row>
    <row r="1564" spans="1:7" ht="15.5" x14ac:dyDescent="0.35">
      <c r="A1564" s="224" t="s">
        <v>247</v>
      </c>
      <c r="B1564" s="224" t="s">
        <v>49</v>
      </c>
      <c r="C1564" s="224" t="s">
        <v>106</v>
      </c>
      <c r="D1564" s="224" t="s">
        <v>257</v>
      </c>
      <c r="E1564" s="224" t="str">
        <f>VLOOKUP($B1564,'FRS geographical categories'!$A$2:$C$45,2,FALSE)</f>
        <v>Significantly Rural</v>
      </c>
      <c r="F1564" s="224" t="str">
        <f>VLOOKUP($B1564,'FRS geographical categories'!$A$2:$C$45,3,FALSE)</f>
        <v>Non-metropolitan</v>
      </c>
      <c r="G1564" s="98">
        <v>9816</v>
      </c>
    </row>
    <row r="1565" spans="1:7" ht="15.5" x14ac:dyDescent="0.35">
      <c r="A1565" s="224" t="s">
        <v>247</v>
      </c>
      <c r="B1565" s="224" t="s">
        <v>49</v>
      </c>
      <c r="C1565" s="224" t="s">
        <v>107</v>
      </c>
      <c r="D1565" s="224" t="s">
        <v>257</v>
      </c>
      <c r="E1565" s="224" t="str">
        <f>VLOOKUP($B1565,'FRS geographical categories'!$A$2:$C$45,2,FALSE)</f>
        <v>Significantly Rural</v>
      </c>
      <c r="F1565" s="224" t="str">
        <f>VLOOKUP($B1565,'FRS geographical categories'!$A$2:$C$45,3,FALSE)</f>
        <v>Non-metropolitan</v>
      </c>
      <c r="G1565" s="98">
        <v>0</v>
      </c>
    </row>
    <row r="1566" spans="1:7" ht="15.5" x14ac:dyDescent="0.35">
      <c r="A1566" s="224" t="s">
        <v>247</v>
      </c>
      <c r="B1566" s="224" t="s">
        <v>49</v>
      </c>
      <c r="C1566" s="224" t="s">
        <v>108</v>
      </c>
      <c r="D1566" s="224" t="s">
        <v>257</v>
      </c>
      <c r="E1566" s="224" t="str">
        <f>VLOOKUP($B1566,'FRS geographical categories'!$A$2:$C$45,2,FALSE)</f>
        <v>Significantly Rural</v>
      </c>
      <c r="F1566" s="224" t="str">
        <f>VLOOKUP($B1566,'FRS geographical categories'!$A$2:$C$45,3,FALSE)</f>
        <v>Non-metropolitan</v>
      </c>
      <c r="G1566" s="98">
        <v>3862</v>
      </c>
    </row>
    <row r="1567" spans="1:7" ht="15.5" x14ac:dyDescent="0.35">
      <c r="A1567" s="224" t="s">
        <v>247</v>
      </c>
      <c r="B1567" s="224" t="s">
        <v>49</v>
      </c>
      <c r="C1567" s="224" t="s">
        <v>109</v>
      </c>
      <c r="D1567" s="224" t="s">
        <v>257</v>
      </c>
      <c r="E1567" s="224" t="str">
        <f>VLOOKUP($B1567,'FRS geographical categories'!$A$2:$C$45,2,FALSE)</f>
        <v>Significantly Rural</v>
      </c>
      <c r="F1567" s="224" t="str">
        <f>VLOOKUP($B1567,'FRS geographical categories'!$A$2:$C$45,3,FALSE)</f>
        <v>Non-metropolitan</v>
      </c>
      <c r="G1567" s="98">
        <v>0</v>
      </c>
    </row>
    <row r="1568" spans="1:7" ht="15.5" x14ac:dyDescent="0.35">
      <c r="A1568" s="224" t="s">
        <v>247</v>
      </c>
      <c r="B1568" s="224" t="s">
        <v>50</v>
      </c>
      <c r="C1568" s="224" t="s">
        <v>102</v>
      </c>
      <c r="D1568" s="224" t="s">
        <v>257</v>
      </c>
      <c r="E1568" s="224" t="str">
        <f>VLOOKUP($B1568,'FRS geographical categories'!$A$2:$C$45,2,FALSE)</f>
        <v>Predominantly Urban</v>
      </c>
      <c r="F1568" s="224" t="str">
        <f>VLOOKUP($B1568,'FRS geographical categories'!$A$2:$C$45,3,FALSE)</f>
        <v>Metropolitan</v>
      </c>
      <c r="G1568" s="98">
        <v>0</v>
      </c>
    </row>
    <row r="1569" spans="1:7" ht="15.5" x14ac:dyDescent="0.35">
      <c r="A1569" s="224" t="s">
        <v>247</v>
      </c>
      <c r="B1569" s="224" t="s">
        <v>50</v>
      </c>
      <c r="C1569" s="224" t="s">
        <v>105</v>
      </c>
      <c r="D1569" s="224" t="s">
        <v>257</v>
      </c>
      <c r="E1569" s="224" t="str">
        <f>VLOOKUP($B1569,'FRS geographical categories'!$A$2:$C$45,2,FALSE)</f>
        <v>Predominantly Urban</v>
      </c>
      <c r="F1569" s="224" t="str">
        <f>VLOOKUP($B1569,'FRS geographical categories'!$A$2:$C$45,3,FALSE)</f>
        <v>Metropolitan</v>
      </c>
      <c r="G1569" s="98">
        <v>0</v>
      </c>
    </row>
    <row r="1570" spans="1:7" ht="15.5" x14ac:dyDescent="0.35">
      <c r="A1570" s="224" t="s">
        <v>247</v>
      </c>
      <c r="B1570" s="224" t="s">
        <v>50</v>
      </c>
      <c r="C1570" s="224" t="s">
        <v>106</v>
      </c>
      <c r="D1570" s="224" t="s">
        <v>257</v>
      </c>
      <c r="E1570" s="224" t="str">
        <f>VLOOKUP($B1570,'FRS geographical categories'!$A$2:$C$45,2,FALSE)</f>
        <v>Predominantly Urban</v>
      </c>
      <c r="F1570" s="224" t="str">
        <f>VLOOKUP($B1570,'FRS geographical categories'!$A$2:$C$45,3,FALSE)</f>
        <v>Metropolitan</v>
      </c>
      <c r="G1570" s="98">
        <v>66429</v>
      </c>
    </row>
    <row r="1571" spans="1:7" ht="15.5" x14ac:dyDescent="0.35">
      <c r="A1571" s="224" t="s">
        <v>247</v>
      </c>
      <c r="B1571" s="224" t="s">
        <v>50</v>
      </c>
      <c r="C1571" s="224" t="s">
        <v>107</v>
      </c>
      <c r="D1571" s="224" t="s">
        <v>257</v>
      </c>
      <c r="E1571" s="224" t="str">
        <f>VLOOKUP($B1571,'FRS geographical categories'!$A$2:$C$45,2,FALSE)</f>
        <v>Predominantly Urban</v>
      </c>
      <c r="F1571" s="224" t="str">
        <f>VLOOKUP($B1571,'FRS geographical categories'!$A$2:$C$45,3,FALSE)</f>
        <v>Metropolitan</v>
      </c>
      <c r="G1571" s="98">
        <v>0</v>
      </c>
    </row>
    <row r="1572" spans="1:7" ht="15.5" x14ac:dyDescent="0.35">
      <c r="A1572" s="224" t="s">
        <v>247</v>
      </c>
      <c r="B1572" s="224" t="s">
        <v>50</v>
      </c>
      <c r="C1572" s="224" t="s">
        <v>108</v>
      </c>
      <c r="D1572" s="224" t="s">
        <v>257</v>
      </c>
      <c r="E1572" s="224" t="str">
        <f>VLOOKUP($B1572,'FRS geographical categories'!$A$2:$C$45,2,FALSE)</f>
        <v>Predominantly Urban</v>
      </c>
      <c r="F1572" s="224" t="str">
        <f>VLOOKUP($B1572,'FRS geographical categories'!$A$2:$C$45,3,FALSE)</f>
        <v>Metropolitan</v>
      </c>
      <c r="G1572" s="98">
        <v>0</v>
      </c>
    </row>
    <row r="1573" spans="1:7" ht="15.5" x14ac:dyDescent="0.35">
      <c r="A1573" s="224" t="s">
        <v>247</v>
      </c>
      <c r="B1573" s="224" t="s">
        <v>50</v>
      </c>
      <c r="C1573" s="224" t="s">
        <v>109</v>
      </c>
      <c r="D1573" s="224" t="s">
        <v>257</v>
      </c>
      <c r="E1573" s="224" t="str">
        <f>VLOOKUP($B1573,'FRS geographical categories'!$A$2:$C$45,2,FALSE)</f>
        <v>Predominantly Urban</v>
      </c>
      <c r="F1573" s="224" t="str">
        <f>VLOOKUP($B1573,'FRS geographical categories'!$A$2:$C$45,3,FALSE)</f>
        <v>Metropolitan</v>
      </c>
      <c r="G1573" s="98">
        <v>0</v>
      </c>
    </row>
    <row r="1574" spans="1:7" ht="15.5" x14ac:dyDescent="0.35">
      <c r="A1574" s="224" t="s">
        <v>247</v>
      </c>
      <c r="B1574" s="224" t="s">
        <v>51</v>
      </c>
      <c r="C1574" s="224" t="s">
        <v>102</v>
      </c>
      <c r="D1574" s="224" t="s">
        <v>257</v>
      </c>
      <c r="E1574" s="224" t="str">
        <f>VLOOKUP($B1574,'FRS geographical categories'!$A$2:$C$45,2,FALSE)</f>
        <v>Significantly Rural</v>
      </c>
      <c r="F1574" s="224" t="str">
        <f>VLOOKUP($B1574,'FRS geographical categories'!$A$2:$C$45,3,FALSE)</f>
        <v>Non-metropolitan</v>
      </c>
      <c r="G1574" s="98">
        <v>0</v>
      </c>
    </row>
    <row r="1575" spans="1:7" ht="15.5" x14ac:dyDescent="0.35">
      <c r="A1575" s="224" t="s">
        <v>247</v>
      </c>
      <c r="B1575" s="224" t="s">
        <v>51</v>
      </c>
      <c r="C1575" s="224" t="s">
        <v>105</v>
      </c>
      <c r="D1575" s="224" t="s">
        <v>257</v>
      </c>
      <c r="E1575" s="224" t="str">
        <f>VLOOKUP($B1575,'FRS geographical categories'!$A$2:$C$45,2,FALSE)</f>
        <v>Significantly Rural</v>
      </c>
      <c r="F1575" s="224" t="str">
        <f>VLOOKUP($B1575,'FRS geographical categories'!$A$2:$C$45,3,FALSE)</f>
        <v>Non-metropolitan</v>
      </c>
      <c r="G1575" s="98">
        <v>0</v>
      </c>
    </row>
    <row r="1576" spans="1:7" ht="15.5" x14ac:dyDescent="0.35">
      <c r="A1576" s="224" t="s">
        <v>247</v>
      </c>
      <c r="B1576" s="224" t="s">
        <v>51</v>
      </c>
      <c r="C1576" s="224" t="s">
        <v>106</v>
      </c>
      <c r="D1576" s="224" t="s">
        <v>257</v>
      </c>
      <c r="E1576" s="224" t="str">
        <f>VLOOKUP($B1576,'FRS geographical categories'!$A$2:$C$45,2,FALSE)</f>
        <v>Significantly Rural</v>
      </c>
      <c r="F1576" s="224" t="str">
        <f>VLOOKUP($B1576,'FRS geographical categories'!$A$2:$C$45,3,FALSE)</f>
        <v>Non-metropolitan</v>
      </c>
      <c r="G1576" s="98">
        <v>14924</v>
      </c>
    </row>
    <row r="1577" spans="1:7" ht="15.5" x14ac:dyDescent="0.35">
      <c r="A1577" s="224" t="s">
        <v>247</v>
      </c>
      <c r="B1577" s="224" t="s">
        <v>51</v>
      </c>
      <c r="C1577" s="224" t="s">
        <v>107</v>
      </c>
      <c r="D1577" s="224" t="s">
        <v>257</v>
      </c>
      <c r="E1577" s="224" t="str">
        <f>VLOOKUP($B1577,'FRS geographical categories'!$A$2:$C$45,2,FALSE)</f>
        <v>Significantly Rural</v>
      </c>
      <c r="F1577" s="224" t="str">
        <f>VLOOKUP($B1577,'FRS geographical categories'!$A$2:$C$45,3,FALSE)</f>
        <v>Non-metropolitan</v>
      </c>
      <c r="G1577" s="98">
        <v>0</v>
      </c>
    </row>
    <row r="1578" spans="1:7" ht="15.5" x14ac:dyDescent="0.35">
      <c r="A1578" s="224" t="s">
        <v>247</v>
      </c>
      <c r="B1578" s="224" t="s">
        <v>51</v>
      </c>
      <c r="C1578" s="224" t="s">
        <v>108</v>
      </c>
      <c r="D1578" s="224" t="s">
        <v>257</v>
      </c>
      <c r="E1578" s="224" t="str">
        <f>VLOOKUP($B1578,'FRS geographical categories'!$A$2:$C$45,2,FALSE)</f>
        <v>Significantly Rural</v>
      </c>
      <c r="F1578" s="224" t="str">
        <f>VLOOKUP($B1578,'FRS geographical categories'!$A$2:$C$45,3,FALSE)</f>
        <v>Non-metropolitan</v>
      </c>
      <c r="G1578" s="98">
        <v>2937</v>
      </c>
    </row>
    <row r="1579" spans="1:7" ht="15.5" x14ac:dyDescent="0.35">
      <c r="A1579" s="224" t="s">
        <v>247</v>
      </c>
      <c r="B1579" s="224" t="s">
        <v>51</v>
      </c>
      <c r="C1579" s="224" t="s">
        <v>109</v>
      </c>
      <c r="D1579" s="224" t="s">
        <v>257</v>
      </c>
      <c r="E1579" s="224" t="str">
        <f>VLOOKUP($B1579,'FRS geographical categories'!$A$2:$C$45,2,FALSE)</f>
        <v>Significantly Rural</v>
      </c>
      <c r="F1579" s="224" t="str">
        <f>VLOOKUP($B1579,'FRS geographical categories'!$A$2:$C$45,3,FALSE)</f>
        <v>Non-metropolitan</v>
      </c>
      <c r="G1579" s="98">
        <v>0</v>
      </c>
    </row>
    <row r="1580" spans="1:7" ht="15.5" x14ac:dyDescent="0.35">
      <c r="A1580" s="224" t="s">
        <v>247</v>
      </c>
      <c r="B1580" s="224" t="s">
        <v>52</v>
      </c>
      <c r="C1580" s="224" t="s">
        <v>102</v>
      </c>
      <c r="D1580" s="224" t="s">
        <v>257</v>
      </c>
      <c r="E1580" s="224" t="str">
        <f>VLOOKUP($B1580,'FRS geographical categories'!$A$2:$C$45,2,FALSE)</f>
        <v>Predominantly Urban</v>
      </c>
      <c r="F1580" s="224" t="str">
        <f>VLOOKUP($B1580,'FRS geographical categories'!$A$2:$C$45,3,FALSE)</f>
        <v>Metropolitan</v>
      </c>
      <c r="G1580" s="98">
        <v>0</v>
      </c>
    </row>
    <row r="1581" spans="1:7" ht="15.5" x14ac:dyDescent="0.35">
      <c r="A1581" s="224" t="s">
        <v>247</v>
      </c>
      <c r="B1581" s="224" t="s">
        <v>52</v>
      </c>
      <c r="C1581" s="224" t="s">
        <v>105</v>
      </c>
      <c r="D1581" s="224" t="s">
        <v>257</v>
      </c>
      <c r="E1581" s="224" t="str">
        <f>VLOOKUP($B1581,'FRS geographical categories'!$A$2:$C$45,2,FALSE)</f>
        <v>Predominantly Urban</v>
      </c>
      <c r="F1581" s="224" t="str">
        <f>VLOOKUP($B1581,'FRS geographical categories'!$A$2:$C$45,3,FALSE)</f>
        <v>Metropolitan</v>
      </c>
      <c r="G1581" s="98">
        <v>0</v>
      </c>
    </row>
    <row r="1582" spans="1:7" ht="15.5" x14ac:dyDescent="0.35">
      <c r="A1582" s="224" t="s">
        <v>247</v>
      </c>
      <c r="B1582" s="224" t="s">
        <v>52</v>
      </c>
      <c r="C1582" s="224" t="s">
        <v>106</v>
      </c>
      <c r="D1582" s="224" t="s">
        <v>257</v>
      </c>
      <c r="E1582" s="224" t="str">
        <f>VLOOKUP($B1582,'FRS geographical categories'!$A$2:$C$45,2,FALSE)</f>
        <v>Predominantly Urban</v>
      </c>
      <c r="F1582" s="224" t="str">
        <f>VLOOKUP($B1582,'FRS geographical categories'!$A$2:$C$45,3,FALSE)</f>
        <v>Metropolitan</v>
      </c>
      <c r="G1582" s="98">
        <v>36200</v>
      </c>
    </row>
    <row r="1583" spans="1:7" ht="15.5" x14ac:dyDescent="0.35">
      <c r="A1583" s="224" t="s">
        <v>247</v>
      </c>
      <c r="B1583" s="224" t="s">
        <v>52</v>
      </c>
      <c r="C1583" s="224" t="s">
        <v>107</v>
      </c>
      <c r="D1583" s="224" t="s">
        <v>257</v>
      </c>
      <c r="E1583" s="224" t="str">
        <f>VLOOKUP($B1583,'FRS geographical categories'!$A$2:$C$45,2,FALSE)</f>
        <v>Predominantly Urban</v>
      </c>
      <c r="F1583" s="224" t="str">
        <f>VLOOKUP($B1583,'FRS geographical categories'!$A$2:$C$45,3,FALSE)</f>
        <v>Metropolitan</v>
      </c>
      <c r="G1583" s="98">
        <v>0</v>
      </c>
    </row>
    <row r="1584" spans="1:7" ht="15.5" x14ac:dyDescent="0.35">
      <c r="A1584" s="224" t="s">
        <v>247</v>
      </c>
      <c r="B1584" s="224" t="s">
        <v>52</v>
      </c>
      <c r="C1584" s="224" t="s">
        <v>108</v>
      </c>
      <c r="D1584" s="224" t="s">
        <v>257</v>
      </c>
      <c r="E1584" s="224" t="str">
        <f>VLOOKUP($B1584,'FRS geographical categories'!$A$2:$C$45,2,FALSE)</f>
        <v>Predominantly Urban</v>
      </c>
      <c r="F1584" s="224" t="str">
        <f>VLOOKUP($B1584,'FRS geographical categories'!$A$2:$C$45,3,FALSE)</f>
        <v>Metropolitan</v>
      </c>
      <c r="G1584" s="98">
        <v>3020</v>
      </c>
    </row>
    <row r="1585" spans="1:7" ht="15.5" x14ac:dyDescent="0.35">
      <c r="A1585" s="224" t="s">
        <v>247</v>
      </c>
      <c r="B1585" s="224" t="s">
        <v>52</v>
      </c>
      <c r="C1585" s="224" t="s">
        <v>109</v>
      </c>
      <c r="D1585" s="224" t="s">
        <v>257</v>
      </c>
      <c r="E1585" s="224" t="str">
        <f>VLOOKUP($B1585,'FRS geographical categories'!$A$2:$C$45,2,FALSE)</f>
        <v>Predominantly Urban</v>
      </c>
      <c r="F1585" s="224" t="str">
        <f>VLOOKUP($B1585,'FRS geographical categories'!$A$2:$C$45,3,FALSE)</f>
        <v>Metropolitan</v>
      </c>
      <c r="G1585" s="98">
        <v>0</v>
      </c>
    </row>
  </sheetData>
  <autoFilter ref="A1:G1585" xr:uid="{854FE05B-07C3-4161-8D2F-7D4884BB3446}"/>
  <pageMargins left="0.7" right="0.7" top="0.75" bottom="0.75" header="0.3" footer="0.3"/>
  <pageSetup paperSize="9" orientation="portrait" r:id="rId1"/>
  <headerFooter>
    <oddHeader>&amp;C&amp;"Aptos"&amp;10&amp;K000000 OFFICIAL&amp;1#_x000D_</oddHeader>
    <oddFooter>&amp;C_x000D_&amp;1#&amp;"Aptos"&amp;10&amp;K000000 OFFICIAL</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5F5E69-B771-4A35-A1C4-6ADD3A17BE82}">
  <dimension ref="A1:D14"/>
  <sheetViews>
    <sheetView zoomScaleNormal="100" workbookViewId="0">
      <selection activeCell="B8" sqref="B8"/>
    </sheetView>
  </sheetViews>
  <sheetFormatPr defaultColWidth="8.54296875" defaultRowHeight="15.5" x14ac:dyDescent="0.35"/>
  <cols>
    <col min="1" max="1" width="33" style="182" customWidth="1"/>
    <col min="2" max="2" width="79.453125" style="183" customWidth="1"/>
    <col min="3" max="3" width="35.54296875" style="182" customWidth="1"/>
    <col min="4" max="4" width="15.1796875" style="182" customWidth="1"/>
    <col min="5" max="16384" width="8.54296875" style="182"/>
  </cols>
  <sheetData>
    <row r="1" spans="1:4" s="179" customFormat="1" x14ac:dyDescent="0.35">
      <c r="A1" s="6" t="s">
        <v>57</v>
      </c>
      <c r="C1" s="180"/>
      <c r="D1" s="180"/>
    </row>
    <row r="2" spans="1:4" s="179" customFormat="1" ht="21" customHeight="1" x14ac:dyDescent="0.35">
      <c r="A2" s="6" t="s">
        <v>285</v>
      </c>
      <c r="C2" s="180"/>
      <c r="D2" s="180"/>
    </row>
    <row r="3" spans="1:4" s="7" customFormat="1" ht="21.65" customHeight="1" x14ac:dyDescent="0.35">
      <c r="A3" s="7" t="s">
        <v>65</v>
      </c>
      <c r="C3" s="8"/>
      <c r="D3" s="9"/>
    </row>
    <row r="4" spans="1:4" s="7" customFormat="1" ht="21.65" customHeight="1" x14ac:dyDescent="0.35">
      <c r="A4" s="10" t="s">
        <v>66</v>
      </c>
      <c r="C4" s="8"/>
      <c r="D4" s="9"/>
    </row>
    <row r="5" spans="1:4" ht="46.5" x14ac:dyDescent="0.35">
      <c r="A5" s="11" t="s">
        <v>67</v>
      </c>
      <c r="B5" s="11" t="s">
        <v>68</v>
      </c>
      <c r="C5" s="12" t="s">
        <v>69</v>
      </c>
      <c r="D5" s="13" t="s">
        <v>260</v>
      </c>
    </row>
    <row r="6" spans="1:4" x14ac:dyDescent="0.35">
      <c r="A6" s="89" t="s">
        <v>198</v>
      </c>
      <c r="B6" s="90" t="s">
        <v>123</v>
      </c>
      <c r="C6" s="12"/>
      <c r="D6" s="13"/>
    </row>
    <row r="7" spans="1:4" ht="36" customHeight="1" x14ac:dyDescent="0.35">
      <c r="A7" s="181" t="s">
        <v>70</v>
      </c>
      <c r="B7" s="14" t="s">
        <v>229</v>
      </c>
      <c r="C7" s="86" t="s">
        <v>71</v>
      </c>
      <c r="D7" s="15" t="s">
        <v>72</v>
      </c>
    </row>
    <row r="8" spans="1:4" ht="43.5" customHeight="1" x14ac:dyDescent="0.35">
      <c r="A8" s="181" t="s">
        <v>73</v>
      </c>
      <c r="B8" s="14" t="s">
        <v>230</v>
      </c>
      <c r="C8" s="86" t="s">
        <v>253</v>
      </c>
      <c r="D8" s="15" t="s">
        <v>72</v>
      </c>
    </row>
    <row r="9" spans="1:4" ht="43.5" customHeight="1" x14ac:dyDescent="0.35">
      <c r="A9" s="181" t="s">
        <v>245</v>
      </c>
      <c r="B9" s="14" t="s">
        <v>246</v>
      </c>
      <c r="C9" s="86" t="s">
        <v>253</v>
      </c>
      <c r="D9" s="15" t="s">
        <v>72</v>
      </c>
    </row>
    <row r="10" spans="1:4" ht="41.15" customHeight="1" x14ac:dyDescent="0.35">
      <c r="A10" s="181" t="s">
        <v>190</v>
      </c>
      <c r="B10" s="14" t="s">
        <v>192</v>
      </c>
      <c r="C10" s="86" t="s">
        <v>253</v>
      </c>
      <c r="D10" s="15" t="s">
        <v>72</v>
      </c>
    </row>
    <row r="11" spans="1:4" ht="51" customHeight="1" x14ac:dyDescent="0.35">
      <c r="A11" s="181" t="s">
        <v>191</v>
      </c>
      <c r="B11" s="14" t="s">
        <v>244</v>
      </c>
      <c r="C11" s="86" t="s">
        <v>253</v>
      </c>
      <c r="D11" s="15" t="s">
        <v>72</v>
      </c>
    </row>
    <row r="12" spans="1:4" ht="44.5" customHeight="1" x14ac:dyDescent="0.35">
      <c r="A12" s="181" t="s">
        <v>74</v>
      </c>
      <c r="B12" s="14" t="s">
        <v>75</v>
      </c>
      <c r="C12" s="86"/>
      <c r="D12" s="15" t="s">
        <v>72</v>
      </c>
    </row>
    <row r="14" spans="1:4" x14ac:dyDescent="0.35">
      <c r="A14" s="6"/>
    </row>
  </sheetData>
  <phoneticPr fontId="24" type="noConversion"/>
  <hyperlinks>
    <hyperlink ref="A4" location="Cover_sheet!A1" display="Cover sheet" xr:uid="{C8C5B383-259E-4D3A-8020-13730B2328FF}"/>
    <hyperlink ref="A7" location="FIRE1201_historical!A1" display="FIRE1201_historical" xr:uid="{5655F4DA-FA18-46A2-9334-27EDF51C8FE5}"/>
    <hyperlink ref="A10" location="'Data - Visits'!A1" display="Data - Visits" xr:uid="{5C2B578E-54CC-4C97-A439-323DDEF02EB3}"/>
    <hyperlink ref="A8" location="FIRE1201a!A1" display="FIRE1201a" xr:uid="{2AB6BB34-49E6-489E-ADB0-A435530D03E6}"/>
    <hyperlink ref="A12" location="'FRS geographical categories'!A1" display="FRS geographical categories" xr:uid="{70185248-3F9F-43CD-8370-C62070ACE2DF}"/>
    <hyperlink ref="A11" location="'Data - Staff'!A1" display="Data - Staff" xr:uid="{821C84EA-29EF-4B27-BE73-88E5633BA1F6}"/>
    <hyperlink ref="A6" location="Guidance!A1" display="Guidance" xr:uid="{2F9E843A-1A80-4125-8386-F4F6078B7888}"/>
    <hyperlink ref="A9" location="FIRE1201b!A1" display="FIRE1201b" xr:uid="{E7120733-8533-4ADE-B6D6-B53E60187731}"/>
  </hyperlinks>
  <pageMargins left="0.7" right="0.7" top="0.75" bottom="0.75" header="0.3" footer="0.3"/>
  <pageSetup paperSize="9" orientation="portrait" r:id="rId1"/>
  <headerFooter>
    <oddHeader>&amp;C&amp;"Aptos"&amp;10&amp;K000000 OFFICIAL&amp;1#_x000D_</oddHeader>
    <oddFooter>&amp;C_x000D_&amp;1#&amp;"Aptos"&amp;10&amp;K000000 OFFICIAL</oddFooter>
  </headerFooter>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125FA8-88A7-437F-BCEF-F588A9D6B81E}">
  <dimension ref="A1:J49"/>
  <sheetViews>
    <sheetView workbookViewId="0">
      <pane ySplit="1" topLeftCell="A2" activePane="bottomLeft" state="frozen"/>
      <selection pane="bottomLeft" activeCell="C20" sqref="C20"/>
    </sheetView>
  </sheetViews>
  <sheetFormatPr defaultColWidth="8.54296875" defaultRowHeight="15.5" x14ac:dyDescent="0.35"/>
  <cols>
    <col min="1" max="1" width="29.81640625" style="171" customWidth="1"/>
    <col min="2" max="3" width="23.54296875" style="171" customWidth="1"/>
    <col min="4" max="16384" width="8.54296875" style="164"/>
  </cols>
  <sheetData>
    <row r="1" spans="1:3" ht="18" thickBot="1" x14ac:dyDescent="0.4">
      <c r="A1" s="170" t="s">
        <v>95</v>
      </c>
      <c r="B1" s="170" t="s">
        <v>274</v>
      </c>
      <c r="C1" s="170" t="s">
        <v>96</v>
      </c>
    </row>
    <row r="2" spans="1:3" x14ac:dyDescent="0.35">
      <c r="A2" s="171" t="s">
        <v>8</v>
      </c>
      <c r="B2" s="171" t="s">
        <v>87</v>
      </c>
      <c r="C2" s="171" t="s">
        <v>88</v>
      </c>
    </row>
    <row r="3" spans="1:3" x14ac:dyDescent="0.35">
      <c r="A3" s="171" t="s">
        <v>11</v>
      </c>
      <c r="B3" s="171" t="s">
        <v>90</v>
      </c>
      <c r="C3" s="171" t="s">
        <v>88</v>
      </c>
    </row>
    <row r="4" spans="1:3" x14ac:dyDescent="0.35">
      <c r="A4" s="171" t="s">
        <v>12</v>
      </c>
      <c r="B4" s="171" t="s">
        <v>87</v>
      </c>
      <c r="C4" s="171" t="s">
        <v>88</v>
      </c>
    </row>
    <row r="5" spans="1:3" x14ac:dyDescent="0.35">
      <c r="A5" s="171" t="s">
        <v>13</v>
      </c>
      <c r="B5" s="171" t="s">
        <v>90</v>
      </c>
      <c r="C5" s="171" t="s">
        <v>88</v>
      </c>
    </row>
    <row r="6" spans="1:3" x14ac:dyDescent="0.35">
      <c r="A6" s="171" t="s">
        <v>14</v>
      </c>
      <c r="B6" s="171" t="s">
        <v>91</v>
      </c>
      <c r="C6" s="171" t="s">
        <v>88</v>
      </c>
    </row>
    <row r="7" spans="1:3" x14ac:dyDescent="0.35">
      <c r="A7" s="171" t="s">
        <v>15</v>
      </c>
      <c r="B7" s="171" t="s">
        <v>90</v>
      </c>
      <c r="C7" s="171" t="s">
        <v>88</v>
      </c>
    </row>
    <row r="8" spans="1:3" x14ac:dyDescent="0.35">
      <c r="A8" s="171" t="s">
        <v>16</v>
      </c>
      <c r="B8" s="171" t="s">
        <v>87</v>
      </c>
      <c r="C8" s="171" t="s">
        <v>88</v>
      </c>
    </row>
    <row r="9" spans="1:3" x14ac:dyDescent="0.35">
      <c r="A9" s="171" t="s">
        <v>17</v>
      </c>
      <c r="B9" s="171" t="s">
        <v>91</v>
      </c>
      <c r="C9" s="171" t="s">
        <v>88</v>
      </c>
    </row>
    <row r="10" spans="1:3" x14ac:dyDescent="0.35">
      <c r="A10" s="171" t="s">
        <v>18</v>
      </c>
      <c r="B10" s="171" t="s">
        <v>91</v>
      </c>
      <c r="C10" s="171" t="s">
        <v>88</v>
      </c>
    </row>
    <row r="11" spans="1:3" x14ac:dyDescent="0.35">
      <c r="A11" s="171" t="s">
        <v>19</v>
      </c>
      <c r="B11" s="171" t="s">
        <v>90</v>
      </c>
      <c r="C11" s="171" t="s">
        <v>88</v>
      </c>
    </row>
    <row r="12" spans="1:3" x14ac:dyDescent="0.35">
      <c r="A12" s="171" t="s">
        <v>20</v>
      </c>
      <c r="B12" s="171" t="s">
        <v>91</v>
      </c>
      <c r="C12" s="171" t="s">
        <v>88</v>
      </c>
    </row>
    <row r="13" spans="1:3" x14ac:dyDescent="0.35">
      <c r="A13" s="171" t="s">
        <v>21</v>
      </c>
      <c r="B13" s="171" t="s">
        <v>90</v>
      </c>
      <c r="C13" s="171" t="s">
        <v>88</v>
      </c>
    </row>
    <row r="14" spans="1:3" x14ac:dyDescent="0.35">
      <c r="A14" s="171" t="s">
        <v>22</v>
      </c>
      <c r="B14" s="171" t="s">
        <v>91</v>
      </c>
      <c r="C14" s="171" t="s">
        <v>88</v>
      </c>
    </row>
    <row r="15" spans="1:3" x14ac:dyDescent="0.35">
      <c r="A15" s="171" t="s">
        <v>23</v>
      </c>
      <c r="B15" s="171" t="s">
        <v>90</v>
      </c>
      <c r="C15" s="171" t="s">
        <v>88</v>
      </c>
    </row>
    <row r="16" spans="1:3" x14ac:dyDescent="0.35">
      <c r="A16" s="171" t="s">
        <v>24</v>
      </c>
      <c r="B16" s="171" t="s">
        <v>90</v>
      </c>
      <c r="C16" s="171" t="s">
        <v>88</v>
      </c>
    </row>
    <row r="17" spans="1:3" x14ac:dyDescent="0.35">
      <c r="A17" s="171" t="s">
        <v>25</v>
      </c>
      <c r="B17" s="171" t="s">
        <v>90</v>
      </c>
      <c r="C17" s="171" t="s">
        <v>88</v>
      </c>
    </row>
    <row r="18" spans="1:3" x14ac:dyDescent="0.35">
      <c r="A18" s="171" t="s">
        <v>26</v>
      </c>
      <c r="B18" s="171" t="s">
        <v>87</v>
      </c>
      <c r="C18" s="171" t="s">
        <v>92</v>
      </c>
    </row>
    <row r="19" spans="1:3" x14ac:dyDescent="0.35">
      <c r="A19" s="171" t="s">
        <v>27</v>
      </c>
      <c r="B19" s="171" t="s">
        <v>87</v>
      </c>
      <c r="C19" s="171" t="s">
        <v>92</v>
      </c>
    </row>
    <row r="20" spans="1:3" x14ac:dyDescent="0.35">
      <c r="A20" s="172" t="s">
        <v>93</v>
      </c>
      <c r="B20" s="172" t="s">
        <v>90</v>
      </c>
      <c r="C20" s="172" t="s">
        <v>88</v>
      </c>
    </row>
    <row r="21" spans="1:3" x14ac:dyDescent="0.35">
      <c r="A21" s="171" t="s">
        <v>28</v>
      </c>
      <c r="B21" s="171" t="s">
        <v>90</v>
      </c>
      <c r="C21" s="171" t="s">
        <v>88</v>
      </c>
    </row>
    <row r="22" spans="1:3" x14ac:dyDescent="0.35">
      <c r="A22" s="171" t="s">
        <v>29</v>
      </c>
      <c r="B22" s="171" t="s">
        <v>87</v>
      </c>
      <c r="C22" s="171" t="s">
        <v>88</v>
      </c>
    </row>
    <row r="23" spans="1:3" x14ac:dyDescent="0.35">
      <c r="A23" s="171" t="s">
        <v>30</v>
      </c>
      <c r="B23" s="171" t="s">
        <v>90</v>
      </c>
      <c r="C23" s="171" t="s">
        <v>88</v>
      </c>
    </row>
    <row r="24" spans="1:3" x14ac:dyDescent="0.35">
      <c r="A24" s="171" t="s">
        <v>31</v>
      </c>
      <c r="B24" s="171" t="s">
        <v>91</v>
      </c>
      <c r="C24" s="171" t="s">
        <v>88</v>
      </c>
    </row>
    <row r="25" spans="1:3" x14ac:dyDescent="0.35">
      <c r="A25" s="171" t="s">
        <v>32</v>
      </c>
      <c r="B25" s="171" t="s">
        <v>90</v>
      </c>
      <c r="C25" s="171" t="s">
        <v>88</v>
      </c>
    </row>
    <row r="26" spans="1:3" x14ac:dyDescent="0.35">
      <c r="A26" s="171" t="s">
        <v>33</v>
      </c>
      <c r="B26" s="171" t="s">
        <v>87</v>
      </c>
      <c r="C26" s="171" t="s">
        <v>88</v>
      </c>
    </row>
    <row r="27" spans="1:3" x14ac:dyDescent="0.35">
      <c r="A27" s="171" t="s">
        <v>34</v>
      </c>
      <c r="B27" s="171" t="s">
        <v>90</v>
      </c>
      <c r="C27" s="171" t="s">
        <v>88</v>
      </c>
    </row>
    <row r="28" spans="1:3" x14ac:dyDescent="0.35">
      <c r="A28" s="171" t="s">
        <v>35</v>
      </c>
      <c r="B28" s="171" t="s">
        <v>91</v>
      </c>
      <c r="C28" s="171" t="s">
        <v>88</v>
      </c>
    </row>
    <row r="29" spans="1:3" x14ac:dyDescent="0.35">
      <c r="A29" s="171" t="s">
        <v>36</v>
      </c>
      <c r="B29" s="171" t="s">
        <v>87</v>
      </c>
      <c r="C29" s="171" t="s">
        <v>92</v>
      </c>
    </row>
    <row r="30" spans="1:3" x14ac:dyDescent="0.35">
      <c r="A30" s="171" t="s">
        <v>37</v>
      </c>
      <c r="B30" s="171" t="s">
        <v>91</v>
      </c>
      <c r="C30" s="171" t="s">
        <v>88</v>
      </c>
    </row>
    <row r="31" spans="1:3" x14ac:dyDescent="0.35">
      <c r="A31" s="171" t="s">
        <v>38</v>
      </c>
      <c r="B31" s="171" t="s">
        <v>91</v>
      </c>
      <c r="C31" s="171" t="s">
        <v>88</v>
      </c>
    </row>
    <row r="32" spans="1:3" x14ac:dyDescent="0.35">
      <c r="A32" s="171" t="s">
        <v>39</v>
      </c>
      <c r="B32" s="171" t="s">
        <v>90</v>
      </c>
      <c r="C32" s="171" t="s">
        <v>88</v>
      </c>
    </row>
    <row r="33" spans="1:10" x14ac:dyDescent="0.35">
      <c r="A33" s="171" t="s">
        <v>40</v>
      </c>
      <c r="B33" s="171" t="s">
        <v>91</v>
      </c>
      <c r="C33" s="171" t="s">
        <v>88</v>
      </c>
    </row>
    <row r="34" spans="1:10" x14ac:dyDescent="0.35">
      <c r="A34" s="171" t="s">
        <v>41</v>
      </c>
      <c r="B34" s="171" t="s">
        <v>87</v>
      </c>
      <c r="C34" s="171" t="s">
        <v>88</v>
      </c>
    </row>
    <row r="35" spans="1:10" x14ac:dyDescent="0.35">
      <c r="A35" s="171" t="s">
        <v>42</v>
      </c>
      <c r="B35" s="171" t="s">
        <v>91</v>
      </c>
      <c r="C35" s="171" t="s">
        <v>88</v>
      </c>
    </row>
    <row r="36" spans="1:10" x14ac:dyDescent="0.35">
      <c r="A36" s="171" t="s">
        <v>43</v>
      </c>
      <c r="B36" s="171" t="s">
        <v>91</v>
      </c>
      <c r="C36" s="171" t="s">
        <v>88</v>
      </c>
    </row>
    <row r="37" spans="1:10" x14ac:dyDescent="0.35">
      <c r="A37" s="171" t="s">
        <v>44</v>
      </c>
      <c r="B37" s="171" t="s">
        <v>87</v>
      </c>
      <c r="C37" s="171" t="s">
        <v>92</v>
      </c>
    </row>
    <row r="38" spans="1:10" x14ac:dyDescent="0.35">
      <c r="A38" s="171" t="s">
        <v>45</v>
      </c>
      <c r="B38" s="171" t="s">
        <v>90</v>
      </c>
      <c r="C38" s="171" t="s">
        <v>88</v>
      </c>
    </row>
    <row r="39" spans="1:10" x14ac:dyDescent="0.35">
      <c r="A39" s="171" t="s">
        <v>46</v>
      </c>
      <c r="B39" s="171" t="s">
        <v>91</v>
      </c>
      <c r="C39" s="171" t="s">
        <v>88</v>
      </c>
    </row>
    <row r="40" spans="1:10" x14ac:dyDescent="0.35">
      <c r="A40" s="171" t="s">
        <v>47</v>
      </c>
      <c r="B40" s="171" t="s">
        <v>87</v>
      </c>
      <c r="C40" s="171" t="s">
        <v>88</v>
      </c>
    </row>
    <row r="41" spans="1:10" x14ac:dyDescent="0.35">
      <c r="A41" s="171" t="s">
        <v>48</v>
      </c>
      <c r="B41" s="171" t="s">
        <v>87</v>
      </c>
      <c r="C41" s="171" t="s">
        <v>92</v>
      </c>
    </row>
    <row r="42" spans="1:10" x14ac:dyDescent="0.35">
      <c r="A42" s="171" t="s">
        <v>49</v>
      </c>
      <c r="B42" s="171" t="s">
        <v>90</v>
      </c>
      <c r="C42" s="171" t="s">
        <v>88</v>
      </c>
    </row>
    <row r="43" spans="1:10" x14ac:dyDescent="0.35">
      <c r="A43" s="171" t="s">
        <v>50</v>
      </c>
      <c r="B43" s="171" t="s">
        <v>87</v>
      </c>
      <c r="C43" s="171" t="s">
        <v>92</v>
      </c>
    </row>
    <row r="44" spans="1:10" x14ac:dyDescent="0.35">
      <c r="A44" s="171" t="s">
        <v>51</v>
      </c>
      <c r="B44" s="171" t="s">
        <v>90</v>
      </c>
      <c r="C44" s="171" t="s">
        <v>88</v>
      </c>
    </row>
    <row r="45" spans="1:10" ht="16" thickBot="1" x14ac:dyDescent="0.4">
      <c r="A45" s="173" t="s">
        <v>52</v>
      </c>
      <c r="B45" s="173" t="s">
        <v>87</v>
      </c>
      <c r="C45" s="173" t="s">
        <v>92</v>
      </c>
    </row>
    <row r="46" spans="1:10" ht="30" customHeight="1" x14ac:dyDescent="0.35">
      <c r="A46" s="174" t="s">
        <v>97</v>
      </c>
      <c r="B46" s="174"/>
      <c r="C46" s="174"/>
      <c r="D46" s="165"/>
      <c r="E46" s="165"/>
      <c r="F46" s="165"/>
      <c r="G46" s="165"/>
      <c r="H46" s="165"/>
      <c r="I46" s="165"/>
      <c r="J46" s="165"/>
    </row>
    <row r="47" spans="1:10" x14ac:dyDescent="0.35">
      <c r="A47" s="175" t="s">
        <v>98</v>
      </c>
    </row>
    <row r="48" spans="1:10" x14ac:dyDescent="0.35">
      <c r="A48" s="175" t="s">
        <v>99</v>
      </c>
    </row>
    <row r="49" spans="1:1" x14ac:dyDescent="0.35">
      <c r="A49" s="175" t="s">
        <v>100</v>
      </c>
    </row>
  </sheetData>
  <hyperlinks>
    <hyperlink ref="A46" r:id="rId1" display="1  Rural Urban classifications of Fire and Rescue Service as defined by Department for Environment, Food and Rural Affairs (DEFRA).. LINK" xr:uid="{6DDCC5FF-DB66-4EBF-99A2-21703B5F7D76}"/>
  </hyperlinks>
  <pageMargins left="0.7" right="0.7" top="0.75" bottom="0.75" header="0.3" footer="0.3"/>
  <pageSetup paperSize="9" orientation="portrait" r:id="rId2"/>
  <headerFooter>
    <oddHeader>&amp;C&amp;"Aptos"&amp;10&amp;K000000 OFFICIAL&amp;1#_x000D_</oddHeader>
    <oddFooter>&amp;C_x000D_&amp;1#&amp;"Aptos"&amp;10&amp;K000000 OFFICIAL</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021EEB-0F1F-44C5-B29B-CE4DFA22D537}">
  <dimension ref="A1:A36"/>
  <sheetViews>
    <sheetView showGridLines="0" zoomScaleNormal="100" workbookViewId="0"/>
  </sheetViews>
  <sheetFormatPr defaultColWidth="8.81640625" defaultRowHeight="15.5" x14ac:dyDescent="0.35"/>
  <cols>
    <col min="1" max="1" width="174.1796875" style="96" bestFit="1" customWidth="1"/>
    <col min="2" max="2" width="152.81640625" style="96" bestFit="1" customWidth="1"/>
    <col min="3" max="16384" width="8.81640625" style="96"/>
  </cols>
  <sheetData>
    <row r="1" spans="1:1" s="95" customFormat="1" ht="26.5" customHeight="1" x14ac:dyDescent="0.35">
      <c r="A1" s="95" t="s">
        <v>123</v>
      </c>
    </row>
    <row r="2" spans="1:1" ht="25.5" customHeight="1" x14ac:dyDescent="0.35">
      <c r="A2" s="95" t="s">
        <v>119</v>
      </c>
    </row>
    <row r="3" spans="1:1" ht="39" customHeight="1" x14ac:dyDescent="0.35">
      <c r="A3" s="95" t="s">
        <v>238</v>
      </c>
    </row>
    <row r="4" spans="1:1" ht="31" x14ac:dyDescent="0.35">
      <c r="A4" s="97" t="s">
        <v>237</v>
      </c>
    </row>
    <row r="5" spans="1:1" x14ac:dyDescent="0.35">
      <c r="A5" s="96" t="s">
        <v>120</v>
      </c>
    </row>
    <row r="6" spans="1:1" x14ac:dyDescent="0.35">
      <c r="A6" s="96" t="s">
        <v>121</v>
      </c>
    </row>
    <row r="7" spans="1:1" x14ac:dyDescent="0.35">
      <c r="A7" s="96" t="s">
        <v>226</v>
      </c>
    </row>
    <row r="8" spans="1:1" ht="42" customHeight="1" x14ac:dyDescent="0.35">
      <c r="A8" s="95" t="s">
        <v>228</v>
      </c>
    </row>
    <row r="9" spans="1:1" ht="31" x14ac:dyDescent="0.35">
      <c r="A9" s="97" t="s">
        <v>222</v>
      </c>
    </row>
    <row r="10" spans="1:1" x14ac:dyDescent="0.35">
      <c r="A10" s="96" t="s">
        <v>211</v>
      </c>
    </row>
    <row r="11" spans="1:1" x14ac:dyDescent="0.35">
      <c r="A11" s="96" t="s">
        <v>227</v>
      </c>
    </row>
    <row r="12" spans="1:1" ht="35.5" customHeight="1" x14ac:dyDescent="0.35">
      <c r="A12" s="95" t="s">
        <v>166</v>
      </c>
    </row>
    <row r="13" spans="1:1" x14ac:dyDescent="0.35">
      <c r="A13" s="96" t="s">
        <v>223</v>
      </c>
    </row>
    <row r="14" spans="1:1" x14ac:dyDescent="0.35">
      <c r="A14" s="98" t="s">
        <v>213</v>
      </c>
    </row>
    <row r="15" spans="1:1" x14ac:dyDescent="0.35">
      <c r="A15" s="96" t="s">
        <v>168</v>
      </c>
    </row>
    <row r="16" spans="1:1" x14ac:dyDescent="0.35">
      <c r="A16" s="96" t="s">
        <v>169</v>
      </c>
    </row>
    <row r="17" spans="1:1" x14ac:dyDescent="0.35">
      <c r="A17" s="96" t="s">
        <v>170</v>
      </c>
    </row>
    <row r="18" spans="1:1" x14ac:dyDescent="0.35">
      <c r="A18" s="96" t="s">
        <v>171</v>
      </c>
    </row>
    <row r="19" spans="1:1" x14ac:dyDescent="0.35">
      <c r="A19" s="96" t="s">
        <v>172</v>
      </c>
    </row>
    <row r="20" spans="1:1" x14ac:dyDescent="0.35">
      <c r="A20" s="96" t="s">
        <v>173</v>
      </c>
    </row>
    <row r="21" spans="1:1" x14ac:dyDescent="0.35">
      <c r="A21" s="96" t="s">
        <v>174</v>
      </c>
    </row>
    <row r="22" spans="1:1" x14ac:dyDescent="0.35">
      <c r="A22" s="96" t="s">
        <v>212</v>
      </c>
    </row>
    <row r="23" spans="1:1" x14ac:dyDescent="0.35">
      <c r="A23" s="96" t="s">
        <v>199</v>
      </c>
    </row>
    <row r="24" spans="1:1" ht="35.15" customHeight="1" x14ac:dyDescent="0.35">
      <c r="A24" s="95" t="s">
        <v>214</v>
      </c>
    </row>
    <row r="25" spans="1:1" x14ac:dyDescent="0.35">
      <c r="A25" s="96" t="s">
        <v>224</v>
      </c>
    </row>
    <row r="26" spans="1:1" ht="31" customHeight="1" x14ac:dyDescent="0.35">
      <c r="A26" s="95" t="s">
        <v>215</v>
      </c>
    </row>
    <row r="27" spans="1:1" x14ac:dyDescent="0.35">
      <c r="A27" s="96" t="s">
        <v>225</v>
      </c>
    </row>
    <row r="28" spans="1:1" ht="32.5" customHeight="1" x14ac:dyDescent="0.35">
      <c r="A28" s="95" t="s">
        <v>216</v>
      </c>
    </row>
    <row r="29" spans="1:1" x14ac:dyDescent="0.35">
      <c r="A29" s="99" t="s">
        <v>167</v>
      </c>
    </row>
    <row r="30" spans="1:1" ht="13.5" customHeight="1" x14ac:dyDescent="0.35">
      <c r="A30" s="99"/>
    </row>
    <row r="31" spans="1:1" ht="39" customHeight="1" x14ac:dyDescent="0.35">
      <c r="A31" s="95" t="s">
        <v>202</v>
      </c>
    </row>
    <row r="32" spans="1:1" x14ac:dyDescent="0.35">
      <c r="A32" s="97" t="s">
        <v>203</v>
      </c>
    </row>
    <row r="33" spans="1:1" ht="31" x14ac:dyDescent="0.35">
      <c r="A33" s="100" t="s">
        <v>204</v>
      </c>
    </row>
    <row r="34" spans="1:1" x14ac:dyDescent="0.35">
      <c r="A34" s="100" t="s">
        <v>205</v>
      </c>
    </row>
    <row r="35" spans="1:1" x14ac:dyDescent="0.35">
      <c r="A35" s="96" t="s">
        <v>206</v>
      </c>
    </row>
    <row r="36" spans="1:1" x14ac:dyDescent="0.35">
      <c r="A36" s="101" t="s">
        <v>207</v>
      </c>
    </row>
  </sheetData>
  <hyperlinks>
    <hyperlink ref="A36" r:id="rId1" display="https://www.ukfrs.com/index.php/guidance/person-centred-framework" xr:uid="{E5B9A05D-2102-4774-B435-435139865BBE}"/>
  </hyperlinks>
  <pageMargins left="0.7" right="0.7" top="0.75" bottom="0.75" header="0.3" footer="0.3"/>
  <pageSetup paperSize="9" orientation="portrait" r:id="rId2"/>
  <headerFooter>
    <oddHeader>&amp;C&amp;"Aptos"&amp;10&amp;K000000 OFFICIAL&amp;1#_x000D_</oddHeader>
    <oddFooter>&amp;C_x000D_&amp;1#&amp;"Aptos"&amp;10&amp;K000000 OFFICIAL</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6906F2-0CA1-4CF0-B172-8F38932400A3}">
  <sheetPr>
    <tabColor theme="9" tint="0.79998168889431442"/>
  </sheetPr>
  <dimension ref="A1:V55"/>
  <sheetViews>
    <sheetView topLeftCell="A4" workbookViewId="0">
      <selection activeCell="L18" sqref="L18"/>
    </sheetView>
  </sheetViews>
  <sheetFormatPr defaultColWidth="8.81640625" defaultRowHeight="10.5" x14ac:dyDescent="0.25"/>
  <cols>
    <col min="1" max="1" width="21" style="78" bestFit="1" customWidth="1"/>
    <col min="2" max="2" width="4.453125" style="78" customWidth="1"/>
    <col min="3" max="10" width="8.81640625" style="78"/>
    <col min="11" max="11" width="18.453125" style="78" bestFit="1" customWidth="1"/>
    <col min="12" max="12" width="15.81640625" style="78" bestFit="1" customWidth="1"/>
    <col min="13" max="13" width="8.81640625" style="78"/>
    <col min="14" max="14" width="19.54296875" style="78" bestFit="1" customWidth="1"/>
    <col min="15" max="16384" width="8.81640625" style="78"/>
  </cols>
  <sheetData>
    <row r="1" spans="1:22" ht="41.9" customHeight="1" x14ac:dyDescent="0.25">
      <c r="A1" s="241"/>
      <c r="B1" s="241"/>
      <c r="C1" s="241"/>
      <c r="D1" s="241"/>
      <c r="E1" s="241"/>
      <c r="F1" s="241"/>
      <c r="G1" s="241"/>
      <c r="H1" s="241"/>
      <c r="I1" s="241"/>
      <c r="J1" s="241"/>
    </row>
    <row r="2" spans="1:22" ht="36.65" customHeight="1" x14ac:dyDescent="0.25">
      <c r="A2" s="242"/>
      <c r="B2" s="79"/>
      <c r="C2" s="238" t="s">
        <v>150</v>
      </c>
      <c r="D2" s="239"/>
      <c r="E2" s="240" t="s">
        <v>151</v>
      </c>
      <c r="F2" s="240"/>
      <c r="G2" s="240" t="s">
        <v>152</v>
      </c>
      <c r="H2" s="240"/>
      <c r="I2" s="238" t="s">
        <v>153</v>
      </c>
      <c r="J2" s="239"/>
    </row>
    <row r="3" spans="1:22" ht="27.65" customHeight="1" x14ac:dyDescent="0.25">
      <c r="A3" s="243"/>
      <c r="B3" s="80"/>
      <c r="C3" s="81" t="s">
        <v>127</v>
      </c>
      <c r="D3" s="81" t="s">
        <v>128</v>
      </c>
      <c r="E3" s="81" t="s">
        <v>127</v>
      </c>
      <c r="F3" s="81" t="s">
        <v>128</v>
      </c>
      <c r="G3" s="81" t="s">
        <v>127</v>
      </c>
      <c r="H3" s="81" t="s">
        <v>128</v>
      </c>
      <c r="I3" s="81" t="s">
        <v>127</v>
      </c>
      <c r="J3" s="81" t="s">
        <v>128</v>
      </c>
    </row>
    <row r="4" spans="1:22" x14ac:dyDescent="0.25">
      <c r="O4" s="238" t="s">
        <v>150</v>
      </c>
      <c r="P4" s="239"/>
      <c r="Q4" s="240" t="s">
        <v>151</v>
      </c>
      <c r="R4" s="240"/>
      <c r="S4" s="240" t="s">
        <v>152</v>
      </c>
      <c r="T4" s="240"/>
      <c r="U4" s="238" t="s">
        <v>153</v>
      </c>
      <c r="V4" s="239"/>
    </row>
    <row r="5" spans="1:22" x14ac:dyDescent="0.25">
      <c r="O5" s="81" t="s">
        <v>127</v>
      </c>
      <c r="P5" s="81" t="s">
        <v>128</v>
      </c>
      <c r="Q5" s="81" t="s">
        <v>127</v>
      </c>
      <c r="R5" s="81" t="s">
        <v>128</v>
      </c>
      <c r="S5" s="81" t="s">
        <v>127</v>
      </c>
      <c r="T5" s="81" t="s">
        <v>128</v>
      </c>
      <c r="U5" s="81" t="s">
        <v>127</v>
      </c>
      <c r="V5" s="81" t="s">
        <v>128</v>
      </c>
    </row>
    <row r="6" spans="1:22" x14ac:dyDescent="0.25">
      <c r="A6" s="82" t="s">
        <v>76</v>
      </c>
      <c r="B6" s="82"/>
      <c r="C6" s="83">
        <f t="shared" ref="C6:J6" si="0">SUM(C12:C55)</f>
        <v>775019</v>
      </c>
      <c r="D6" s="83">
        <f t="shared" si="0"/>
        <v>984787.42999999993</v>
      </c>
      <c r="E6" s="83">
        <f t="shared" si="0"/>
        <v>277773</v>
      </c>
      <c r="F6" s="83">
        <f t="shared" si="0"/>
        <v>342072.44999999995</v>
      </c>
      <c r="G6" s="83">
        <f t="shared" si="0"/>
        <v>86543</v>
      </c>
      <c r="H6" s="83">
        <f t="shared" si="0"/>
        <v>112638.3</v>
      </c>
      <c r="I6" s="83">
        <f t="shared" si="0"/>
        <v>50105</v>
      </c>
      <c r="J6" s="83">
        <f t="shared" si="0"/>
        <v>42705.260255560628</v>
      </c>
      <c r="N6" s="78" t="s">
        <v>82</v>
      </c>
      <c r="O6" s="78">
        <v>11023</v>
      </c>
      <c r="P6" s="78">
        <v>20984.93</v>
      </c>
      <c r="Q6" s="78">
        <v>5680</v>
      </c>
      <c r="R6" s="78">
        <v>10123</v>
      </c>
      <c r="S6" s="78">
        <v>1502</v>
      </c>
      <c r="T6" s="78">
        <v>2503.15</v>
      </c>
      <c r="U6" s="78">
        <v>113</v>
      </c>
      <c r="V6" s="78">
        <v>149.66999999999999</v>
      </c>
    </row>
    <row r="7" spans="1:22" x14ac:dyDescent="0.25">
      <c r="A7" s="82" t="s">
        <v>88</v>
      </c>
      <c r="B7" s="82"/>
      <c r="C7" s="83">
        <f t="shared" ref="C7:J8" si="1">SUMIF($L$12:$L$55,$A7,C$12:C$55)</f>
        <v>409706</v>
      </c>
      <c r="D7" s="83">
        <f t="shared" si="1"/>
        <v>514566.43</v>
      </c>
      <c r="E7" s="83">
        <f t="shared" si="1"/>
        <v>147679</v>
      </c>
      <c r="F7" s="83">
        <f t="shared" si="1"/>
        <v>178500.45</v>
      </c>
      <c r="G7" s="83">
        <f t="shared" si="1"/>
        <v>46368</v>
      </c>
      <c r="H7" s="83">
        <f t="shared" si="1"/>
        <v>58966.3</v>
      </c>
      <c r="I7" s="83">
        <f t="shared" si="1"/>
        <v>17360</v>
      </c>
      <c r="J7" s="83">
        <f t="shared" si="1"/>
        <v>12602.186666666666</v>
      </c>
      <c r="N7" s="78" t="s">
        <v>83</v>
      </c>
      <c r="O7" s="78">
        <v>562</v>
      </c>
      <c r="P7" s="78">
        <v>371</v>
      </c>
      <c r="Q7" s="78">
        <v>323</v>
      </c>
      <c r="R7" s="78">
        <v>113</v>
      </c>
      <c r="S7" s="78" t="s">
        <v>162</v>
      </c>
      <c r="T7" s="78" t="s">
        <v>162</v>
      </c>
      <c r="U7" s="78">
        <v>88</v>
      </c>
      <c r="V7" s="78" t="s">
        <v>162</v>
      </c>
    </row>
    <row r="8" spans="1:22" x14ac:dyDescent="0.25">
      <c r="A8" s="82" t="s">
        <v>92</v>
      </c>
      <c r="B8" s="82"/>
      <c r="C8" s="83">
        <f t="shared" si="1"/>
        <v>365313</v>
      </c>
      <c r="D8" s="83">
        <f t="shared" si="1"/>
        <v>470221</v>
      </c>
      <c r="E8" s="83">
        <f t="shared" si="1"/>
        <v>130094</v>
      </c>
      <c r="F8" s="83">
        <f t="shared" si="1"/>
        <v>163572</v>
      </c>
      <c r="G8" s="83">
        <f t="shared" si="1"/>
        <v>40175</v>
      </c>
      <c r="H8" s="83">
        <f t="shared" si="1"/>
        <v>53672</v>
      </c>
      <c r="I8" s="83">
        <f t="shared" si="1"/>
        <v>32745</v>
      </c>
      <c r="J8" s="83">
        <f t="shared" si="1"/>
        <v>30103.073588893967</v>
      </c>
      <c r="N8" s="78" t="s">
        <v>93</v>
      </c>
      <c r="O8" s="78">
        <f>SUM(O6:O7)</f>
        <v>11585</v>
      </c>
      <c r="P8" s="78">
        <f t="shared" ref="P8:V8" si="2">SUM(P6:P7)</f>
        <v>21355.93</v>
      </c>
      <c r="Q8" s="78">
        <f t="shared" si="2"/>
        <v>6003</v>
      </c>
      <c r="R8" s="78">
        <f t="shared" si="2"/>
        <v>10236</v>
      </c>
      <c r="S8" s="78">
        <f t="shared" si="2"/>
        <v>1502</v>
      </c>
      <c r="T8" s="78">
        <f t="shared" si="2"/>
        <v>2503.15</v>
      </c>
      <c r="U8" s="78">
        <f t="shared" si="2"/>
        <v>201</v>
      </c>
      <c r="V8" s="78">
        <f t="shared" si="2"/>
        <v>149.66999999999999</v>
      </c>
    </row>
    <row r="9" spans="1:22" x14ac:dyDescent="0.25">
      <c r="A9" s="82" t="s">
        <v>87</v>
      </c>
      <c r="B9" s="82"/>
      <c r="C9" s="83">
        <f t="shared" ref="C9:J11" si="3">SUMIF($K$12:$K$55,$A9,C$12:C$55)</f>
        <v>473996</v>
      </c>
      <c r="D9" s="83">
        <f t="shared" si="3"/>
        <v>604791.5</v>
      </c>
      <c r="E9" s="83">
        <f t="shared" si="3"/>
        <v>171451</v>
      </c>
      <c r="F9" s="83">
        <f t="shared" si="3"/>
        <v>214326.45</v>
      </c>
      <c r="G9" s="83">
        <f t="shared" si="3"/>
        <v>57521</v>
      </c>
      <c r="H9" s="83">
        <f t="shared" si="3"/>
        <v>76376.649999999994</v>
      </c>
      <c r="I9" s="83">
        <f t="shared" si="3"/>
        <v>34502</v>
      </c>
      <c r="J9" s="83">
        <f t="shared" si="3"/>
        <v>31143.840255560634</v>
      </c>
    </row>
    <row r="10" spans="1:22" x14ac:dyDescent="0.25">
      <c r="A10" s="82" t="s">
        <v>90</v>
      </c>
      <c r="B10" s="82"/>
      <c r="C10" s="83">
        <f t="shared" si="3"/>
        <v>219639</v>
      </c>
      <c r="D10" s="83">
        <f t="shared" si="3"/>
        <v>271793.68</v>
      </c>
      <c r="E10" s="83">
        <f t="shared" si="3"/>
        <v>79326</v>
      </c>
      <c r="F10" s="83">
        <f t="shared" si="3"/>
        <v>93998.5</v>
      </c>
      <c r="G10" s="83">
        <f t="shared" si="3"/>
        <v>26990</v>
      </c>
      <c r="H10" s="83">
        <f t="shared" si="3"/>
        <v>33841.4</v>
      </c>
      <c r="I10" s="83">
        <f t="shared" si="3"/>
        <v>13288</v>
      </c>
      <c r="J10" s="83">
        <f t="shared" si="3"/>
        <v>10023.17</v>
      </c>
    </row>
    <row r="11" spans="1:22" x14ac:dyDescent="0.25">
      <c r="A11" s="82" t="s">
        <v>91</v>
      </c>
      <c r="B11" s="82"/>
      <c r="C11" s="83">
        <f t="shared" si="3"/>
        <v>81384</v>
      </c>
      <c r="D11" s="83">
        <f t="shared" si="3"/>
        <v>108202.25</v>
      </c>
      <c r="E11" s="83">
        <f t="shared" si="3"/>
        <v>26996</v>
      </c>
      <c r="F11" s="83">
        <f t="shared" si="3"/>
        <v>33747.5</v>
      </c>
      <c r="G11" s="83">
        <f t="shared" si="3"/>
        <v>2032</v>
      </c>
      <c r="H11" s="83">
        <f t="shared" si="3"/>
        <v>2420.25</v>
      </c>
      <c r="I11" s="83">
        <f t="shared" si="3"/>
        <v>2315</v>
      </c>
      <c r="J11" s="83">
        <f t="shared" si="3"/>
        <v>1538.25</v>
      </c>
    </row>
    <row r="12" spans="1:22" x14ac:dyDescent="0.25">
      <c r="A12" s="78" t="s">
        <v>8</v>
      </c>
      <c r="C12" s="84">
        <v>15985</v>
      </c>
      <c r="D12" s="84">
        <v>11137</v>
      </c>
      <c r="E12" s="84">
        <v>5495</v>
      </c>
      <c r="F12" s="84">
        <v>3844</v>
      </c>
      <c r="G12" s="84">
        <v>2237</v>
      </c>
      <c r="H12" s="84">
        <v>1712</v>
      </c>
      <c r="I12" s="84">
        <v>343</v>
      </c>
      <c r="J12" s="84" t="s">
        <v>162</v>
      </c>
      <c r="K12" s="78" t="s">
        <v>87</v>
      </c>
      <c r="L12" s="78" t="s">
        <v>88</v>
      </c>
    </row>
    <row r="13" spans="1:22" x14ac:dyDescent="0.25">
      <c r="A13" s="78" t="s">
        <v>11</v>
      </c>
      <c r="C13" s="84">
        <v>6437</v>
      </c>
      <c r="D13" s="84">
        <v>8084</v>
      </c>
      <c r="E13" s="84" t="s">
        <v>162</v>
      </c>
      <c r="F13" s="84" t="s">
        <v>162</v>
      </c>
      <c r="G13" s="84" t="s">
        <v>162</v>
      </c>
      <c r="H13" s="84" t="s">
        <v>162</v>
      </c>
      <c r="I13" s="84">
        <v>329</v>
      </c>
      <c r="J13" s="84" t="s">
        <v>162</v>
      </c>
      <c r="K13" s="78" t="s">
        <v>90</v>
      </c>
      <c r="L13" s="78" t="s">
        <v>88</v>
      </c>
    </row>
    <row r="14" spans="1:22" x14ac:dyDescent="0.25">
      <c r="A14" s="78" t="s">
        <v>12</v>
      </c>
      <c r="C14" s="84">
        <v>6696</v>
      </c>
      <c r="D14" s="84">
        <v>11147</v>
      </c>
      <c r="E14" s="84">
        <v>2530</v>
      </c>
      <c r="F14" s="84">
        <v>2950</v>
      </c>
      <c r="G14" s="84">
        <v>1100</v>
      </c>
      <c r="H14" s="84">
        <v>1283</v>
      </c>
      <c r="I14" s="84" t="s">
        <v>162</v>
      </c>
      <c r="J14" s="84" t="s">
        <v>162</v>
      </c>
      <c r="K14" s="78" t="s">
        <v>87</v>
      </c>
      <c r="L14" s="78" t="s">
        <v>88</v>
      </c>
    </row>
    <row r="15" spans="1:22" x14ac:dyDescent="0.25">
      <c r="A15" s="78" t="s">
        <v>13</v>
      </c>
      <c r="C15" s="84">
        <v>5766</v>
      </c>
      <c r="D15" s="84">
        <v>8649</v>
      </c>
      <c r="E15" s="84">
        <v>1576</v>
      </c>
      <c r="F15" s="84">
        <v>2364</v>
      </c>
      <c r="G15" s="84">
        <v>971</v>
      </c>
      <c r="H15" s="84">
        <v>1457</v>
      </c>
      <c r="I15" s="84">
        <v>617</v>
      </c>
      <c r="J15" s="84" t="s">
        <v>162</v>
      </c>
      <c r="K15" s="78" t="s">
        <v>90</v>
      </c>
      <c r="L15" s="78" t="s">
        <v>88</v>
      </c>
    </row>
    <row r="16" spans="1:22" x14ac:dyDescent="0.25">
      <c r="A16" s="78" t="s">
        <v>14</v>
      </c>
      <c r="C16" s="84">
        <v>7015</v>
      </c>
      <c r="D16" s="84">
        <v>5602</v>
      </c>
      <c r="E16" s="84">
        <v>2456</v>
      </c>
      <c r="F16" s="84">
        <v>2178</v>
      </c>
      <c r="G16" s="84">
        <v>1444</v>
      </c>
      <c r="H16" s="84">
        <v>1403</v>
      </c>
      <c r="I16" s="84">
        <v>60</v>
      </c>
      <c r="J16" s="84">
        <v>139</v>
      </c>
      <c r="K16" s="78" t="s">
        <v>91</v>
      </c>
      <c r="L16" s="78" t="s">
        <v>88</v>
      </c>
    </row>
    <row r="17" spans="1:12" x14ac:dyDescent="0.25">
      <c r="A17" s="78" t="s">
        <v>15</v>
      </c>
      <c r="C17" s="84">
        <v>62707</v>
      </c>
      <c r="D17" s="84">
        <v>25083</v>
      </c>
      <c r="E17" s="84">
        <v>20517</v>
      </c>
      <c r="F17" s="84">
        <v>8206</v>
      </c>
      <c r="G17" s="84">
        <v>3013</v>
      </c>
      <c r="H17" s="84">
        <v>906</v>
      </c>
      <c r="I17" s="84">
        <v>130</v>
      </c>
      <c r="J17" s="84">
        <v>100</v>
      </c>
      <c r="K17" s="78" t="s">
        <v>90</v>
      </c>
      <c r="L17" s="78" t="s">
        <v>88</v>
      </c>
    </row>
    <row r="18" spans="1:12" x14ac:dyDescent="0.25">
      <c r="A18" s="78" t="s">
        <v>16</v>
      </c>
      <c r="C18" s="84">
        <v>17469</v>
      </c>
      <c r="D18" s="84">
        <v>8734.5</v>
      </c>
      <c r="E18" s="84">
        <v>4124</v>
      </c>
      <c r="F18" s="84">
        <v>2062</v>
      </c>
      <c r="G18" s="84">
        <v>648</v>
      </c>
      <c r="H18" s="84">
        <v>324</v>
      </c>
      <c r="I18" s="84">
        <v>0</v>
      </c>
      <c r="J18" s="84">
        <v>0</v>
      </c>
      <c r="K18" s="78" t="s">
        <v>87</v>
      </c>
      <c r="L18" s="78" t="s">
        <v>88</v>
      </c>
    </row>
    <row r="19" spans="1:12" x14ac:dyDescent="0.25">
      <c r="A19" s="78" t="s">
        <v>17</v>
      </c>
      <c r="C19" s="84">
        <v>3222</v>
      </c>
      <c r="D19" s="84">
        <v>3998</v>
      </c>
      <c r="E19" s="84" t="s">
        <v>162</v>
      </c>
      <c r="F19" s="84" t="s">
        <v>162</v>
      </c>
      <c r="G19" s="84" t="s">
        <v>162</v>
      </c>
      <c r="H19" s="84" t="s">
        <v>162</v>
      </c>
      <c r="I19" s="84">
        <v>417</v>
      </c>
      <c r="J19" s="84">
        <v>290.5</v>
      </c>
      <c r="K19" s="78" t="s">
        <v>91</v>
      </c>
      <c r="L19" s="78" t="s">
        <v>88</v>
      </c>
    </row>
    <row r="20" spans="1:12" x14ac:dyDescent="0.25">
      <c r="A20" s="78" t="s">
        <v>18</v>
      </c>
      <c r="C20" s="84">
        <v>18175</v>
      </c>
      <c r="D20" s="84">
        <v>13631.25</v>
      </c>
      <c r="E20" s="84">
        <v>9656</v>
      </c>
      <c r="F20" s="84">
        <v>7242</v>
      </c>
      <c r="G20" s="84" t="s">
        <v>162</v>
      </c>
      <c r="H20" s="84" t="s">
        <v>162</v>
      </c>
      <c r="I20" s="84">
        <v>114</v>
      </c>
      <c r="J20" s="84">
        <v>85.5</v>
      </c>
      <c r="K20" s="78" t="s">
        <v>91</v>
      </c>
      <c r="L20" s="78" t="s">
        <v>88</v>
      </c>
    </row>
    <row r="21" spans="1:12" x14ac:dyDescent="0.25">
      <c r="A21" s="85" t="s">
        <v>19</v>
      </c>
      <c r="B21" s="85"/>
      <c r="C21" s="84">
        <v>5407</v>
      </c>
      <c r="D21" s="84">
        <v>9980</v>
      </c>
      <c r="E21" s="84">
        <v>1968</v>
      </c>
      <c r="F21" s="84">
        <v>3556</v>
      </c>
      <c r="G21" s="84">
        <v>1875</v>
      </c>
      <c r="H21" s="84">
        <v>3178</v>
      </c>
      <c r="I21" s="84">
        <v>4645</v>
      </c>
      <c r="J21" s="84">
        <v>4820</v>
      </c>
      <c r="K21" s="78" t="s">
        <v>90</v>
      </c>
      <c r="L21" s="78" t="s">
        <v>88</v>
      </c>
    </row>
    <row r="22" spans="1:12" x14ac:dyDescent="0.25">
      <c r="A22" s="85" t="s">
        <v>20</v>
      </c>
      <c r="B22" s="85"/>
      <c r="C22" s="84">
        <v>9455</v>
      </c>
      <c r="D22" s="84">
        <v>23938.5</v>
      </c>
      <c r="E22" s="84" t="s">
        <v>162</v>
      </c>
      <c r="F22" s="84" t="s">
        <v>162</v>
      </c>
      <c r="G22" s="84" t="s">
        <v>162</v>
      </c>
      <c r="H22" s="84" t="s">
        <v>162</v>
      </c>
      <c r="I22" s="84">
        <v>0</v>
      </c>
      <c r="J22" s="84">
        <v>0</v>
      </c>
      <c r="K22" s="78" t="s">
        <v>91</v>
      </c>
      <c r="L22" s="78" t="s">
        <v>88</v>
      </c>
    </row>
    <row r="23" spans="1:12" x14ac:dyDescent="0.25">
      <c r="A23" s="85" t="s">
        <v>21</v>
      </c>
      <c r="B23" s="85"/>
      <c r="C23" s="84">
        <v>11855</v>
      </c>
      <c r="D23" s="84">
        <v>16626</v>
      </c>
      <c r="E23" s="84">
        <v>6075</v>
      </c>
      <c r="F23" s="84">
        <v>8025</v>
      </c>
      <c r="G23" s="84">
        <v>2265</v>
      </c>
      <c r="H23" s="84">
        <v>3017</v>
      </c>
      <c r="I23" s="84">
        <v>980</v>
      </c>
      <c r="J23" s="84">
        <v>475</v>
      </c>
      <c r="K23" s="78" t="s">
        <v>90</v>
      </c>
      <c r="L23" s="78" t="s">
        <v>88</v>
      </c>
    </row>
    <row r="24" spans="1:12" x14ac:dyDescent="0.25">
      <c r="A24" s="78" t="s">
        <v>22</v>
      </c>
      <c r="C24" s="84">
        <v>9583</v>
      </c>
      <c r="D24" s="84">
        <v>8671</v>
      </c>
      <c r="E24" s="84">
        <v>3212</v>
      </c>
      <c r="F24" s="84">
        <v>3882</v>
      </c>
      <c r="G24" s="84">
        <v>4</v>
      </c>
      <c r="H24" s="84">
        <v>5</v>
      </c>
      <c r="I24" s="84">
        <v>0</v>
      </c>
      <c r="J24" s="84">
        <v>0</v>
      </c>
      <c r="K24" s="78" t="s">
        <v>91</v>
      </c>
      <c r="L24" s="78" t="s">
        <v>88</v>
      </c>
    </row>
    <row r="25" spans="1:12" x14ac:dyDescent="0.25">
      <c r="A25" s="78" t="s">
        <v>23</v>
      </c>
      <c r="C25" s="84">
        <v>10144</v>
      </c>
      <c r="D25" s="84">
        <v>15883.5</v>
      </c>
      <c r="E25" s="84">
        <v>5328</v>
      </c>
      <c r="F25" s="84">
        <v>6369</v>
      </c>
      <c r="G25" s="84">
        <v>352</v>
      </c>
      <c r="H25" s="84">
        <v>792</v>
      </c>
      <c r="I25" s="84" t="s">
        <v>162</v>
      </c>
      <c r="J25" s="84" t="s">
        <v>162</v>
      </c>
      <c r="K25" s="78" t="s">
        <v>90</v>
      </c>
      <c r="L25" s="78" t="s">
        <v>88</v>
      </c>
    </row>
    <row r="26" spans="1:12" x14ac:dyDescent="0.25">
      <c r="A26" s="78" t="s">
        <v>24</v>
      </c>
      <c r="C26" s="84">
        <v>6770</v>
      </c>
      <c r="D26" s="84">
        <v>10161</v>
      </c>
      <c r="E26" s="84">
        <v>3149</v>
      </c>
      <c r="F26" s="84">
        <v>4703</v>
      </c>
      <c r="G26" s="84">
        <v>1039</v>
      </c>
      <c r="H26" s="84">
        <v>1568</v>
      </c>
      <c r="I26" s="84">
        <v>697</v>
      </c>
      <c r="J26" s="84">
        <v>508</v>
      </c>
      <c r="K26" s="78" t="s">
        <v>90</v>
      </c>
      <c r="L26" s="78" t="s">
        <v>88</v>
      </c>
    </row>
    <row r="27" spans="1:12" x14ac:dyDescent="0.25">
      <c r="A27" s="78" t="s">
        <v>25</v>
      </c>
      <c r="C27" s="84">
        <v>2896</v>
      </c>
      <c r="D27" s="84">
        <v>3134</v>
      </c>
      <c r="E27" s="84">
        <v>1178</v>
      </c>
      <c r="F27" s="84">
        <v>1232</v>
      </c>
      <c r="G27" s="84">
        <v>500</v>
      </c>
      <c r="H27" s="84">
        <v>1229.25</v>
      </c>
      <c r="I27" s="84">
        <v>71</v>
      </c>
      <c r="J27" s="84">
        <v>40</v>
      </c>
      <c r="K27" s="78" t="s">
        <v>90</v>
      </c>
      <c r="L27" s="78" t="s">
        <v>88</v>
      </c>
    </row>
    <row r="28" spans="1:12" x14ac:dyDescent="0.25">
      <c r="A28" s="78" t="s">
        <v>26</v>
      </c>
      <c r="C28" s="84">
        <v>70016</v>
      </c>
      <c r="D28" s="84">
        <v>71842</v>
      </c>
      <c r="E28" s="84">
        <v>27042</v>
      </c>
      <c r="F28" s="84">
        <v>28258</v>
      </c>
      <c r="G28" s="84">
        <v>10272</v>
      </c>
      <c r="H28" s="84">
        <v>10464</v>
      </c>
      <c r="I28" s="84">
        <v>8797</v>
      </c>
      <c r="J28" s="84">
        <v>9026.4235888939675</v>
      </c>
      <c r="K28" s="78" t="s">
        <v>87</v>
      </c>
      <c r="L28" s="78" t="s">
        <v>92</v>
      </c>
    </row>
    <row r="29" spans="1:12" x14ac:dyDescent="0.25">
      <c r="A29" s="78" t="s">
        <v>27</v>
      </c>
      <c r="C29" s="84">
        <v>55115</v>
      </c>
      <c r="D29" s="84">
        <v>108642</v>
      </c>
      <c r="E29" s="84">
        <v>16238</v>
      </c>
      <c r="F29" s="84">
        <v>32745</v>
      </c>
      <c r="G29" s="84" t="s">
        <v>162</v>
      </c>
      <c r="H29" s="84" t="s">
        <v>162</v>
      </c>
      <c r="I29" s="84">
        <v>18961</v>
      </c>
      <c r="J29" s="84">
        <v>13940.5</v>
      </c>
      <c r="K29" s="78" t="s">
        <v>87</v>
      </c>
      <c r="L29" s="78" t="s">
        <v>92</v>
      </c>
    </row>
    <row r="30" spans="1:12" x14ac:dyDescent="0.25">
      <c r="A30" s="78" t="s">
        <v>93</v>
      </c>
      <c r="C30" s="84">
        <v>11585</v>
      </c>
      <c r="D30" s="84">
        <v>21355.93</v>
      </c>
      <c r="E30" s="84">
        <v>6003</v>
      </c>
      <c r="F30" s="84">
        <v>10236</v>
      </c>
      <c r="G30" s="84">
        <v>1502</v>
      </c>
      <c r="H30" s="84">
        <v>2503.15</v>
      </c>
      <c r="I30" s="84">
        <v>201</v>
      </c>
      <c r="J30" s="84">
        <v>149.66999999999999</v>
      </c>
      <c r="K30" s="78" t="s">
        <v>90</v>
      </c>
      <c r="L30" s="78" t="s">
        <v>88</v>
      </c>
    </row>
    <row r="31" spans="1:12" x14ac:dyDescent="0.25">
      <c r="A31" s="78" t="s">
        <v>28</v>
      </c>
      <c r="C31" s="84">
        <v>3868</v>
      </c>
      <c r="D31" s="84">
        <v>9487</v>
      </c>
      <c r="E31" s="84">
        <v>986</v>
      </c>
      <c r="F31" s="84">
        <v>2902</v>
      </c>
      <c r="G31" s="84" t="s">
        <v>162</v>
      </c>
      <c r="H31" s="84" t="s">
        <v>162</v>
      </c>
      <c r="I31" s="84">
        <v>0</v>
      </c>
      <c r="J31" s="84">
        <v>0</v>
      </c>
      <c r="K31" s="78" t="s">
        <v>90</v>
      </c>
      <c r="L31" s="78" t="s">
        <v>88</v>
      </c>
    </row>
    <row r="32" spans="1:12" x14ac:dyDescent="0.25">
      <c r="A32" s="78" t="s">
        <v>29</v>
      </c>
      <c r="C32" s="84">
        <v>3519</v>
      </c>
      <c r="D32" s="84">
        <v>9308.5</v>
      </c>
      <c r="E32" s="84">
        <v>1335</v>
      </c>
      <c r="F32" s="84">
        <v>2430.1666666666665</v>
      </c>
      <c r="G32" s="84">
        <v>19</v>
      </c>
      <c r="H32" s="84">
        <v>96.4</v>
      </c>
      <c r="I32" s="84">
        <v>441</v>
      </c>
      <c r="J32" s="84">
        <v>286.60000000000002</v>
      </c>
      <c r="K32" s="78" t="s">
        <v>87</v>
      </c>
      <c r="L32" s="78" t="s">
        <v>88</v>
      </c>
    </row>
    <row r="33" spans="1:12" x14ac:dyDescent="0.25">
      <c r="A33" s="78" t="s">
        <v>30</v>
      </c>
      <c r="C33" s="84">
        <v>23347</v>
      </c>
      <c r="D33" s="84">
        <v>36116</v>
      </c>
      <c r="E33" s="84">
        <v>6649</v>
      </c>
      <c r="F33" s="84">
        <v>10306</v>
      </c>
      <c r="G33" s="84">
        <v>1723</v>
      </c>
      <c r="H33" s="84">
        <v>2671</v>
      </c>
      <c r="I33" s="84">
        <v>2896</v>
      </c>
      <c r="J33" s="84">
        <v>1535</v>
      </c>
      <c r="K33" s="78" t="s">
        <v>90</v>
      </c>
      <c r="L33" s="78" t="s">
        <v>88</v>
      </c>
    </row>
    <row r="34" spans="1:12" x14ac:dyDescent="0.25">
      <c r="A34" s="78" t="s">
        <v>94</v>
      </c>
      <c r="C34" s="84">
        <v>47</v>
      </c>
      <c r="D34" s="84">
        <v>25</v>
      </c>
      <c r="E34" s="84" t="s">
        <v>162</v>
      </c>
      <c r="F34" s="84" t="s">
        <v>162</v>
      </c>
      <c r="G34" s="84" t="s">
        <v>162</v>
      </c>
      <c r="H34" s="84" t="s">
        <v>162</v>
      </c>
      <c r="I34" s="84">
        <v>0</v>
      </c>
      <c r="J34" s="84">
        <v>0</v>
      </c>
      <c r="K34" s="78" t="s">
        <v>91</v>
      </c>
      <c r="L34" s="78" t="s">
        <v>88</v>
      </c>
    </row>
    <row r="35" spans="1:12" x14ac:dyDescent="0.25">
      <c r="A35" s="78" t="s">
        <v>32</v>
      </c>
      <c r="C35" s="84">
        <v>12919</v>
      </c>
      <c r="D35" s="84">
        <v>18542</v>
      </c>
      <c r="E35" s="84">
        <v>2253</v>
      </c>
      <c r="F35" s="84">
        <v>3319</v>
      </c>
      <c r="G35" s="84">
        <v>3298</v>
      </c>
      <c r="H35" s="84">
        <v>4091</v>
      </c>
      <c r="I35" s="84">
        <v>664</v>
      </c>
      <c r="J35" s="84" t="s">
        <v>162</v>
      </c>
      <c r="K35" s="78" t="s">
        <v>90</v>
      </c>
      <c r="L35" s="78" t="s">
        <v>88</v>
      </c>
    </row>
    <row r="36" spans="1:12" x14ac:dyDescent="0.25">
      <c r="A36" s="78" t="s">
        <v>33</v>
      </c>
      <c r="C36" s="84">
        <v>54680</v>
      </c>
      <c r="D36" s="84">
        <v>73252</v>
      </c>
      <c r="E36" s="84">
        <v>22674</v>
      </c>
      <c r="F36" s="84">
        <v>31512</v>
      </c>
      <c r="G36" s="84">
        <v>12522</v>
      </c>
      <c r="H36" s="84">
        <v>18090</v>
      </c>
      <c r="I36" s="84">
        <v>562</v>
      </c>
      <c r="J36" s="84">
        <v>378</v>
      </c>
      <c r="K36" s="78" t="s">
        <v>87</v>
      </c>
      <c r="L36" s="78" t="s">
        <v>88</v>
      </c>
    </row>
    <row r="37" spans="1:12" x14ac:dyDescent="0.25">
      <c r="A37" s="78" t="s">
        <v>34</v>
      </c>
      <c r="C37" s="84">
        <v>4235</v>
      </c>
      <c r="D37" s="84">
        <v>7411.25</v>
      </c>
      <c r="E37" s="84">
        <v>1238</v>
      </c>
      <c r="F37" s="84">
        <v>2166.5</v>
      </c>
      <c r="G37" s="84">
        <v>716</v>
      </c>
      <c r="H37" s="84">
        <v>1253</v>
      </c>
      <c r="I37" s="84">
        <v>86</v>
      </c>
      <c r="J37" s="84">
        <v>150.5</v>
      </c>
      <c r="K37" s="78" t="s">
        <v>90</v>
      </c>
      <c r="L37" s="78" t="s">
        <v>88</v>
      </c>
    </row>
    <row r="38" spans="1:12" x14ac:dyDescent="0.25">
      <c r="A38" s="78" t="s">
        <v>35</v>
      </c>
      <c r="C38" s="84">
        <v>9300</v>
      </c>
      <c r="D38" s="84">
        <v>13900</v>
      </c>
      <c r="E38" s="84" t="s">
        <v>162</v>
      </c>
      <c r="F38" s="84" t="s">
        <v>162</v>
      </c>
      <c r="G38" s="84" t="s">
        <v>162</v>
      </c>
      <c r="H38" s="84" t="s">
        <v>162</v>
      </c>
      <c r="I38" s="84" t="s">
        <v>162</v>
      </c>
      <c r="J38" s="84" t="s">
        <v>162</v>
      </c>
      <c r="K38" s="78" t="s">
        <v>91</v>
      </c>
      <c r="L38" s="78" t="s">
        <v>88</v>
      </c>
    </row>
    <row r="39" spans="1:12" x14ac:dyDescent="0.25">
      <c r="A39" s="78" t="s">
        <v>36</v>
      </c>
      <c r="C39" s="84">
        <v>70477</v>
      </c>
      <c r="D39" s="84">
        <v>110181</v>
      </c>
      <c r="E39" s="84">
        <v>25134</v>
      </c>
      <c r="F39" s="84">
        <v>39294</v>
      </c>
      <c r="G39" s="84">
        <v>7924</v>
      </c>
      <c r="H39" s="84">
        <v>12388</v>
      </c>
      <c r="I39" s="84">
        <v>4459</v>
      </c>
      <c r="J39" s="84">
        <v>6689</v>
      </c>
      <c r="K39" s="78" t="s">
        <v>87</v>
      </c>
      <c r="L39" s="78" t="s">
        <v>92</v>
      </c>
    </row>
    <row r="40" spans="1:12" x14ac:dyDescent="0.25">
      <c r="A40" s="78" t="s">
        <v>37</v>
      </c>
      <c r="C40" s="84">
        <v>2175</v>
      </c>
      <c r="D40" s="84">
        <v>2505</v>
      </c>
      <c r="E40" s="84">
        <v>1450</v>
      </c>
      <c r="F40" s="84">
        <v>1669</v>
      </c>
      <c r="G40" s="84" t="s">
        <v>162</v>
      </c>
      <c r="H40" s="84" t="s">
        <v>162</v>
      </c>
      <c r="I40" s="84">
        <v>476</v>
      </c>
      <c r="J40" s="84">
        <v>534</v>
      </c>
      <c r="K40" s="78" t="s">
        <v>91</v>
      </c>
      <c r="L40" s="78" t="s">
        <v>88</v>
      </c>
    </row>
    <row r="41" spans="1:12" x14ac:dyDescent="0.25">
      <c r="A41" s="78" t="s">
        <v>38</v>
      </c>
      <c r="C41" s="84">
        <v>4870</v>
      </c>
      <c r="D41" s="84">
        <v>6353</v>
      </c>
      <c r="E41" s="84">
        <v>2642</v>
      </c>
      <c r="F41" s="84">
        <v>3402</v>
      </c>
      <c r="G41" s="84" t="s">
        <v>162</v>
      </c>
      <c r="H41" s="84" t="s">
        <v>162</v>
      </c>
      <c r="I41" s="84">
        <v>357</v>
      </c>
      <c r="J41" s="84">
        <v>97</v>
      </c>
      <c r="K41" s="78" t="s">
        <v>91</v>
      </c>
      <c r="L41" s="78" t="s">
        <v>88</v>
      </c>
    </row>
    <row r="42" spans="1:12" x14ac:dyDescent="0.25">
      <c r="A42" s="78" t="s">
        <v>39</v>
      </c>
      <c r="C42" s="84">
        <v>11262</v>
      </c>
      <c r="D42" s="84">
        <v>22524</v>
      </c>
      <c r="E42" s="84">
        <v>2959</v>
      </c>
      <c r="F42" s="84">
        <v>5918</v>
      </c>
      <c r="G42" s="84">
        <v>1175</v>
      </c>
      <c r="H42" s="84">
        <v>2938</v>
      </c>
      <c r="I42" s="84">
        <v>459</v>
      </c>
      <c r="J42" s="84">
        <v>1148</v>
      </c>
      <c r="K42" s="78" t="s">
        <v>90</v>
      </c>
      <c r="L42" s="78" t="s">
        <v>88</v>
      </c>
    </row>
    <row r="43" spans="1:12" x14ac:dyDescent="0.25">
      <c r="A43" s="78" t="s">
        <v>40</v>
      </c>
      <c r="C43" s="84">
        <v>10291</v>
      </c>
      <c r="D43" s="84">
        <v>10564.5</v>
      </c>
      <c r="E43" s="84">
        <v>2999</v>
      </c>
      <c r="F43" s="84">
        <v>3064.5</v>
      </c>
      <c r="G43" s="84">
        <v>396</v>
      </c>
      <c r="H43" s="84">
        <v>431.25</v>
      </c>
      <c r="I43" s="84">
        <v>273</v>
      </c>
      <c r="J43" s="84">
        <v>237.25</v>
      </c>
      <c r="K43" s="78" t="s">
        <v>91</v>
      </c>
      <c r="L43" s="78" t="s">
        <v>88</v>
      </c>
    </row>
    <row r="44" spans="1:12" x14ac:dyDescent="0.25">
      <c r="A44" s="78" t="s">
        <v>41</v>
      </c>
      <c r="C44" s="84">
        <v>4799</v>
      </c>
      <c r="D44" s="84">
        <v>13044.5</v>
      </c>
      <c r="E44" s="84">
        <v>2359</v>
      </c>
      <c r="F44" s="84">
        <v>3833.2833333333333</v>
      </c>
      <c r="G44" s="84">
        <v>81</v>
      </c>
      <c r="H44" s="84">
        <v>103.25</v>
      </c>
      <c r="I44" s="84">
        <v>394</v>
      </c>
      <c r="J44" s="84">
        <v>352.16666666666669</v>
      </c>
      <c r="K44" s="78" t="s">
        <v>87</v>
      </c>
      <c r="L44" s="78" t="s">
        <v>88</v>
      </c>
    </row>
    <row r="45" spans="1:12" x14ac:dyDescent="0.25">
      <c r="A45" s="78" t="s">
        <v>42</v>
      </c>
      <c r="C45" s="84">
        <v>1880</v>
      </c>
      <c r="D45" s="84">
        <v>6973</v>
      </c>
      <c r="E45" s="84">
        <v>870</v>
      </c>
      <c r="F45" s="84">
        <v>3484</v>
      </c>
      <c r="G45" s="84" t="s">
        <v>162</v>
      </c>
      <c r="H45" s="84" t="s">
        <v>162</v>
      </c>
      <c r="I45" s="84">
        <v>58</v>
      </c>
      <c r="J45" s="84">
        <v>155</v>
      </c>
      <c r="K45" s="78" t="s">
        <v>91</v>
      </c>
      <c r="L45" s="78" t="s">
        <v>88</v>
      </c>
    </row>
    <row r="46" spans="1:12" x14ac:dyDescent="0.25">
      <c r="A46" s="78" t="s">
        <v>43</v>
      </c>
      <c r="C46" s="84">
        <v>1477</v>
      </c>
      <c r="D46" s="84">
        <v>1332</v>
      </c>
      <c r="E46" s="84">
        <v>1025</v>
      </c>
      <c r="F46" s="84">
        <v>1085</v>
      </c>
      <c r="G46" s="84" t="s">
        <v>162</v>
      </c>
      <c r="H46" s="84" t="s">
        <v>162</v>
      </c>
      <c r="I46" s="84">
        <v>560</v>
      </c>
      <c r="J46" s="84" t="s">
        <v>162</v>
      </c>
      <c r="K46" s="78" t="s">
        <v>91</v>
      </c>
      <c r="L46" s="78" t="s">
        <v>88</v>
      </c>
    </row>
    <row r="47" spans="1:12" x14ac:dyDescent="0.25">
      <c r="A47" s="78" t="s">
        <v>44</v>
      </c>
      <c r="C47" s="84">
        <v>35634</v>
      </c>
      <c r="D47" s="84">
        <v>30050</v>
      </c>
      <c r="E47" s="84">
        <v>13076</v>
      </c>
      <c r="F47" s="84">
        <v>11046</v>
      </c>
      <c r="G47" s="84">
        <v>7214</v>
      </c>
      <c r="H47" s="84">
        <v>6123</v>
      </c>
      <c r="I47" s="84">
        <v>345</v>
      </c>
      <c r="J47" s="84">
        <v>345</v>
      </c>
      <c r="K47" s="78" t="s">
        <v>87</v>
      </c>
      <c r="L47" s="78" t="s">
        <v>92</v>
      </c>
    </row>
    <row r="48" spans="1:12" x14ac:dyDescent="0.25">
      <c r="A48" s="78" t="s">
        <v>45</v>
      </c>
      <c r="C48" s="84">
        <v>22578</v>
      </c>
      <c r="D48" s="84">
        <v>29245</v>
      </c>
      <c r="E48" s="84">
        <v>10688</v>
      </c>
      <c r="F48" s="84">
        <v>13367</v>
      </c>
      <c r="G48" s="84">
        <v>4930</v>
      </c>
      <c r="H48" s="84">
        <v>6041</v>
      </c>
      <c r="I48" s="84">
        <v>988</v>
      </c>
      <c r="J48" s="84">
        <v>1097</v>
      </c>
      <c r="K48" s="78" t="s">
        <v>90</v>
      </c>
      <c r="L48" s="78" t="s">
        <v>88</v>
      </c>
    </row>
    <row r="49" spans="1:12" x14ac:dyDescent="0.25">
      <c r="A49" s="78" t="s">
        <v>46</v>
      </c>
      <c r="C49" s="84">
        <v>3894</v>
      </c>
      <c r="D49" s="84">
        <v>10709</v>
      </c>
      <c r="E49" s="84">
        <v>2686</v>
      </c>
      <c r="F49" s="84">
        <v>7741</v>
      </c>
      <c r="G49" s="84">
        <v>188</v>
      </c>
      <c r="H49" s="84">
        <v>581</v>
      </c>
      <c r="I49" s="84" t="s">
        <v>162</v>
      </c>
      <c r="J49" s="84" t="s">
        <v>162</v>
      </c>
      <c r="K49" s="78" t="s">
        <v>91</v>
      </c>
      <c r="L49" s="78" t="s">
        <v>88</v>
      </c>
    </row>
    <row r="50" spans="1:12" x14ac:dyDescent="0.25">
      <c r="A50" s="78" t="s">
        <v>47</v>
      </c>
      <c r="C50" s="84">
        <v>5535</v>
      </c>
      <c r="D50" s="84">
        <v>7947</v>
      </c>
      <c r="E50" s="84">
        <v>2840</v>
      </c>
      <c r="F50" s="84">
        <v>4123</v>
      </c>
      <c r="G50" s="84">
        <v>739</v>
      </c>
      <c r="H50" s="84">
        <v>1096</v>
      </c>
      <c r="I50" s="84">
        <v>17</v>
      </c>
      <c r="J50" s="84">
        <v>24</v>
      </c>
      <c r="K50" s="78" t="s">
        <v>87</v>
      </c>
      <c r="L50" s="78" t="s">
        <v>88</v>
      </c>
    </row>
    <row r="51" spans="1:12" x14ac:dyDescent="0.25">
      <c r="A51" s="78" t="s">
        <v>48</v>
      </c>
      <c r="C51" s="84">
        <v>30153</v>
      </c>
      <c r="D51" s="84">
        <v>11737</v>
      </c>
      <c r="E51" s="84">
        <v>13870</v>
      </c>
      <c r="F51" s="84">
        <v>5412</v>
      </c>
      <c r="G51" s="84">
        <v>3263</v>
      </c>
      <c r="H51" s="84">
        <v>1397</v>
      </c>
      <c r="I51" s="84">
        <v>106</v>
      </c>
      <c r="J51" s="84">
        <v>35</v>
      </c>
      <c r="K51" s="78" t="s">
        <v>87</v>
      </c>
      <c r="L51" s="78" t="s">
        <v>92</v>
      </c>
    </row>
    <row r="52" spans="1:12" x14ac:dyDescent="0.25">
      <c r="A52" s="78" t="s">
        <v>49</v>
      </c>
      <c r="C52" s="84">
        <v>10893</v>
      </c>
      <c r="D52" s="84">
        <v>20999</v>
      </c>
      <c r="E52" s="84">
        <v>3781</v>
      </c>
      <c r="F52" s="84">
        <v>7800</v>
      </c>
      <c r="G52" s="84">
        <v>1747</v>
      </c>
      <c r="H52" s="84">
        <v>860</v>
      </c>
      <c r="I52" s="84">
        <v>525</v>
      </c>
      <c r="J52" s="84" t="s">
        <v>162</v>
      </c>
      <c r="K52" s="78" t="s">
        <v>90</v>
      </c>
      <c r="L52" s="78" t="s">
        <v>88</v>
      </c>
    </row>
    <row r="53" spans="1:12" x14ac:dyDescent="0.25">
      <c r="A53" s="78" t="s">
        <v>50</v>
      </c>
      <c r="C53" s="84">
        <v>40908</v>
      </c>
      <c r="D53" s="84">
        <v>82816</v>
      </c>
      <c r="E53" s="84">
        <v>14651</v>
      </c>
      <c r="F53" s="84">
        <v>29302</v>
      </c>
      <c r="G53" s="84">
        <v>11502</v>
      </c>
      <c r="H53" s="84">
        <v>23300</v>
      </c>
      <c r="I53" s="84" t="s">
        <v>162</v>
      </c>
      <c r="J53" s="84" t="s">
        <v>162</v>
      </c>
      <c r="K53" s="78" t="s">
        <v>87</v>
      </c>
      <c r="L53" s="78" t="s">
        <v>92</v>
      </c>
    </row>
    <row r="54" spans="1:12" x14ac:dyDescent="0.25">
      <c r="A54" s="78" t="s">
        <v>51</v>
      </c>
      <c r="C54" s="84">
        <v>6970</v>
      </c>
      <c r="D54" s="84">
        <v>8513</v>
      </c>
      <c r="E54" s="84">
        <v>4978</v>
      </c>
      <c r="F54" s="84">
        <v>3529</v>
      </c>
      <c r="G54" s="84">
        <v>1884</v>
      </c>
      <c r="H54" s="84">
        <v>1337</v>
      </c>
      <c r="I54" s="84" t="s">
        <v>162</v>
      </c>
      <c r="J54" s="84" t="s">
        <v>162</v>
      </c>
      <c r="K54" s="78" t="s">
        <v>90</v>
      </c>
      <c r="L54" s="78" t="s">
        <v>88</v>
      </c>
    </row>
    <row r="55" spans="1:12" x14ac:dyDescent="0.25">
      <c r="A55" s="78" t="s">
        <v>52</v>
      </c>
      <c r="C55" s="84">
        <v>63010</v>
      </c>
      <c r="D55" s="84">
        <v>54953</v>
      </c>
      <c r="E55" s="84">
        <v>20083</v>
      </c>
      <c r="F55" s="84">
        <v>17515</v>
      </c>
      <c r="G55" s="84" t="s">
        <v>162</v>
      </c>
      <c r="H55" s="84" t="s">
        <v>162</v>
      </c>
      <c r="I55" s="84">
        <v>77</v>
      </c>
      <c r="J55" s="84">
        <v>67.150000000000006</v>
      </c>
      <c r="K55" s="78" t="s">
        <v>87</v>
      </c>
      <c r="L55" s="78" t="s">
        <v>92</v>
      </c>
    </row>
  </sheetData>
  <mergeCells count="10">
    <mergeCell ref="O4:P4"/>
    <mergeCell ref="Q4:R4"/>
    <mergeCell ref="S4:T4"/>
    <mergeCell ref="U4:V4"/>
    <mergeCell ref="A1:J1"/>
    <mergeCell ref="A2:A3"/>
    <mergeCell ref="C2:D2"/>
    <mergeCell ref="E2:F2"/>
    <mergeCell ref="G2:H2"/>
    <mergeCell ref="I2:J2"/>
  </mergeCells>
  <pageMargins left="0.7" right="0.7" top="0.75" bottom="0.75" header="0.3" footer="0.3"/>
  <pageSetup paperSize="9" orientation="portrait" r:id="rId1"/>
  <headerFooter>
    <oddHeader>&amp;C&amp;"Aptos"&amp;10&amp;K000000 OFFICIAL&amp;1#_x000D_</oddHeader>
    <oddFooter>&amp;C_x000D_&amp;1#&amp;"Aptos"&amp;10&amp;K000000 OFFICIAL</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F9BFFB-AAF2-4D1A-ABD8-6F2BC8333FC4}">
  <sheetPr>
    <tabColor theme="9" tint="0.79998168889431442"/>
  </sheetPr>
  <dimension ref="A1:V55"/>
  <sheetViews>
    <sheetView workbookViewId="0">
      <selection activeCell="L18" sqref="L18"/>
    </sheetView>
  </sheetViews>
  <sheetFormatPr defaultColWidth="8.81640625" defaultRowHeight="10.5" x14ac:dyDescent="0.25"/>
  <cols>
    <col min="1" max="1" width="21" style="78" bestFit="1" customWidth="1"/>
    <col min="2" max="2" width="4.453125" style="78" customWidth="1"/>
    <col min="3" max="10" width="8.81640625" style="78"/>
    <col min="11" max="11" width="18.453125" style="78" bestFit="1" customWidth="1"/>
    <col min="12" max="12" width="15.81640625" style="78" bestFit="1" customWidth="1"/>
    <col min="13" max="13" width="8.81640625" style="78"/>
    <col min="14" max="14" width="19.54296875" style="78" bestFit="1" customWidth="1"/>
    <col min="15" max="16384" width="8.81640625" style="78"/>
  </cols>
  <sheetData>
    <row r="1" spans="1:22" ht="41.9" customHeight="1" x14ac:dyDescent="0.25">
      <c r="A1" s="241"/>
      <c r="B1" s="241"/>
      <c r="C1" s="241"/>
      <c r="D1" s="241"/>
      <c r="E1" s="241"/>
      <c r="F1" s="241"/>
      <c r="G1" s="241"/>
      <c r="H1" s="241"/>
      <c r="I1" s="241"/>
      <c r="J1" s="241"/>
    </row>
    <row r="2" spans="1:22" ht="36.65" customHeight="1" x14ac:dyDescent="0.25">
      <c r="A2" s="242"/>
      <c r="B2" s="79"/>
      <c r="C2" s="238" t="s">
        <v>150</v>
      </c>
      <c r="D2" s="239"/>
      <c r="E2" s="240" t="s">
        <v>151</v>
      </c>
      <c r="F2" s="240"/>
      <c r="G2" s="240" t="s">
        <v>152</v>
      </c>
      <c r="H2" s="240"/>
      <c r="I2" s="238" t="s">
        <v>153</v>
      </c>
      <c r="J2" s="239"/>
    </row>
    <row r="3" spans="1:22" ht="27.65" customHeight="1" x14ac:dyDescent="0.25">
      <c r="A3" s="243"/>
      <c r="B3" s="80"/>
      <c r="C3" s="81" t="s">
        <v>127</v>
      </c>
      <c r="D3" s="81" t="s">
        <v>128</v>
      </c>
      <c r="E3" s="81" t="s">
        <v>127</v>
      </c>
      <c r="F3" s="81" t="s">
        <v>128</v>
      </c>
      <c r="G3" s="81" t="s">
        <v>127</v>
      </c>
      <c r="H3" s="81" t="s">
        <v>128</v>
      </c>
      <c r="I3" s="81" t="s">
        <v>127</v>
      </c>
      <c r="J3" s="81" t="s">
        <v>128</v>
      </c>
    </row>
    <row r="4" spans="1:22" x14ac:dyDescent="0.25">
      <c r="O4" s="238" t="s">
        <v>150</v>
      </c>
      <c r="P4" s="239"/>
      <c r="Q4" s="240" t="s">
        <v>151</v>
      </c>
      <c r="R4" s="240"/>
      <c r="S4" s="240" t="s">
        <v>152</v>
      </c>
      <c r="T4" s="240"/>
      <c r="U4" s="238" t="s">
        <v>153</v>
      </c>
      <c r="V4" s="239"/>
    </row>
    <row r="5" spans="1:22" x14ac:dyDescent="0.25">
      <c r="O5" s="81" t="s">
        <v>127</v>
      </c>
      <c r="P5" s="81" t="s">
        <v>128</v>
      </c>
      <c r="Q5" s="81" t="s">
        <v>127</v>
      </c>
      <c r="R5" s="81" t="s">
        <v>128</v>
      </c>
      <c r="S5" s="81" t="s">
        <v>127</v>
      </c>
      <c r="T5" s="81" t="s">
        <v>128</v>
      </c>
      <c r="U5" s="81" t="s">
        <v>127</v>
      </c>
      <c r="V5" s="81" t="s">
        <v>128</v>
      </c>
    </row>
    <row r="6" spans="1:22" x14ac:dyDescent="0.25">
      <c r="A6" s="82" t="s">
        <v>76</v>
      </c>
      <c r="B6" s="82"/>
      <c r="C6" s="83">
        <f t="shared" ref="C6:J6" si="0">SUM(C12:C55)</f>
        <v>713796</v>
      </c>
      <c r="D6" s="83">
        <f t="shared" si="0"/>
        <v>951690.58333333349</v>
      </c>
      <c r="E6" s="83">
        <f t="shared" si="0"/>
        <v>272454</v>
      </c>
      <c r="F6" s="83">
        <f t="shared" si="0"/>
        <v>346644.66000000003</v>
      </c>
      <c r="G6" s="83">
        <f t="shared" si="0"/>
        <v>118201</v>
      </c>
      <c r="H6" s="83">
        <f t="shared" si="0"/>
        <v>145411</v>
      </c>
      <c r="I6" s="83">
        <f t="shared" si="0"/>
        <v>56113</v>
      </c>
      <c r="J6" s="83">
        <f t="shared" si="0"/>
        <v>44367.889999999992</v>
      </c>
      <c r="N6" s="78" t="s">
        <v>82</v>
      </c>
      <c r="O6" s="78">
        <v>10342</v>
      </c>
      <c r="P6" s="78">
        <v>21068</v>
      </c>
      <c r="Q6" s="78">
        <v>6054</v>
      </c>
      <c r="R6" s="78">
        <v>11644.5</v>
      </c>
      <c r="S6" s="78" t="s">
        <v>162</v>
      </c>
      <c r="T6" s="78" t="s">
        <v>162</v>
      </c>
      <c r="U6" s="78">
        <v>617</v>
      </c>
      <c r="V6" s="78">
        <v>709</v>
      </c>
    </row>
    <row r="7" spans="1:22" x14ac:dyDescent="0.25">
      <c r="A7" s="82" t="s">
        <v>88</v>
      </c>
      <c r="B7" s="82"/>
      <c r="C7" s="83">
        <f t="shared" ref="C7:J8" si="1">SUMIF($L$12:$L$55,$A7,C$12:C$55)</f>
        <v>343110</v>
      </c>
      <c r="D7" s="83">
        <f t="shared" si="1"/>
        <v>425790.90333333344</v>
      </c>
      <c r="E7" s="83">
        <f t="shared" si="1"/>
        <v>139732</v>
      </c>
      <c r="F7" s="83">
        <f t="shared" si="1"/>
        <v>156991.97000000003</v>
      </c>
      <c r="G7" s="83">
        <f t="shared" si="1"/>
        <v>75726</v>
      </c>
      <c r="H7" s="83">
        <f t="shared" si="1"/>
        <v>82837</v>
      </c>
      <c r="I7" s="83">
        <f t="shared" si="1"/>
        <v>16511</v>
      </c>
      <c r="J7" s="83">
        <f t="shared" si="1"/>
        <v>15001.889999999992</v>
      </c>
      <c r="N7" s="78" t="s">
        <v>83</v>
      </c>
      <c r="O7" s="78">
        <v>337</v>
      </c>
      <c r="P7" s="78">
        <v>135.25</v>
      </c>
      <c r="Q7" s="78">
        <v>137</v>
      </c>
      <c r="R7" s="78">
        <v>56.5</v>
      </c>
      <c r="S7" s="78">
        <v>15</v>
      </c>
      <c r="T7" s="78">
        <v>6.75</v>
      </c>
      <c r="U7" s="78">
        <v>39</v>
      </c>
      <c r="V7" s="78">
        <v>22</v>
      </c>
    </row>
    <row r="8" spans="1:22" x14ac:dyDescent="0.25">
      <c r="A8" s="82" t="s">
        <v>92</v>
      </c>
      <c r="B8" s="82"/>
      <c r="C8" s="83">
        <f t="shared" si="1"/>
        <v>370686</v>
      </c>
      <c r="D8" s="83">
        <f t="shared" si="1"/>
        <v>525899.67999999993</v>
      </c>
      <c r="E8" s="83">
        <f t="shared" si="1"/>
        <v>132722</v>
      </c>
      <c r="F8" s="83">
        <f t="shared" si="1"/>
        <v>189652.69</v>
      </c>
      <c r="G8" s="83">
        <f t="shared" si="1"/>
        <v>42475</v>
      </c>
      <c r="H8" s="83">
        <f t="shared" si="1"/>
        <v>62574</v>
      </c>
      <c r="I8" s="83">
        <f t="shared" si="1"/>
        <v>39602</v>
      </c>
      <c r="J8" s="83">
        <f t="shared" si="1"/>
        <v>29366</v>
      </c>
      <c r="N8" s="78" t="s">
        <v>93</v>
      </c>
      <c r="O8" s="78">
        <f>SUM(O6:O7)</f>
        <v>10679</v>
      </c>
      <c r="P8" s="78">
        <f t="shared" ref="P8:V8" si="2">SUM(P6:P7)</f>
        <v>21203.25</v>
      </c>
      <c r="Q8" s="78">
        <f t="shared" si="2"/>
        <v>6191</v>
      </c>
      <c r="R8" s="78">
        <f t="shared" si="2"/>
        <v>11701</v>
      </c>
      <c r="S8" s="78">
        <f t="shared" si="2"/>
        <v>15</v>
      </c>
      <c r="T8" s="78">
        <f t="shared" si="2"/>
        <v>6.75</v>
      </c>
      <c r="U8" s="78">
        <f t="shared" si="2"/>
        <v>656</v>
      </c>
      <c r="V8" s="78">
        <f t="shared" si="2"/>
        <v>731</v>
      </c>
    </row>
    <row r="9" spans="1:22" x14ac:dyDescent="0.25">
      <c r="A9" s="82" t="s">
        <v>87</v>
      </c>
      <c r="B9" s="82"/>
      <c r="C9" s="83">
        <f t="shared" ref="C9:J11" si="3">SUMIF($K$12:$K$55,$A9,C$12:C$55)</f>
        <v>467548</v>
      </c>
      <c r="D9" s="83">
        <f t="shared" si="3"/>
        <v>641956.90333333344</v>
      </c>
      <c r="E9" s="83">
        <f t="shared" si="3"/>
        <v>168600</v>
      </c>
      <c r="F9" s="83">
        <f t="shared" si="3"/>
        <v>225390.69</v>
      </c>
      <c r="G9" s="83">
        <f t="shared" si="3"/>
        <v>71976</v>
      </c>
      <c r="H9" s="83">
        <f t="shared" si="3"/>
        <v>94550</v>
      </c>
      <c r="I9" s="83">
        <f t="shared" si="3"/>
        <v>42344</v>
      </c>
      <c r="J9" s="83">
        <f t="shared" si="3"/>
        <v>31356.889999999992</v>
      </c>
    </row>
    <row r="10" spans="1:22" x14ac:dyDescent="0.25">
      <c r="A10" s="82" t="s">
        <v>90</v>
      </c>
      <c r="B10" s="82"/>
      <c r="C10" s="83">
        <f t="shared" si="3"/>
        <v>178999</v>
      </c>
      <c r="D10" s="83">
        <f t="shared" si="3"/>
        <v>224434.45</v>
      </c>
      <c r="E10" s="83">
        <f t="shared" si="3"/>
        <v>85504</v>
      </c>
      <c r="F10" s="83">
        <f t="shared" si="3"/>
        <v>100290.77</v>
      </c>
      <c r="G10" s="83">
        <f t="shared" si="3"/>
        <v>37302</v>
      </c>
      <c r="H10" s="83">
        <f t="shared" si="3"/>
        <v>41120.75</v>
      </c>
      <c r="I10" s="83">
        <f t="shared" si="3"/>
        <v>11443</v>
      </c>
      <c r="J10" s="83">
        <f t="shared" si="3"/>
        <v>12189.25</v>
      </c>
    </row>
    <row r="11" spans="1:22" x14ac:dyDescent="0.25">
      <c r="A11" s="82" t="s">
        <v>91</v>
      </c>
      <c r="B11" s="82"/>
      <c r="C11" s="83">
        <f t="shared" si="3"/>
        <v>67249</v>
      </c>
      <c r="D11" s="83">
        <f t="shared" si="3"/>
        <v>85299.23</v>
      </c>
      <c r="E11" s="83">
        <f t="shared" si="3"/>
        <v>18350</v>
      </c>
      <c r="F11" s="83">
        <f t="shared" si="3"/>
        <v>20963.2</v>
      </c>
      <c r="G11" s="83">
        <f t="shared" si="3"/>
        <v>8923</v>
      </c>
      <c r="H11" s="83">
        <f t="shared" si="3"/>
        <v>9740.25</v>
      </c>
      <c r="I11" s="83">
        <f t="shared" si="3"/>
        <v>2326</v>
      </c>
      <c r="J11" s="83">
        <f t="shared" si="3"/>
        <v>821.75</v>
      </c>
    </row>
    <row r="12" spans="1:22" x14ac:dyDescent="0.25">
      <c r="A12" s="78" t="s">
        <v>8</v>
      </c>
      <c r="C12" s="84">
        <v>10044</v>
      </c>
      <c r="D12" s="84">
        <v>6541</v>
      </c>
      <c r="E12" s="84">
        <v>3676</v>
      </c>
      <c r="F12" s="84">
        <v>2999</v>
      </c>
      <c r="G12" s="84">
        <v>2122</v>
      </c>
      <c r="H12" s="84">
        <v>1931</v>
      </c>
      <c r="I12" s="84">
        <v>163</v>
      </c>
      <c r="J12" s="84" t="s">
        <v>162</v>
      </c>
      <c r="K12" s="78" t="s">
        <v>87</v>
      </c>
      <c r="L12" s="78" t="s">
        <v>88</v>
      </c>
    </row>
    <row r="13" spans="1:22" x14ac:dyDescent="0.25">
      <c r="A13" s="78" t="s">
        <v>11</v>
      </c>
      <c r="C13" s="84">
        <v>4631</v>
      </c>
      <c r="D13" s="84">
        <v>3548</v>
      </c>
      <c r="E13" s="84">
        <v>597</v>
      </c>
      <c r="F13" s="84">
        <v>438</v>
      </c>
      <c r="G13" s="84" t="s">
        <v>162</v>
      </c>
      <c r="H13" s="84" t="s">
        <v>162</v>
      </c>
      <c r="I13" s="84">
        <v>324</v>
      </c>
      <c r="J13" s="84" t="s">
        <v>162</v>
      </c>
      <c r="K13" s="78" t="s">
        <v>90</v>
      </c>
      <c r="L13" s="78" t="s">
        <v>88</v>
      </c>
    </row>
    <row r="14" spans="1:22" x14ac:dyDescent="0.25">
      <c r="A14" s="78" t="s">
        <v>12</v>
      </c>
      <c r="C14" s="84">
        <v>6452</v>
      </c>
      <c r="D14" s="84">
        <v>12908</v>
      </c>
      <c r="E14" s="84">
        <v>1616</v>
      </c>
      <c r="F14" s="84">
        <v>2502</v>
      </c>
      <c r="G14" s="84">
        <v>1236</v>
      </c>
      <c r="H14" s="84">
        <v>3774</v>
      </c>
      <c r="I14" s="84">
        <v>0</v>
      </c>
      <c r="J14" s="84">
        <v>0</v>
      </c>
      <c r="K14" s="78" t="s">
        <v>87</v>
      </c>
      <c r="L14" s="78" t="s">
        <v>88</v>
      </c>
    </row>
    <row r="15" spans="1:22" x14ac:dyDescent="0.25">
      <c r="A15" s="78" t="s">
        <v>13</v>
      </c>
      <c r="C15" s="84">
        <v>9977</v>
      </c>
      <c r="D15" s="84">
        <v>34754</v>
      </c>
      <c r="E15" s="84">
        <v>5012</v>
      </c>
      <c r="F15" s="84">
        <v>4177</v>
      </c>
      <c r="G15" s="84">
        <v>1378</v>
      </c>
      <c r="H15" s="84">
        <v>1148</v>
      </c>
      <c r="I15" s="84" t="s">
        <v>162</v>
      </c>
      <c r="J15" s="84" t="s">
        <v>162</v>
      </c>
      <c r="K15" s="78" t="s">
        <v>90</v>
      </c>
      <c r="L15" s="78" t="s">
        <v>88</v>
      </c>
    </row>
    <row r="16" spans="1:22" x14ac:dyDescent="0.25">
      <c r="A16" s="78" t="s">
        <v>14</v>
      </c>
      <c r="C16" s="84">
        <v>9813</v>
      </c>
      <c r="D16" s="84">
        <v>6232</v>
      </c>
      <c r="E16" s="84">
        <v>1938</v>
      </c>
      <c r="F16" s="84">
        <v>1677</v>
      </c>
      <c r="G16" s="84">
        <v>890</v>
      </c>
      <c r="H16" s="84">
        <v>905.75</v>
      </c>
      <c r="I16" s="84">
        <v>127</v>
      </c>
      <c r="J16" s="84">
        <v>34.75</v>
      </c>
      <c r="K16" s="78" t="s">
        <v>91</v>
      </c>
      <c r="L16" s="78" t="s">
        <v>88</v>
      </c>
    </row>
    <row r="17" spans="1:12" x14ac:dyDescent="0.25">
      <c r="A17" s="78" t="s">
        <v>15</v>
      </c>
      <c r="C17" s="84">
        <v>27017</v>
      </c>
      <c r="D17" s="84">
        <v>14531</v>
      </c>
      <c r="E17" s="84">
        <v>21607</v>
      </c>
      <c r="F17" s="84">
        <v>9775</v>
      </c>
      <c r="G17" s="84">
        <v>7119</v>
      </c>
      <c r="H17" s="84">
        <v>4756</v>
      </c>
      <c r="I17" s="84">
        <v>8</v>
      </c>
      <c r="J17" s="84">
        <v>4</v>
      </c>
      <c r="K17" s="78" t="s">
        <v>90</v>
      </c>
      <c r="L17" s="78" t="s">
        <v>88</v>
      </c>
    </row>
    <row r="18" spans="1:12" x14ac:dyDescent="0.25">
      <c r="A18" s="78" t="s">
        <v>16</v>
      </c>
      <c r="C18" s="84">
        <v>19025</v>
      </c>
      <c r="D18" s="84">
        <v>9513</v>
      </c>
      <c r="E18" s="84">
        <v>5007</v>
      </c>
      <c r="F18" s="84">
        <v>2504</v>
      </c>
      <c r="G18" s="84">
        <v>1895</v>
      </c>
      <c r="H18" s="84">
        <v>948</v>
      </c>
      <c r="I18" s="84">
        <v>824</v>
      </c>
      <c r="J18" s="84">
        <v>412</v>
      </c>
      <c r="K18" s="78" t="s">
        <v>87</v>
      </c>
      <c r="L18" s="78" t="s">
        <v>88</v>
      </c>
    </row>
    <row r="19" spans="1:12" x14ac:dyDescent="0.25">
      <c r="A19" s="78" t="s">
        <v>17</v>
      </c>
      <c r="C19" s="84">
        <v>3506</v>
      </c>
      <c r="D19" s="84">
        <v>2235</v>
      </c>
      <c r="E19" s="84" t="s">
        <v>162</v>
      </c>
      <c r="F19" s="84" t="s">
        <v>162</v>
      </c>
      <c r="G19" s="84" t="s">
        <v>162</v>
      </c>
      <c r="H19" s="84" t="s">
        <v>162</v>
      </c>
      <c r="I19" s="84">
        <v>587</v>
      </c>
      <c r="J19" s="84">
        <v>310</v>
      </c>
      <c r="K19" s="78" t="s">
        <v>91</v>
      </c>
      <c r="L19" s="78" t="s">
        <v>88</v>
      </c>
    </row>
    <row r="20" spans="1:12" x14ac:dyDescent="0.25">
      <c r="A20" s="78" t="s">
        <v>18</v>
      </c>
      <c r="C20" s="84">
        <v>10041</v>
      </c>
      <c r="D20" s="84">
        <v>16844</v>
      </c>
      <c r="E20" s="84">
        <v>2600</v>
      </c>
      <c r="F20" s="84">
        <v>2255</v>
      </c>
      <c r="G20" s="84">
        <v>1341</v>
      </c>
      <c r="H20" s="84">
        <v>1291</v>
      </c>
      <c r="I20" s="84">
        <v>598</v>
      </c>
      <c r="J20" s="84">
        <v>244</v>
      </c>
      <c r="K20" s="78" t="s">
        <v>91</v>
      </c>
      <c r="L20" s="78" t="s">
        <v>88</v>
      </c>
    </row>
    <row r="21" spans="1:12" x14ac:dyDescent="0.25">
      <c r="A21" s="85" t="s">
        <v>19</v>
      </c>
      <c r="B21" s="85"/>
      <c r="C21" s="84">
        <v>5929</v>
      </c>
      <c r="D21" s="84">
        <v>10296</v>
      </c>
      <c r="E21" s="84">
        <v>2820</v>
      </c>
      <c r="F21" s="84">
        <v>4595</v>
      </c>
      <c r="G21" s="84">
        <v>944</v>
      </c>
      <c r="H21" s="84">
        <v>1707</v>
      </c>
      <c r="I21" s="84">
        <v>6204</v>
      </c>
      <c r="J21" s="84">
        <v>7911</v>
      </c>
      <c r="K21" s="78" t="s">
        <v>90</v>
      </c>
      <c r="L21" s="78" t="s">
        <v>88</v>
      </c>
    </row>
    <row r="22" spans="1:12" x14ac:dyDescent="0.25">
      <c r="A22" s="85" t="s">
        <v>20</v>
      </c>
      <c r="B22" s="85"/>
      <c r="C22" s="84">
        <v>2923</v>
      </c>
      <c r="D22" s="84">
        <v>4325</v>
      </c>
      <c r="E22" s="84">
        <v>1495</v>
      </c>
      <c r="F22" s="84">
        <v>737</v>
      </c>
      <c r="G22" s="84">
        <v>1425</v>
      </c>
      <c r="H22" s="84">
        <v>861</v>
      </c>
      <c r="I22" s="84">
        <v>0</v>
      </c>
      <c r="J22" s="84">
        <v>0</v>
      </c>
      <c r="K22" s="78" t="s">
        <v>91</v>
      </c>
      <c r="L22" s="78" t="s">
        <v>88</v>
      </c>
    </row>
    <row r="23" spans="1:12" x14ac:dyDescent="0.25">
      <c r="A23" s="85" t="s">
        <v>21</v>
      </c>
      <c r="B23" s="85"/>
      <c r="C23" s="84">
        <v>13408</v>
      </c>
      <c r="D23" s="84">
        <v>18546</v>
      </c>
      <c r="E23" s="84">
        <v>8343</v>
      </c>
      <c r="F23" s="84">
        <v>11688</v>
      </c>
      <c r="G23" s="84">
        <v>2890</v>
      </c>
      <c r="H23" s="84">
        <v>4217</v>
      </c>
      <c r="I23" s="84">
        <v>902</v>
      </c>
      <c r="J23" s="84">
        <v>457</v>
      </c>
      <c r="K23" s="78" t="s">
        <v>90</v>
      </c>
      <c r="L23" s="78" t="s">
        <v>88</v>
      </c>
    </row>
    <row r="24" spans="1:12" x14ac:dyDescent="0.25">
      <c r="A24" s="78" t="s">
        <v>22</v>
      </c>
      <c r="C24" s="84">
        <v>9842</v>
      </c>
      <c r="D24" s="84">
        <v>7848</v>
      </c>
      <c r="E24" s="84">
        <v>3072</v>
      </c>
      <c r="F24" s="84">
        <v>2304</v>
      </c>
      <c r="G24" s="84">
        <v>201</v>
      </c>
      <c r="H24" s="84">
        <v>151</v>
      </c>
      <c r="I24" s="84">
        <v>0</v>
      </c>
      <c r="J24" s="84">
        <v>0</v>
      </c>
      <c r="K24" s="78" t="s">
        <v>91</v>
      </c>
      <c r="L24" s="78" t="s">
        <v>88</v>
      </c>
    </row>
    <row r="25" spans="1:12" x14ac:dyDescent="0.25">
      <c r="A25" s="78" t="s">
        <v>23</v>
      </c>
      <c r="C25" s="84">
        <v>9644</v>
      </c>
      <c r="D25" s="84">
        <v>18556.75</v>
      </c>
      <c r="E25" s="84">
        <v>5312</v>
      </c>
      <c r="F25" s="84">
        <v>9479.25</v>
      </c>
      <c r="G25" s="84">
        <v>636</v>
      </c>
      <c r="H25" s="84">
        <v>1186.5</v>
      </c>
      <c r="I25" s="84" t="s">
        <v>162</v>
      </c>
      <c r="J25" s="84" t="s">
        <v>162</v>
      </c>
      <c r="K25" s="78" t="s">
        <v>90</v>
      </c>
      <c r="L25" s="78" t="s">
        <v>88</v>
      </c>
    </row>
    <row r="26" spans="1:12" x14ac:dyDescent="0.25">
      <c r="A26" s="78" t="s">
        <v>24</v>
      </c>
      <c r="C26" s="84">
        <v>4993</v>
      </c>
      <c r="D26" s="84">
        <v>7331</v>
      </c>
      <c r="E26" s="84">
        <v>2784</v>
      </c>
      <c r="F26" s="84">
        <v>4070</v>
      </c>
      <c r="G26" s="84">
        <v>821</v>
      </c>
      <c r="H26" s="84">
        <v>1193</v>
      </c>
      <c r="I26" s="84">
        <v>524</v>
      </c>
      <c r="J26" s="84">
        <v>129</v>
      </c>
      <c r="K26" s="78" t="s">
        <v>90</v>
      </c>
      <c r="L26" s="78" t="s">
        <v>88</v>
      </c>
    </row>
    <row r="27" spans="1:12" x14ac:dyDescent="0.25">
      <c r="A27" s="78" t="s">
        <v>25</v>
      </c>
      <c r="C27" s="84">
        <v>2912</v>
      </c>
      <c r="D27" s="84">
        <v>3430.95</v>
      </c>
      <c r="E27" s="84">
        <v>1566</v>
      </c>
      <c r="F27" s="84">
        <v>2056</v>
      </c>
      <c r="G27" s="84">
        <v>779</v>
      </c>
      <c r="H27" s="84">
        <v>1104.75</v>
      </c>
      <c r="I27" s="84">
        <v>0</v>
      </c>
      <c r="J27" s="84">
        <v>0</v>
      </c>
      <c r="K27" s="78" t="s">
        <v>90</v>
      </c>
      <c r="L27" s="78" t="s">
        <v>88</v>
      </c>
    </row>
    <row r="28" spans="1:12" x14ac:dyDescent="0.25">
      <c r="A28" s="78" t="s">
        <v>26</v>
      </c>
      <c r="C28" s="84">
        <v>77378</v>
      </c>
      <c r="D28" s="84">
        <v>76611</v>
      </c>
      <c r="E28" s="84">
        <v>30242</v>
      </c>
      <c r="F28" s="84">
        <v>29936</v>
      </c>
      <c r="G28" s="84">
        <v>14904</v>
      </c>
      <c r="H28" s="84">
        <v>14703</v>
      </c>
      <c r="I28" s="84">
        <v>1581</v>
      </c>
      <c r="J28" s="84" t="s">
        <v>162</v>
      </c>
      <c r="K28" s="78" t="s">
        <v>87</v>
      </c>
      <c r="L28" s="78" t="s">
        <v>92</v>
      </c>
    </row>
    <row r="29" spans="1:12" x14ac:dyDescent="0.25">
      <c r="A29" s="78" t="s">
        <v>27</v>
      </c>
      <c r="C29" s="84">
        <v>67091</v>
      </c>
      <c r="D29" s="84">
        <v>104627.68</v>
      </c>
      <c r="E29" s="84">
        <v>18052</v>
      </c>
      <c r="F29" s="84">
        <v>28230.69</v>
      </c>
      <c r="G29" s="84" t="s">
        <v>162</v>
      </c>
      <c r="H29" s="84" t="s">
        <v>162</v>
      </c>
      <c r="I29" s="84">
        <v>2468</v>
      </c>
      <c r="J29" s="84">
        <v>2376</v>
      </c>
      <c r="K29" s="78" t="s">
        <v>87</v>
      </c>
      <c r="L29" s="78" t="s">
        <v>92</v>
      </c>
    </row>
    <row r="30" spans="1:12" x14ac:dyDescent="0.25">
      <c r="A30" s="78" t="s">
        <v>93</v>
      </c>
      <c r="C30" s="84">
        <v>10679</v>
      </c>
      <c r="D30" s="84">
        <v>21203.25</v>
      </c>
      <c r="E30" s="84">
        <v>6191</v>
      </c>
      <c r="F30" s="84">
        <v>11701</v>
      </c>
      <c r="G30" s="84">
        <v>15</v>
      </c>
      <c r="H30" s="84">
        <v>6.75</v>
      </c>
      <c r="I30" s="84">
        <v>656</v>
      </c>
      <c r="J30" s="84">
        <v>731</v>
      </c>
      <c r="K30" s="78" t="s">
        <v>90</v>
      </c>
      <c r="L30" s="78" t="s">
        <v>88</v>
      </c>
    </row>
    <row r="31" spans="1:12" x14ac:dyDescent="0.25">
      <c r="A31" s="78" t="s">
        <v>28</v>
      </c>
      <c r="C31" s="84">
        <v>5363</v>
      </c>
      <c r="D31" s="84">
        <v>5875</v>
      </c>
      <c r="E31" s="84">
        <v>788</v>
      </c>
      <c r="F31" s="84">
        <v>2319</v>
      </c>
      <c r="G31" s="84" t="s">
        <v>162</v>
      </c>
      <c r="H31" s="84" t="s">
        <v>162</v>
      </c>
      <c r="I31" s="84">
        <v>0</v>
      </c>
      <c r="J31" s="84">
        <v>0</v>
      </c>
      <c r="K31" s="78" t="s">
        <v>90</v>
      </c>
      <c r="L31" s="78" t="s">
        <v>88</v>
      </c>
    </row>
    <row r="32" spans="1:12" x14ac:dyDescent="0.25">
      <c r="A32" s="78" t="s">
        <v>29</v>
      </c>
      <c r="C32" s="84">
        <v>6417</v>
      </c>
      <c r="D32" s="84">
        <v>25428.22333333343</v>
      </c>
      <c r="E32" s="84">
        <v>1411</v>
      </c>
      <c r="F32" s="84">
        <v>589</v>
      </c>
      <c r="G32" s="84">
        <v>521</v>
      </c>
      <c r="H32" s="84">
        <v>280</v>
      </c>
      <c r="I32" s="84">
        <v>1000</v>
      </c>
      <c r="J32" s="84">
        <v>1017.8899999999928</v>
      </c>
      <c r="K32" s="78" t="s">
        <v>87</v>
      </c>
      <c r="L32" s="78" t="s">
        <v>88</v>
      </c>
    </row>
    <row r="33" spans="1:12" x14ac:dyDescent="0.25">
      <c r="A33" s="78" t="s">
        <v>30</v>
      </c>
      <c r="C33" s="84">
        <v>14524</v>
      </c>
      <c r="D33" s="84">
        <v>24289</v>
      </c>
      <c r="E33" s="84">
        <v>3989</v>
      </c>
      <c r="F33" s="84">
        <v>6662</v>
      </c>
      <c r="G33" s="84">
        <v>2727</v>
      </c>
      <c r="H33" s="84">
        <v>4554</v>
      </c>
      <c r="I33" s="84">
        <v>1186</v>
      </c>
      <c r="J33" s="84">
        <v>952</v>
      </c>
      <c r="K33" s="78" t="s">
        <v>90</v>
      </c>
      <c r="L33" s="78" t="s">
        <v>88</v>
      </c>
    </row>
    <row r="34" spans="1:12" x14ac:dyDescent="0.25">
      <c r="A34" s="78" t="s">
        <v>94</v>
      </c>
      <c r="C34" s="84">
        <v>75</v>
      </c>
      <c r="D34" s="84">
        <v>48</v>
      </c>
      <c r="E34" s="84">
        <v>0</v>
      </c>
      <c r="F34" s="84">
        <v>0</v>
      </c>
      <c r="G34" s="84">
        <v>0</v>
      </c>
      <c r="H34" s="84">
        <v>0</v>
      </c>
      <c r="I34" s="84">
        <v>0</v>
      </c>
      <c r="J34" s="84">
        <v>0</v>
      </c>
      <c r="K34" s="78" t="s">
        <v>91</v>
      </c>
      <c r="L34" s="78" t="s">
        <v>88</v>
      </c>
    </row>
    <row r="35" spans="1:12" x14ac:dyDescent="0.25">
      <c r="A35" s="78" t="s">
        <v>32</v>
      </c>
      <c r="C35" s="84">
        <v>10038</v>
      </c>
      <c r="D35" s="84">
        <v>8966</v>
      </c>
      <c r="E35" s="84">
        <v>1627</v>
      </c>
      <c r="F35" s="84">
        <v>1469</v>
      </c>
      <c r="G35" s="84">
        <v>3511</v>
      </c>
      <c r="H35" s="84">
        <v>3244</v>
      </c>
      <c r="I35" s="84">
        <v>78</v>
      </c>
      <c r="J35" s="84" t="s">
        <v>162</v>
      </c>
      <c r="K35" s="78" t="s">
        <v>90</v>
      </c>
      <c r="L35" s="78" t="s">
        <v>88</v>
      </c>
    </row>
    <row r="36" spans="1:12" x14ac:dyDescent="0.25">
      <c r="A36" s="78" t="s">
        <v>33</v>
      </c>
      <c r="C36" s="84">
        <v>46284</v>
      </c>
      <c r="D36" s="84">
        <v>48192</v>
      </c>
      <c r="E36" s="84">
        <v>19944</v>
      </c>
      <c r="F36" s="84">
        <v>20766</v>
      </c>
      <c r="G36" s="84">
        <v>22891</v>
      </c>
      <c r="H36" s="84">
        <v>23835</v>
      </c>
      <c r="I36" s="84">
        <v>400</v>
      </c>
      <c r="J36" s="84">
        <v>201</v>
      </c>
      <c r="K36" s="78" t="s">
        <v>87</v>
      </c>
      <c r="L36" s="78" t="s">
        <v>88</v>
      </c>
    </row>
    <row r="37" spans="1:12" x14ac:dyDescent="0.25">
      <c r="A37" s="78" t="s">
        <v>34</v>
      </c>
      <c r="C37" s="84">
        <v>3842</v>
      </c>
      <c r="D37" s="84">
        <v>6723.5</v>
      </c>
      <c r="E37" s="84">
        <v>1362</v>
      </c>
      <c r="F37" s="84">
        <v>2383.52</v>
      </c>
      <c r="G37" s="84">
        <v>685</v>
      </c>
      <c r="H37" s="84">
        <v>1198.75</v>
      </c>
      <c r="I37" s="84">
        <v>791</v>
      </c>
      <c r="J37" s="84">
        <v>1384.25</v>
      </c>
      <c r="K37" s="78" t="s">
        <v>90</v>
      </c>
      <c r="L37" s="78" t="s">
        <v>88</v>
      </c>
    </row>
    <row r="38" spans="1:12" x14ac:dyDescent="0.25">
      <c r="A38" s="78" t="s">
        <v>35</v>
      </c>
      <c r="C38" s="84">
        <v>8837</v>
      </c>
      <c r="D38" s="84">
        <v>13255</v>
      </c>
      <c r="E38" s="84" t="s">
        <v>162</v>
      </c>
      <c r="F38" s="84" t="s">
        <v>162</v>
      </c>
      <c r="G38" s="84">
        <v>1500</v>
      </c>
      <c r="H38" s="84">
        <v>2250</v>
      </c>
      <c r="I38" s="84">
        <v>0</v>
      </c>
      <c r="J38" s="84">
        <v>0</v>
      </c>
      <c r="K38" s="78" t="s">
        <v>91</v>
      </c>
      <c r="L38" s="78" t="s">
        <v>88</v>
      </c>
    </row>
    <row r="39" spans="1:12" x14ac:dyDescent="0.25">
      <c r="A39" s="78" t="s">
        <v>36</v>
      </c>
      <c r="C39" s="84">
        <v>71972</v>
      </c>
      <c r="D39" s="84">
        <v>112276</v>
      </c>
      <c r="E39" s="84">
        <v>25862</v>
      </c>
      <c r="F39" s="84">
        <v>38793</v>
      </c>
      <c r="G39" s="84">
        <v>8224</v>
      </c>
      <c r="H39" s="84">
        <v>12336</v>
      </c>
      <c r="I39" s="84">
        <v>14976</v>
      </c>
      <c r="J39" s="84">
        <v>22456</v>
      </c>
      <c r="K39" s="78" t="s">
        <v>87</v>
      </c>
      <c r="L39" s="78" t="s">
        <v>92</v>
      </c>
    </row>
    <row r="40" spans="1:12" x14ac:dyDescent="0.25">
      <c r="A40" s="78" t="s">
        <v>37</v>
      </c>
      <c r="C40" s="84">
        <v>2430</v>
      </c>
      <c r="D40" s="84">
        <v>2566</v>
      </c>
      <c r="E40" s="84">
        <v>1797</v>
      </c>
      <c r="F40" s="84">
        <v>1951.5</v>
      </c>
      <c r="G40" s="84" t="s">
        <v>162</v>
      </c>
      <c r="H40" s="84" t="s">
        <v>162</v>
      </c>
      <c r="I40" s="84">
        <v>149</v>
      </c>
      <c r="J40" s="84">
        <v>156</v>
      </c>
      <c r="K40" s="78" t="s">
        <v>91</v>
      </c>
      <c r="L40" s="78" t="s">
        <v>88</v>
      </c>
    </row>
    <row r="41" spans="1:12" x14ac:dyDescent="0.25">
      <c r="A41" s="78" t="s">
        <v>38</v>
      </c>
      <c r="C41" s="84">
        <v>3314</v>
      </c>
      <c r="D41" s="84">
        <v>4811</v>
      </c>
      <c r="E41" s="84">
        <v>1704</v>
      </c>
      <c r="F41" s="84">
        <v>2492</v>
      </c>
      <c r="G41" s="84" t="s">
        <v>162</v>
      </c>
      <c r="H41" s="84" t="s">
        <v>162</v>
      </c>
      <c r="I41" s="84">
        <v>99</v>
      </c>
      <c r="J41" s="84">
        <v>51</v>
      </c>
      <c r="K41" s="78" t="s">
        <v>91</v>
      </c>
      <c r="L41" s="78" t="s">
        <v>88</v>
      </c>
    </row>
    <row r="42" spans="1:12" x14ac:dyDescent="0.25">
      <c r="A42" s="78" t="s">
        <v>39</v>
      </c>
      <c r="C42" s="84">
        <v>9677</v>
      </c>
      <c r="D42" s="84">
        <v>4024</v>
      </c>
      <c r="E42" s="84">
        <v>2936</v>
      </c>
      <c r="F42" s="84">
        <v>1164</v>
      </c>
      <c r="G42" s="84">
        <v>570</v>
      </c>
      <c r="H42" s="84">
        <v>154</v>
      </c>
      <c r="I42" s="84">
        <v>484</v>
      </c>
      <c r="J42" s="84">
        <v>453</v>
      </c>
      <c r="K42" s="78" t="s">
        <v>90</v>
      </c>
      <c r="L42" s="78" t="s">
        <v>88</v>
      </c>
    </row>
    <row r="43" spans="1:12" x14ac:dyDescent="0.25">
      <c r="A43" s="78" t="s">
        <v>40</v>
      </c>
      <c r="C43" s="84">
        <v>9064</v>
      </c>
      <c r="D43" s="84">
        <v>8443.25</v>
      </c>
      <c r="E43" s="84">
        <v>4237</v>
      </c>
      <c r="F43" s="84">
        <v>4032.5</v>
      </c>
      <c r="G43" s="84">
        <v>3116</v>
      </c>
      <c r="H43" s="84">
        <v>2911.25</v>
      </c>
      <c r="I43" s="84">
        <v>0</v>
      </c>
      <c r="J43" s="84">
        <v>0</v>
      </c>
      <c r="K43" s="78" t="s">
        <v>91</v>
      </c>
      <c r="L43" s="78" t="s">
        <v>88</v>
      </c>
    </row>
    <row r="44" spans="1:12" x14ac:dyDescent="0.25">
      <c r="A44" s="78" t="s">
        <v>41</v>
      </c>
      <c r="C44" s="84">
        <v>3770</v>
      </c>
      <c r="D44" s="84">
        <v>6622</v>
      </c>
      <c r="E44" s="84">
        <v>1683</v>
      </c>
      <c r="F44" s="84">
        <v>2814</v>
      </c>
      <c r="G44" s="84" t="s">
        <v>162</v>
      </c>
      <c r="H44" s="84" t="s">
        <v>162</v>
      </c>
      <c r="I44" s="84">
        <v>350</v>
      </c>
      <c r="J44" s="84">
        <v>360</v>
      </c>
      <c r="K44" s="78" t="s">
        <v>87</v>
      </c>
      <c r="L44" s="78" t="s">
        <v>88</v>
      </c>
    </row>
    <row r="45" spans="1:12" x14ac:dyDescent="0.25">
      <c r="A45" s="78" t="s">
        <v>42</v>
      </c>
      <c r="C45" s="84">
        <v>2165</v>
      </c>
      <c r="D45" s="84">
        <v>7169</v>
      </c>
      <c r="E45" s="84">
        <v>986</v>
      </c>
      <c r="F45" s="84">
        <v>3905</v>
      </c>
      <c r="G45" s="84" t="s">
        <v>162</v>
      </c>
      <c r="H45" s="84" t="s">
        <v>162</v>
      </c>
      <c r="I45" s="84">
        <v>9</v>
      </c>
      <c r="J45" s="84">
        <v>26</v>
      </c>
      <c r="K45" s="78" t="s">
        <v>91</v>
      </c>
      <c r="L45" s="78" t="s">
        <v>88</v>
      </c>
    </row>
    <row r="46" spans="1:12" x14ac:dyDescent="0.25">
      <c r="A46" s="78" t="s">
        <v>43</v>
      </c>
      <c r="C46" s="84">
        <v>4388</v>
      </c>
      <c r="D46" s="84">
        <v>8776</v>
      </c>
      <c r="E46" s="84" t="s">
        <v>162</v>
      </c>
      <c r="F46" s="84" t="s">
        <v>162</v>
      </c>
      <c r="G46" s="84" t="s">
        <v>162</v>
      </c>
      <c r="H46" s="84" t="s">
        <v>162</v>
      </c>
      <c r="I46" s="84">
        <v>757</v>
      </c>
      <c r="J46" s="84" t="s">
        <v>162</v>
      </c>
      <c r="K46" s="78" t="s">
        <v>91</v>
      </c>
      <c r="L46" s="78" t="s">
        <v>88</v>
      </c>
    </row>
    <row r="47" spans="1:12" x14ac:dyDescent="0.25">
      <c r="A47" s="78" t="s">
        <v>44</v>
      </c>
      <c r="C47" s="84">
        <v>24985</v>
      </c>
      <c r="D47" s="84">
        <v>20404</v>
      </c>
      <c r="E47" s="84">
        <v>8510</v>
      </c>
      <c r="F47" s="84">
        <v>6950</v>
      </c>
      <c r="G47" s="84">
        <v>4837</v>
      </c>
      <c r="H47" s="84">
        <v>3918</v>
      </c>
      <c r="I47" s="84">
        <v>57</v>
      </c>
      <c r="J47" s="84">
        <v>57</v>
      </c>
      <c r="K47" s="78" t="s">
        <v>87</v>
      </c>
      <c r="L47" s="78" t="s">
        <v>92</v>
      </c>
    </row>
    <row r="48" spans="1:12" x14ac:dyDescent="0.25">
      <c r="A48" s="78" t="s">
        <v>45</v>
      </c>
      <c r="C48" s="84">
        <v>32084</v>
      </c>
      <c r="D48" s="84">
        <v>21146</v>
      </c>
      <c r="E48" s="84">
        <v>13582</v>
      </c>
      <c r="F48" s="84">
        <v>17427</v>
      </c>
      <c r="G48" s="84">
        <v>12959</v>
      </c>
      <c r="H48" s="84">
        <v>13103</v>
      </c>
      <c r="I48" s="84" t="s">
        <v>162</v>
      </c>
      <c r="J48" s="84" t="s">
        <v>162</v>
      </c>
      <c r="K48" s="78" t="s">
        <v>90</v>
      </c>
      <c r="L48" s="78" t="s">
        <v>88</v>
      </c>
    </row>
    <row r="49" spans="1:12" x14ac:dyDescent="0.25">
      <c r="A49" s="78" t="s">
        <v>46</v>
      </c>
      <c r="C49" s="84">
        <v>851</v>
      </c>
      <c r="D49" s="84">
        <v>2746.98</v>
      </c>
      <c r="E49" s="84">
        <v>521</v>
      </c>
      <c r="F49" s="84">
        <v>1609.2</v>
      </c>
      <c r="G49" s="84">
        <v>450</v>
      </c>
      <c r="H49" s="84">
        <v>1370.25</v>
      </c>
      <c r="I49" s="84">
        <v>0</v>
      </c>
      <c r="J49" s="84">
        <v>0</v>
      </c>
      <c r="K49" s="78" t="s">
        <v>91</v>
      </c>
      <c r="L49" s="78" t="s">
        <v>88</v>
      </c>
    </row>
    <row r="50" spans="1:12" x14ac:dyDescent="0.25">
      <c r="A50" s="78" t="s">
        <v>47</v>
      </c>
      <c r="C50" s="84">
        <v>4870</v>
      </c>
      <c r="D50" s="84">
        <v>6853</v>
      </c>
      <c r="E50" s="84">
        <v>2541</v>
      </c>
      <c r="F50" s="84">
        <v>3564</v>
      </c>
      <c r="G50" s="84">
        <v>836</v>
      </c>
      <c r="H50" s="84">
        <v>1208</v>
      </c>
      <c r="I50" s="84">
        <v>5</v>
      </c>
      <c r="J50" s="84" t="s">
        <v>162</v>
      </c>
      <c r="K50" s="78" t="s">
        <v>87</v>
      </c>
      <c r="L50" s="78" t="s">
        <v>88</v>
      </c>
    </row>
    <row r="51" spans="1:12" x14ac:dyDescent="0.25">
      <c r="A51" s="78" t="s">
        <v>48</v>
      </c>
      <c r="C51" s="84">
        <v>30004</v>
      </c>
      <c r="D51" s="84">
        <v>12888</v>
      </c>
      <c r="E51" s="84">
        <v>10723</v>
      </c>
      <c r="F51" s="84">
        <v>4924</v>
      </c>
      <c r="G51" s="84">
        <v>3800</v>
      </c>
      <c r="H51" s="84">
        <v>2250</v>
      </c>
      <c r="I51" s="84">
        <v>20048</v>
      </c>
      <c r="J51" s="84">
        <v>4023</v>
      </c>
      <c r="K51" s="78" t="s">
        <v>87</v>
      </c>
      <c r="L51" s="78" t="s">
        <v>92</v>
      </c>
    </row>
    <row r="52" spans="1:12" x14ac:dyDescent="0.25">
      <c r="A52" s="78" t="s">
        <v>49</v>
      </c>
      <c r="C52" s="84">
        <v>8488</v>
      </c>
      <c r="D52" s="84">
        <v>11844</v>
      </c>
      <c r="E52" s="84">
        <v>2810</v>
      </c>
      <c r="F52" s="84">
        <v>4232</v>
      </c>
      <c r="G52" s="84">
        <v>723</v>
      </c>
      <c r="H52" s="84">
        <v>1086</v>
      </c>
      <c r="I52" s="84">
        <v>286</v>
      </c>
      <c r="J52" s="84">
        <v>168</v>
      </c>
      <c r="K52" s="78" t="s">
        <v>90</v>
      </c>
      <c r="L52" s="78" t="s">
        <v>88</v>
      </c>
    </row>
    <row r="53" spans="1:12" x14ac:dyDescent="0.25">
      <c r="A53" s="78" t="s">
        <v>50</v>
      </c>
      <c r="C53" s="84">
        <v>33592</v>
      </c>
      <c r="D53" s="84">
        <v>134368</v>
      </c>
      <c r="E53" s="84">
        <v>13272</v>
      </c>
      <c r="F53" s="84">
        <v>53088</v>
      </c>
      <c r="G53" s="84">
        <v>5580</v>
      </c>
      <c r="H53" s="84">
        <v>22320</v>
      </c>
      <c r="I53" s="84" t="s">
        <v>162</v>
      </c>
      <c r="J53" s="84" t="s">
        <v>162</v>
      </c>
      <c r="K53" s="78" t="s">
        <v>87</v>
      </c>
      <c r="L53" s="78" t="s">
        <v>92</v>
      </c>
    </row>
    <row r="54" spans="1:12" x14ac:dyDescent="0.25">
      <c r="A54" s="78" t="s">
        <v>51</v>
      </c>
      <c r="C54" s="84">
        <v>5793</v>
      </c>
      <c r="D54" s="84">
        <v>9370</v>
      </c>
      <c r="E54" s="84">
        <v>4178</v>
      </c>
      <c r="F54" s="84">
        <v>6655</v>
      </c>
      <c r="G54" s="84">
        <v>1545</v>
      </c>
      <c r="H54" s="84">
        <v>2462</v>
      </c>
      <c r="I54" s="84" t="s">
        <v>162</v>
      </c>
      <c r="J54" s="84" t="s">
        <v>162</v>
      </c>
      <c r="K54" s="78" t="s">
        <v>90</v>
      </c>
      <c r="L54" s="78" t="s">
        <v>88</v>
      </c>
    </row>
    <row r="55" spans="1:12" x14ac:dyDescent="0.25">
      <c r="A55" s="78" t="s">
        <v>52</v>
      </c>
      <c r="C55" s="84">
        <v>65664</v>
      </c>
      <c r="D55" s="84">
        <v>64725</v>
      </c>
      <c r="E55" s="84">
        <v>26061</v>
      </c>
      <c r="F55" s="84">
        <v>27731</v>
      </c>
      <c r="G55" s="84">
        <v>5130</v>
      </c>
      <c r="H55" s="84">
        <v>7047</v>
      </c>
      <c r="I55" s="84">
        <v>472</v>
      </c>
      <c r="J55" s="84">
        <v>454</v>
      </c>
      <c r="K55" s="78" t="s">
        <v>87</v>
      </c>
      <c r="L55" s="78" t="s">
        <v>92</v>
      </c>
    </row>
  </sheetData>
  <mergeCells count="10">
    <mergeCell ref="O4:P4"/>
    <mergeCell ref="Q4:R4"/>
    <mergeCell ref="S4:T4"/>
    <mergeCell ref="U4:V4"/>
    <mergeCell ref="A1:J1"/>
    <mergeCell ref="A2:A3"/>
    <mergeCell ref="C2:D2"/>
    <mergeCell ref="E2:F2"/>
    <mergeCell ref="G2:H2"/>
    <mergeCell ref="I2:J2"/>
  </mergeCells>
  <pageMargins left="0.7" right="0.7" top="0.75" bottom="0.75" header="0.3" footer="0.3"/>
  <pageSetup paperSize="9" orientation="portrait" r:id="rId1"/>
  <headerFooter>
    <oddHeader>&amp;C&amp;"Aptos"&amp;10&amp;K000000 OFFICIAL&amp;1#_x000D_</oddHeader>
    <oddFooter>&amp;C_x000D_&amp;1#&amp;"Aptos"&amp;10&amp;K000000 OFFICIAL</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510D83-2A78-4F9C-B664-C698A38AB027}">
  <sheetPr>
    <tabColor theme="9" tint="0.79998168889431442"/>
  </sheetPr>
  <dimension ref="A1:V68"/>
  <sheetViews>
    <sheetView workbookViewId="0">
      <selection activeCell="L18" sqref="L18"/>
    </sheetView>
  </sheetViews>
  <sheetFormatPr defaultColWidth="8.81640625" defaultRowHeight="10.5" x14ac:dyDescent="0.25"/>
  <cols>
    <col min="1" max="1" width="21" style="78" bestFit="1" customWidth="1"/>
    <col min="2" max="2" width="4.453125" style="78" customWidth="1"/>
    <col min="3" max="10" width="8.81640625" style="78"/>
    <col min="11" max="11" width="18.453125" style="78" bestFit="1" customWidth="1"/>
    <col min="12" max="12" width="15.81640625" style="78" bestFit="1" customWidth="1"/>
    <col min="13" max="13" width="8.81640625" style="78"/>
    <col min="14" max="14" width="19.54296875" style="78" bestFit="1" customWidth="1"/>
    <col min="15" max="16384" width="8.81640625" style="78"/>
  </cols>
  <sheetData>
    <row r="1" spans="1:22" ht="41.9" customHeight="1" x14ac:dyDescent="0.25">
      <c r="A1" s="241"/>
      <c r="B1" s="241"/>
      <c r="C1" s="241"/>
      <c r="D1" s="241"/>
      <c r="E1" s="241"/>
      <c r="F1" s="241"/>
      <c r="G1" s="241"/>
      <c r="H1" s="241"/>
      <c r="I1" s="241"/>
      <c r="J1" s="241"/>
    </row>
    <row r="2" spans="1:22" ht="36.65" customHeight="1" x14ac:dyDescent="0.25">
      <c r="A2" s="242"/>
      <c r="B2" s="79"/>
      <c r="C2" s="238" t="s">
        <v>150</v>
      </c>
      <c r="D2" s="239"/>
      <c r="E2" s="240" t="s">
        <v>151</v>
      </c>
      <c r="F2" s="240"/>
      <c r="G2" s="240" t="s">
        <v>152</v>
      </c>
      <c r="H2" s="240"/>
      <c r="I2" s="238" t="s">
        <v>153</v>
      </c>
      <c r="J2" s="239"/>
    </row>
    <row r="3" spans="1:22" ht="27.65" customHeight="1" x14ac:dyDescent="0.25">
      <c r="A3" s="243"/>
      <c r="B3" s="80"/>
      <c r="C3" s="81" t="s">
        <v>127</v>
      </c>
      <c r="D3" s="81" t="s">
        <v>128</v>
      </c>
      <c r="E3" s="81" t="s">
        <v>127</v>
      </c>
      <c r="F3" s="81" t="s">
        <v>128</v>
      </c>
      <c r="G3" s="81" t="s">
        <v>127</v>
      </c>
      <c r="H3" s="81" t="s">
        <v>128</v>
      </c>
      <c r="I3" s="81" t="s">
        <v>127</v>
      </c>
      <c r="J3" s="81" t="s">
        <v>128</v>
      </c>
    </row>
    <row r="4" spans="1:22" x14ac:dyDescent="0.25">
      <c r="O4" s="238" t="s">
        <v>150</v>
      </c>
      <c r="P4" s="239"/>
      <c r="Q4" s="240" t="s">
        <v>151</v>
      </c>
      <c r="R4" s="240"/>
      <c r="S4" s="240" t="s">
        <v>152</v>
      </c>
      <c r="T4" s="240"/>
      <c r="U4" s="238" t="s">
        <v>153</v>
      </c>
      <c r="V4" s="239"/>
    </row>
    <row r="5" spans="1:22" x14ac:dyDescent="0.25">
      <c r="O5" s="81" t="s">
        <v>127</v>
      </c>
      <c r="P5" s="81" t="s">
        <v>128</v>
      </c>
      <c r="Q5" s="81" t="s">
        <v>127</v>
      </c>
      <c r="R5" s="81" t="s">
        <v>128</v>
      </c>
      <c r="S5" s="81" t="s">
        <v>127</v>
      </c>
      <c r="T5" s="81" t="s">
        <v>128</v>
      </c>
      <c r="U5" s="81" t="s">
        <v>127</v>
      </c>
      <c r="V5" s="81" t="s">
        <v>128</v>
      </c>
    </row>
    <row r="6" spans="1:22" x14ac:dyDescent="0.25">
      <c r="A6" s="82" t="s">
        <v>76</v>
      </c>
      <c r="B6" s="82"/>
      <c r="C6" s="83">
        <f t="shared" ref="C6:J6" si="0">SUM(C12:C60)</f>
        <v>701621</v>
      </c>
      <c r="D6" s="83">
        <f t="shared" si="0"/>
        <v>805201.71251626767</v>
      </c>
      <c r="E6" s="83">
        <f t="shared" si="0"/>
        <v>274457</v>
      </c>
      <c r="F6" s="83">
        <f t="shared" si="0"/>
        <v>307048.36622429464</v>
      </c>
      <c r="G6" s="83">
        <f t="shared" si="0"/>
        <v>113997</v>
      </c>
      <c r="H6" s="83">
        <f t="shared" si="0"/>
        <v>140662.72550215208</v>
      </c>
      <c r="I6" s="83">
        <f t="shared" si="0"/>
        <v>46369</v>
      </c>
      <c r="J6" s="83">
        <f t="shared" si="0"/>
        <v>34470.583333333328</v>
      </c>
      <c r="N6" s="78" t="s">
        <v>82</v>
      </c>
      <c r="O6" s="78">
        <v>10513</v>
      </c>
      <c r="P6" s="78">
        <v>19196</v>
      </c>
      <c r="Q6" s="78">
        <v>6677</v>
      </c>
      <c r="R6" s="78">
        <v>14817</v>
      </c>
      <c r="S6" s="78">
        <v>0</v>
      </c>
      <c r="T6" s="78">
        <v>0</v>
      </c>
      <c r="U6" s="78">
        <v>650</v>
      </c>
      <c r="V6" s="78">
        <v>886</v>
      </c>
    </row>
    <row r="7" spans="1:22" x14ac:dyDescent="0.25">
      <c r="A7" s="82" t="s">
        <v>88</v>
      </c>
      <c r="B7" s="82"/>
      <c r="C7" s="83">
        <f t="shared" ref="C7:J8" si="1">SUMIF($L$12:$L$60,$A7,C$12:C$60)</f>
        <v>339645</v>
      </c>
      <c r="D7" s="83">
        <f t="shared" si="1"/>
        <v>396795.88251626777</v>
      </c>
      <c r="E7" s="83">
        <f t="shared" si="1"/>
        <v>151205</v>
      </c>
      <c r="F7" s="83">
        <f t="shared" si="1"/>
        <v>157675.20622429461</v>
      </c>
      <c r="G7" s="83">
        <f t="shared" si="1"/>
        <v>59293</v>
      </c>
      <c r="H7" s="83">
        <f t="shared" si="1"/>
        <v>66303.645502152067</v>
      </c>
      <c r="I7" s="83">
        <f t="shared" si="1"/>
        <v>16133</v>
      </c>
      <c r="J7" s="83">
        <f t="shared" si="1"/>
        <v>14660.583333333334</v>
      </c>
      <c r="N7" s="78" t="s">
        <v>83</v>
      </c>
      <c r="O7" s="78">
        <v>423</v>
      </c>
      <c r="P7" s="78">
        <v>300</v>
      </c>
      <c r="Q7" s="78">
        <v>85</v>
      </c>
      <c r="R7" s="78">
        <v>61.5</v>
      </c>
      <c r="S7" s="78">
        <v>25</v>
      </c>
      <c r="T7" s="78">
        <v>20.5</v>
      </c>
      <c r="U7" s="78">
        <v>77</v>
      </c>
      <c r="V7" s="78">
        <v>77</v>
      </c>
    </row>
    <row r="8" spans="1:22" x14ac:dyDescent="0.25">
      <c r="A8" s="82" t="s">
        <v>92</v>
      </c>
      <c r="B8" s="82"/>
      <c r="C8" s="83">
        <f t="shared" si="1"/>
        <v>361976</v>
      </c>
      <c r="D8" s="83">
        <f t="shared" si="1"/>
        <v>408405.83</v>
      </c>
      <c r="E8" s="83">
        <f t="shared" si="1"/>
        <v>123252</v>
      </c>
      <c r="F8" s="83">
        <f t="shared" si="1"/>
        <v>149373.16</v>
      </c>
      <c r="G8" s="83">
        <f t="shared" si="1"/>
        <v>54704</v>
      </c>
      <c r="H8" s="83">
        <f t="shared" si="1"/>
        <v>74359.08</v>
      </c>
      <c r="I8" s="83">
        <f t="shared" si="1"/>
        <v>30236</v>
      </c>
      <c r="J8" s="83">
        <f t="shared" si="1"/>
        <v>19810</v>
      </c>
      <c r="N8" s="78" t="s">
        <v>93</v>
      </c>
      <c r="O8" s="78">
        <f>SUM(O6:O7)</f>
        <v>10936</v>
      </c>
      <c r="P8" s="78">
        <f t="shared" ref="P8:V8" si="2">SUM(P6:P7)</f>
        <v>19496</v>
      </c>
      <c r="Q8" s="78">
        <f t="shared" si="2"/>
        <v>6762</v>
      </c>
      <c r="R8" s="78">
        <f t="shared" si="2"/>
        <v>14878.5</v>
      </c>
      <c r="S8" s="78">
        <f t="shared" si="2"/>
        <v>25</v>
      </c>
      <c r="T8" s="78">
        <f t="shared" si="2"/>
        <v>20.5</v>
      </c>
      <c r="U8" s="78">
        <f t="shared" si="2"/>
        <v>727</v>
      </c>
      <c r="V8" s="78">
        <f t="shared" si="2"/>
        <v>963</v>
      </c>
    </row>
    <row r="9" spans="1:22" x14ac:dyDescent="0.25">
      <c r="A9" s="82" t="s">
        <v>87</v>
      </c>
      <c r="B9" s="82"/>
      <c r="C9" s="83">
        <f t="shared" ref="C9:J11" si="3">SUMIF($K$12:$K$60,$A9,C$12:C$60)</f>
        <v>455339</v>
      </c>
      <c r="D9" s="83">
        <f t="shared" si="3"/>
        <v>505533.51090867317</v>
      </c>
      <c r="E9" s="83">
        <f t="shared" si="3"/>
        <v>161490</v>
      </c>
      <c r="F9" s="83">
        <f t="shared" si="3"/>
        <v>183042.41</v>
      </c>
      <c r="G9" s="83">
        <f t="shared" si="3"/>
        <v>73020</v>
      </c>
      <c r="H9" s="83">
        <f t="shared" si="3"/>
        <v>97386.496666666673</v>
      </c>
      <c r="I9" s="83">
        <f t="shared" si="3"/>
        <v>32725</v>
      </c>
      <c r="J9" s="83">
        <f t="shared" si="3"/>
        <v>21286.083333333332</v>
      </c>
    </row>
    <row r="10" spans="1:22" x14ac:dyDescent="0.25">
      <c r="A10" s="82" t="s">
        <v>90</v>
      </c>
      <c r="B10" s="82"/>
      <c r="C10" s="83">
        <f t="shared" si="3"/>
        <v>168435</v>
      </c>
      <c r="D10" s="83">
        <f t="shared" si="3"/>
        <v>209720.65494092793</v>
      </c>
      <c r="E10" s="83">
        <f t="shared" si="3"/>
        <v>86240</v>
      </c>
      <c r="F10" s="83">
        <f t="shared" si="3"/>
        <v>89766.786224294599</v>
      </c>
      <c r="G10" s="83">
        <f t="shared" si="3"/>
        <v>35476</v>
      </c>
      <c r="H10" s="83">
        <f t="shared" si="3"/>
        <v>35477.698835485411</v>
      </c>
      <c r="I10" s="83">
        <f t="shared" si="3"/>
        <v>10226</v>
      </c>
      <c r="J10" s="83">
        <f t="shared" si="3"/>
        <v>11932.75</v>
      </c>
    </row>
    <row r="11" spans="1:22" x14ac:dyDescent="0.25">
      <c r="A11" s="82" t="s">
        <v>91</v>
      </c>
      <c r="B11" s="82"/>
      <c r="C11" s="83">
        <f t="shared" si="3"/>
        <v>77847</v>
      </c>
      <c r="D11" s="83">
        <f t="shared" si="3"/>
        <v>89947.546666666676</v>
      </c>
      <c r="E11" s="83">
        <f t="shared" si="3"/>
        <v>26727</v>
      </c>
      <c r="F11" s="83">
        <f t="shared" si="3"/>
        <v>34239.17</v>
      </c>
      <c r="G11" s="83">
        <f t="shared" si="3"/>
        <v>5501</v>
      </c>
      <c r="H11" s="83">
        <f t="shared" si="3"/>
        <v>7798.53</v>
      </c>
      <c r="I11" s="83">
        <f t="shared" si="3"/>
        <v>3418</v>
      </c>
      <c r="J11" s="83">
        <f t="shared" si="3"/>
        <v>1251.75</v>
      </c>
    </row>
    <row r="12" spans="1:22" x14ac:dyDescent="0.25">
      <c r="A12" s="78" t="s">
        <v>8</v>
      </c>
      <c r="C12" s="84">
        <v>6685</v>
      </c>
      <c r="D12" s="84">
        <v>4421.25</v>
      </c>
      <c r="E12" s="84">
        <v>3452</v>
      </c>
      <c r="F12" s="84">
        <v>2445.25</v>
      </c>
      <c r="G12" s="84">
        <v>2236</v>
      </c>
      <c r="H12" s="84">
        <v>1696.25</v>
      </c>
      <c r="I12" s="84">
        <v>405</v>
      </c>
      <c r="J12" s="84">
        <v>198.5</v>
      </c>
      <c r="K12" s="78" t="s">
        <v>87</v>
      </c>
      <c r="L12" s="78" t="s">
        <v>88</v>
      </c>
    </row>
    <row r="13" spans="1:22" x14ac:dyDescent="0.25">
      <c r="A13" s="78" t="s">
        <v>11</v>
      </c>
      <c r="C13" s="84">
        <v>3806</v>
      </c>
      <c r="D13" s="84">
        <v>3263</v>
      </c>
      <c r="E13" s="84">
        <v>616</v>
      </c>
      <c r="F13" s="84">
        <v>391</v>
      </c>
      <c r="G13" s="84">
        <v>0</v>
      </c>
      <c r="H13" s="84">
        <v>0</v>
      </c>
      <c r="I13" s="84">
        <v>0</v>
      </c>
      <c r="J13" s="84">
        <v>218</v>
      </c>
      <c r="K13" s="78" t="s">
        <v>90</v>
      </c>
      <c r="L13" s="78" t="s">
        <v>88</v>
      </c>
    </row>
    <row r="14" spans="1:22" x14ac:dyDescent="0.25">
      <c r="A14" s="78" t="s">
        <v>12</v>
      </c>
      <c r="C14" s="84">
        <v>6248</v>
      </c>
      <c r="D14" s="84">
        <v>13636</v>
      </c>
      <c r="E14" s="84">
        <v>3224</v>
      </c>
      <c r="F14" s="84">
        <v>4836</v>
      </c>
      <c r="G14" s="84">
        <v>1523</v>
      </c>
      <c r="H14" s="84">
        <v>2284</v>
      </c>
      <c r="I14" s="84">
        <v>0</v>
      </c>
      <c r="J14" s="84">
        <v>0</v>
      </c>
      <c r="K14" s="78" t="s">
        <v>87</v>
      </c>
      <c r="L14" s="78" t="s">
        <v>88</v>
      </c>
    </row>
    <row r="15" spans="1:22" x14ac:dyDescent="0.25">
      <c r="A15" s="78" t="s">
        <v>13</v>
      </c>
      <c r="C15" s="84">
        <v>8400</v>
      </c>
      <c r="D15" s="84">
        <v>35000</v>
      </c>
      <c r="E15" s="84">
        <v>2342</v>
      </c>
      <c r="F15" s="84">
        <v>9766</v>
      </c>
      <c r="G15" s="84">
        <v>810</v>
      </c>
      <c r="H15" s="84">
        <v>3378</v>
      </c>
      <c r="I15" s="84">
        <v>0</v>
      </c>
      <c r="J15" s="84">
        <v>0</v>
      </c>
      <c r="K15" s="78" t="s">
        <v>90</v>
      </c>
      <c r="L15" s="78" t="s">
        <v>88</v>
      </c>
    </row>
    <row r="16" spans="1:22" x14ac:dyDescent="0.25">
      <c r="A16" s="78" t="s">
        <v>14</v>
      </c>
      <c r="C16" s="84">
        <v>2927</v>
      </c>
      <c r="D16" s="84">
        <v>3688</v>
      </c>
      <c r="E16" s="84">
        <v>1656</v>
      </c>
      <c r="F16" s="84">
        <v>2205.5</v>
      </c>
      <c r="G16" s="84">
        <v>1389</v>
      </c>
      <c r="H16" s="84">
        <v>1909.25</v>
      </c>
      <c r="I16" s="84">
        <v>0</v>
      </c>
      <c r="J16" s="84">
        <v>0</v>
      </c>
      <c r="K16" s="78" t="s">
        <v>91</v>
      </c>
      <c r="L16" s="78" t="s">
        <v>88</v>
      </c>
    </row>
    <row r="17" spans="1:12" x14ac:dyDescent="0.25">
      <c r="A17" s="78" t="s">
        <v>15</v>
      </c>
      <c r="C17" s="84">
        <v>27181</v>
      </c>
      <c r="D17" s="84">
        <v>14860</v>
      </c>
      <c r="E17" s="84">
        <v>22412</v>
      </c>
      <c r="F17" s="84">
        <v>9771</v>
      </c>
      <c r="G17" s="84">
        <v>8076</v>
      </c>
      <c r="H17" s="84">
        <v>5593</v>
      </c>
      <c r="I17" s="84">
        <v>0</v>
      </c>
      <c r="J17" s="84">
        <v>0</v>
      </c>
      <c r="K17" s="78" t="s">
        <v>90</v>
      </c>
      <c r="L17" s="78" t="s">
        <v>88</v>
      </c>
    </row>
    <row r="18" spans="1:12" x14ac:dyDescent="0.25">
      <c r="A18" s="78" t="s">
        <v>16</v>
      </c>
      <c r="C18" s="84">
        <v>23590</v>
      </c>
      <c r="D18" s="84">
        <v>11795.619973718793</v>
      </c>
      <c r="E18" s="84">
        <v>5871</v>
      </c>
      <c r="F18" s="84">
        <v>0</v>
      </c>
      <c r="G18" s="84">
        <v>1049</v>
      </c>
      <c r="H18" s="84">
        <v>0</v>
      </c>
      <c r="I18" s="84">
        <v>967</v>
      </c>
      <c r="J18" s="84">
        <v>0</v>
      </c>
      <c r="K18" s="78" t="s">
        <v>87</v>
      </c>
      <c r="L18" s="78" t="s">
        <v>88</v>
      </c>
    </row>
    <row r="19" spans="1:12" x14ac:dyDescent="0.25">
      <c r="A19" s="78" t="s">
        <v>17</v>
      </c>
      <c r="C19" s="84">
        <v>3661</v>
      </c>
      <c r="D19" s="84">
        <v>2335</v>
      </c>
      <c r="E19" s="84">
        <v>0</v>
      </c>
      <c r="F19" s="84">
        <v>0</v>
      </c>
      <c r="G19" s="84">
        <v>0</v>
      </c>
      <c r="H19" s="84">
        <v>0</v>
      </c>
      <c r="I19" s="84">
        <v>1542</v>
      </c>
      <c r="J19" s="84">
        <v>335</v>
      </c>
      <c r="K19" s="78" t="s">
        <v>91</v>
      </c>
      <c r="L19" s="78" t="s">
        <v>88</v>
      </c>
    </row>
    <row r="20" spans="1:12" x14ac:dyDescent="0.25">
      <c r="A20" s="78" t="s">
        <v>18</v>
      </c>
      <c r="C20" s="84">
        <v>16628</v>
      </c>
      <c r="D20" s="84">
        <v>14027.966666666667</v>
      </c>
      <c r="E20" s="84">
        <v>3912</v>
      </c>
      <c r="F20" s="84">
        <v>3443.3</v>
      </c>
      <c r="G20" s="84">
        <v>0</v>
      </c>
      <c r="H20" s="84">
        <v>0</v>
      </c>
      <c r="I20" s="84">
        <v>997</v>
      </c>
      <c r="J20" s="84">
        <v>821.75</v>
      </c>
      <c r="K20" s="78" t="s">
        <v>91</v>
      </c>
      <c r="L20" s="78" t="s">
        <v>88</v>
      </c>
    </row>
    <row r="21" spans="1:12" x14ac:dyDescent="0.25">
      <c r="A21" s="85" t="s">
        <v>19</v>
      </c>
      <c r="B21" s="85"/>
      <c r="C21" s="84">
        <v>9639</v>
      </c>
      <c r="D21" s="84">
        <v>15092</v>
      </c>
      <c r="E21" s="84">
        <v>5295</v>
      </c>
      <c r="F21" s="84">
        <v>8046</v>
      </c>
      <c r="G21" s="84">
        <v>1567</v>
      </c>
      <c r="H21" s="84">
        <v>2725</v>
      </c>
      <c r="I21" s="84">
        <v>6917</v>
      </c>
      <c r="J21" s="84">
        <v>8646</v>
      </c>
      <c r="K21" s="78" t="s">
        <v>90</v>
      </c>
      <c r="L21" s="78" t="s">
        <v>88</v>
      </c>
    </row>
    <row r="22" spans="1:12" x14ac:dyDescent="0.25">
      <c r="A22" s="85" t="s">
        <v>20</v>
      </c>
      <c r="B22" s="85"/>
      <c r="C22" s="84">
        <v>3278</v>
      </c>
      <c r="D22" s="84">
        <v>5017</v>
      </c>
      <c r="E22" s="84">
        <v>1752</v>
      </c>
      <c r="F22" s="84">
        <v>2870</v>
      </c>
      <c r="G22" s="84">
        <v>1801</v>
      </c>
      <c r="H22" s="84">
        <v>2798</v>
      </c>
      <c r="I22" s="84">
        <v>0</v>
      </c>
      <c r="J22" s="84">
        <v>0</v>
      </c>
      <c r="K22" s="78" t="s">
        <v>91</v>
      </c>
      <c r="L22" s="78" t="s">
        <v>88</v>
      </c>
    </row>
    <row r="23" spans="1:12" x14ac:dyDescent="0.25">
      <c r="A23" s="85" t="s">
        <v>21</v>
      </c>
      <c r="B23" s="85"/>
      <c r="C23" s="84">
        <v>15401</v>
      </c>
      <c r="D23" s="84">
        <v>19973.25</v>
      </c>
      <c r="E23" s="84">
        <v>9130</v>
      </c>
      <c r="F23" s="84">
        <v>11704.716224294596</v>
      </c>
      <c r="G23" s="84">
        <v>559</v>
      </c>
      <c r="H23" s="84">
        <v>535.90883548541365</v>
      </c>
      <c r="I23" s="84">
        <v>670</v>
      </c>
      <c r="J23" s="84">
        <v>320</v>
      </c>
      <c r="K23" s="78" t="s">
        <v>90</v>
      </c>
      <c r="L23" s="78" t="s">
        <v>88</v>
      </c>
    </row>
    <row r="24" spans="1:12" x14ac:dyDescent="0.25">
      <c r="A24" s="78" t="s">
        <v>22</v>
      </c>
      <c r="C24" s="84">
        <v>13311</v>
      </c>
      <c r="D24" s="84">
        <v>9927</v>
      </c>
      <c r="E24" s="84">
        <v>4029</v>
      </c>
      <c r="F24" s="84">
        <v>3022</v>
      </c>
      <c r="G24" s="84">
        <v>247</v>
      </c>
      <c r="H24" s="84">
        <v>185</v>
      </c>
      <c r="I24" s="84">
        <v>0</v>
      </c>
      <c r="J24" s="84">
        <v>0</v>
      </c>
      <c r="K24" s="78" t="s">
        <v>91</v>
      </c>
      <c r="L24" s="78" t="s">
        <v>88</v>
      </c>
    </row>
    <row r="25" spans="1:12" x14ac:dyDescent="0.25">
      <c r="A25" s="78" t="s">
        <v>23</v>
      </c>
      <c r="C25" s="84">
        <v>10221</v>
      </c>
      <c r="D25" s="84">
        <v>20958</v>
      </c>
      <c r="E25" s="84">
        <v>6021</v>
      </c>
      <c r="F25" s="84">
        <v>11685.75</v>
      </c>
      <c r="G25" s="84">
        <v>4385</v>
      </c>
      <c r="H25" s="84">
        <v>8386.5</v>
      </c>
      <c r="I25" s="84">
        <v>0</v>
      </c>
      <c r="J25" s="84">
        <v>0</v>
      </c>
      <c r="K25" s="78" t="s">
        <v>90</v>
      </c>
      <c r="L25" s="78" t="s">
        <v>88</v>
      </c>
    </row>
    <row r="26" spans="1:12" x14ac:dyDescent="0.25">
      <c r="A26" s="78" t="s">
        <v>24</v>
      </c>
      <c r="C26" s="84">
        <v>1963</v>
      </c>
      <c r="D26" s="84">
        <v>2759.75</v>
      </c>
      <c r="E26" s="84">
        <v>862</v>
      </c>
      <c r="F26" s="84">
        <v>1221.07</v>
      </c>
      <c r="G26" s="84">
        <v>492</v>
      </c>
      <c r="H26" s="84">
        <v>705.79</v>
      </c>
      <c r="I26" s="84">
        <v>290</v>
      </c>
      <c r="J26" s="84">
        <v>482</v>
      </c>
      <c r="K26" s="78" t="s">
        <v>90</v>
      </c>
      <c r="L26" s="78" t="s">
        <v>88</v>
      </c>
    </row>
    <row r="27" spans="1:12" x14ac:dyDescent="0.25">
      <c r="A27" s="78" t="s">
        <v>25</v>
      </c>
      <c r="C27" s="84">
        <v>2975</v>
      </c>
      <c r="D27" s="84">
        <v>3090</v>
      </c>
      <c r="E27" s="84">
        <v>1625</v>
      </c>
      <c r="F27" s="84">
        <v>1928</v>
      </c>
      <c r="G27" s="84">
        <v>851</v>
      </c>
      <c r="H27" s="84">
        <v>1265</v>
      </c>
      <c r="I27" s="84">
        <v>0</v>
      </c>
      <c r="J27" s="84">
        <v>0</v>
      </c>
      <c r="K27" s="78" t="s">
        <v>90</v>
      </c>
      <c r="L27" s="78" t="s">
        <v>88</v>
      </c>
    </row>
    <row r="28" spans="1:12" x14ac:dyDescent="0.25">
      <c r="A28" s="78" t="s">
        <v>26</v>
      </c>
      <c r="C28" s="84">
        <v>83678</v>
      </c>
      <c r="D28" s="84">
        <v>62758.5</v>
      </c>
      <c r="E28" s="84">
        <v>34278</v>
      </c>
      <c r="F28" s="84">
        <v>25708.5</v>
      </c>
      <c r="G28" s="84">
        <v>23149</v>
      </c>
      <c r="H28" s="84">
        <v>17361.75</v>
      </c>
      <c r="I28" s="84">
        <v>648</v>
      </c>
      <c r="J28" s="84">
        <v>0</v>
      </c>
      <c r="K28" s="78" t="s">
        <v>87</v>
      </c>
      <c r="L28" s="78" t="s">
        <v>92</v>
      </c>
    </row>
    <row r="29" spans="1:12" x14ac:dyDescent="0.25">
      <c r="A29" s="78" t="s">
        <v>27</v>
      </c>
      <c r="C29" s="84">
        <v>77008</v>
      </c>
      <c r="D29" s="84">
        <v>73676</v>
      </c>
      <c r="E29" s="84">
        <v>9928</v>
      </c>
      <c r="F29" s="84">
        <v>10868</v>
      </c>
      <c r="G29" s="84">
        <v>0</v>
      </c>
      <c r="H29" s="84">
        <v>0</v>
      </c>
      <c r="I29" s="84">
        <v>884</v>
      </c>
      <c r="J29" s="84">
        <v>956</v>
      </c>
      <c r="K29" s="78" t="s">
        <v>87</v>
      </c>
      <c r="L29" s="78" t="s">
        <v>92</v>
      </c>
    </row>
    <row r="30" spans="1:12" x14ac:dyDescent="0.25">
      <c r="A30" s="78" t="s">
        <v>93</v>
      </c>
      <c r="C30" s="84">
        <v>10936</v>
      </c>
      <c r="D30" s="84">
        <v>19496</v>
      </c>
      <c r="E30" s="84">
        <v>6762</v>
      </c>
      <c r="F30" s="84">
        <v>14878.5</v>
      </c>
      <c r="G30" s="84">
        <v>25</v>
      </c>
      <c r="H30" s="84">
        <v>20.5</v>
      </c>
      <c r="I30" s="84">
        <v>727</v>
      </c>
      <c r="J30" s="84">
        <v>963</v>
      </c>
      <c r="K30" s="78" t="s">
        <v>90</v>
      </c>
      <c r="L30" s="78" t="s">
        <v>88</v>
      </c>
    </row>
    <row r="31" spans="1:12" x14ac:dyDescent="0.25">
      <c r="A31" s="78" t="s">
        <v>28</v>
      </c>
      <c r="C31" s="84">
        <v>4816</v>
      </c>
      <c r="D31" s="84">
        <v>8267</v>
      </c>
      <c r="E31" s="84">
        <v>2134</v>
      </c>
      <c r="F31" s="84">
        <v>3663</v>
      </c>
      <c r="G31" s="84">
        <v>1250</v>
      </c>
      <c r="H31" s="84">
        <v>2365</v>
      </c>
      <c r="I31" s="84">
        <v>0</v>
      </c>
      <c r="J31" s="84">
        <v>0</v>
      </c>
      <c r="K31" s="78" t="s">
        <v>90</v>
      </c>
      <c r="L31" s="78" t="s">
        <v>88</v>
      </c>
    </row>
    <row r="32" spans="1:12" x14ac:dyDescent="0.25">
      <c r="A32" s="78" t="s">
        <v>29</v>
      </c>
      <c r="C32" s="84">
        <v>5585</v>
      </c>
      <c r="D32" s="84">
        <v>8377.5</v>
      </c>
      <c r="E32" s="84">
        <v>2257</v>
      </c>
      <c r="F32" s="84">
        <v>0</v>
      </c>
      <c r="G32" s="84">
        <v>561</v>
      </c>
      <c r="H32" s="84">
        <v>0</v>
      </c>
      <c r="I32" s="84">
        <v>428</v>
      </c>
      <c r="J32" s="84">
        <v>642</v>
      </c>
      <c r="K32" s="78" t="s">
        <v>87</v>
      </c>
      <c r="L32" s="78" t="s">
        <v>88</v>
      </c>
    </row>
    <row r="33" spans="1:12" x14ac:dyDescent="0.25">
      <c r="A33" s="78" t="s">
        <v>30</v>
      </c>
      <c r="C33" s="84">
        <v>9465</v>
      </c>
      <c r="D33" s="84">
        <v>8948</v>
      </c>
      <c r="E33" s="84">
        <v>3991</v>
      </c>
      <c r="F33" s="84">
        <v>3853.75</v>
      </c>
      <c r="G33" s="84">
        <v>1946</v>
      </c>
      <c r="H33" s="84">
        <v>2001</v>
      </c>
      <c r="I33" s="84">
        <v>0</v>
      </c>
      <c r="J33" s="84">
        <v>0</v>
      </c>
      <c r="K33" s="78" t="s">
        <v>90</v>
      </c>
      <c r="L33" s="78" t="s">
        <v>88</v>
      </c>
    </row>
    <row r="34" spans="1:12" x14ac:dyDescent="0.25">
      <c r="A34" s="78" t="s">
        <v>94</v>
      </c>
      <c r="C34" s="84">
        <v>107</v>
      </c>
      <c r="D34" s="84">
        <v>66</v>
      </c>
      <c r="E34" s="84">
        <v>0</v>
      </c>
      <c r="F34" s="84">
        <v>0</v>
      </c>
      <c r="G34" s="84">
        <v>0</v>
      </c>
      <c r="H34" s="84">
        <v>0</v>
      </c>
      <c r="I34" s="84">
        <v>0</v>
      </c>
      <c r="J34" s="84">
        <v>0</v>
      </c>
      <c r="K34" s="78" t="s">
        <v>91</v>
      </c>
      <c r="L34" s="78" t="s">
        <v>88</v>
      </c>
    </row>
    <row r="35" spans="1:12" x14ac:dyDescent="0.25">
      <c r="A35" s="78" t="s">
        <v>32</v>
      </c>
      <c r="C35" s="84">
        <v>10503</v>
      </c>
      <c r="D35" s="84">
        <v>8847</v>
      </c>
      <c r="E35" s="84">
        <v>1595</v>
      </c>
      <c r="F35" s="84">
        <v>1353</v>
      </c>
      <c r="G35" s="84">
        <v>4134</v>
      </c>
      <c r="H35" s="84">
        <v>3517</v>
      </c>
      <c r="I35" s="84">
        <v>638</v>
      </c>
      <c r="J35" s="84">
        <v>0</v>
      </c>
      <c r="K35" s="78" t="s">
        <v>90</v>
      </c>
      <c r="L35" s="78" t="s">
        <v>88</v>
      </c>
    </row>
    <row r="36" spans="1:12" x14ac:dyDescent="0.25">
      <c r="A36" s="78" t="s">
        <v>33</v>
      </c>
      <c r="C36" s="84">
        <v>44473</v>
      </c>
      <c r="D36" s="84">
        <v>50114</v>
      </c>
      <c r="E36" s="84">
        <v>20032</v>
      </c>
      <c r="F36" s="84">
        <v>23808</v>
      </c>
      <c r="G36" s="84">
        <v>10504</v>
      </c>
      <c r="H36" s="84">
        <v>16906</v>
      </c>
      <c r="I36" s="84">
        <v>174</v>
      </c>
      <c r="J36" s="84">
        <v>128</v>
      </c>
      <c r="K36" s="78" t="s">
        <v>87</v>
      </c>
      <c r="L36" s="78" t="s">
        <v>88</v>
      </c>
    </row>
    <row r="37" spans="1:12" x14ac:dyDescent="0.25">
      <c r="A37" s="78" t="s">
        <v>34</v>
      </c>
      <c r="C37" s="84">
        <v>3966</v>
      </c>
      <c r="D37" s="84">
        <v>6940.5</v>
      </c>
      <c r="E37" s="84">
        <v>2217</v>
      </c>
      <c r="F37" s="84">
        <v>3880</v>
      </c>
      <c r="G37" s="84">
        <v>898</v>
      </c>
      <c r="H37" s="84">
        <v>1572</v>
      </c>
      <c r="I37" s="84">
        <v>549</v>
      </c>
      <c r="J37" s="84">
        <v>960.75</v>
      </c>
      <c r="K37" s="78" t="s">
        <v>90</v>
      </c>
      <c r="L37" s="78" t="s">
        <v>88</v>
      </c>
    </row>
    <row r="38" spans="1:12" x14ac:dyDescent="0.25">
      <c r="A38" s="78" t="s">
        <v>35</v>
      </c>
      <c r="C38" s="84">
        <v>11337</v>
      </c>
      <c r="D38" s="84">
        <v>17005</v>
      </c>
      <c r="E38" s="84">
        <v>4644</v>
      </c>
      <c r="F38" s="84">
        <v>6966</v>
      </c>
      <c r="G38" s="84">
        <v>1196</v>
      </c>
      <c r="H38" s="84">
        <v>1794</v>
      </c>
      <c r="I38" s="84">
        <v>0</v>
      </c>
      <c r="J38" s="84">
        <v>0</v>
      </c>
      <c r="K38" s="78" t="s">
        <v>91</v>
      </c>
      <c r="L38" s="78" t="s">
        <v>88</v>
      </c>
    </row>
    <row r="39" spans="1:12" x14ac:dyDescent="0.25">
      <c r="A39" s="78" t="s">
        <v>36</v>
      </c>
      <c r="C39" s="84">
        <v>65412</v>
      </c>
      <c r="D39" s="84">
        <v>101311</v>
      </c>
      <c r="E39" s="84">
        <v>25299</v>
      </c>
      <c r="F39" s="84">
        <v>38095</v>
      </c>
      <c r="G39" s="84">
        <v>10089</v>
      </c>
      <c r="H39" s="84">
        <v>15738</v>
      </c>
      <c r="I39" s="84">
        <v>9264</v>
      </c>
      <c r="J39" s="84">
        <v>14822</v>
      </c>
      <c r="K39" s="78" t="s">
        <v>87</v>
      </c>
      <c r="L39" s="78" t="s">
        <v>92</v>
      </c>
    </row>
    <row r="40" spans="1:12" x14ac:dyDescent="0.25">
      <c r="A40" s="78" t="s">
        <v>37</v>
      </c>
      <c r="C40" s="84">
        <v>3560</v>
      </c>
      <c r="D40" s="84">
        <v>3874</v>
      </c>
      <c r="E40" s="84">
        <v>2135</v>
      </c>
      <c r="F40" s="84">
        <v>2449</v>
      </c>
      <c r="G40" s="84">
        <v>0</v>
      </c>
      <c r="H40" s="84">
        <v>0</v>
      </c>
      <c r="I40" s="84">
        <v>38</v>
      </c>
      <c r="J40" s="84">
        <v>38</v>
      </c>
      <c r="K40" s="78" t="s">
        <v>91</v>
      </c>
      <c r="L40" s="78" t="s">
        <v>88</v>
      </c>
    </row>
    <row r="41" spans="1:12" x14ac:dyDescent="0.25">
      <c r="A41" s="78" t="s">
        <v>38</v>
      </c>
      <c r="C41" s="84">
        <v>2973</v>
      </c>
      <c r="D41" s="84">
        <v>3907</v>
      </c>
      <c r="E41" s="84">
        <v>1319</v>
      </c>
      <c r="F41" s="84">
        <v>1750</v>
      </c>
      <c r="G41" s="84">
        <v>0</v>
      </c>
      <c r="H41" s="84">
        <v>0</v>
      </c>
      <c r="I41" s="84">
        <v>65</v>
      </c>
      <c r="J41" s="84">
        <v>32</v>
      </c>
      <c r="K41" s="78" t="s">
        <v>91</v>
      </c>
      <c r="L41" s="78" t="s">
        <v>88</v>
      </c>
    </row>
    <row r="42" spans="1:12" x14ac:dyDescent="0.25">
      <c r="A42" s="78" t="s">
        <v>39</v>
      </c>
      <c r="C42" s="84">
        <v>9952</v>
      </c>
      <c r="D42" s="84">
        <v>6527</v>
      </c>
      <c r="E42" s="84">
        <v>3088</v>
      </c>
      <c r="F42" s="84">
        <v>2058</v>
      </c>
      <c r="G42" s="84">
        <v>1138</v>
      </c>
      <c r="H42" s="84">
        <v>759</v>
      </c>
      <c r="I42" s="84">
        <v>271</v>
      </c>
      <c r="J42" s="84">
        <v>179</v>
      </c>
      <c r="K42" s="78" t="s">
        <v>90</v>
      </c>
      <c r="L42" s="78" t="s">
        <v>88</v>
      </c>
    </row>
    <row r="43" spans="1:12" x14ac:dyDescent="0.25">
      <c r="A43" s="78" t="s">
        <v>40</v>
      </c>
      <c r="C43" s="84">
        <v>10086</v>
      </c>
      <c r="D43" s="84">
        <v>9647</v>
      </c>
      <c r="E43" s="84">
        <v>5061</v>
      </c>
      <c r="F43" s="84">
        <v>4894</v>
      </c>
      <c r="G43" s="84">
        <v>709</v>
      </c>
      <c r="H43" s="84">
        <v>736</v>
      </c>
      <c r="I43" s="84">
        <v>0</v>
      </c>
      <c r="J43" s="84">
        <v>0</v>
      </c>
      <c r="K43" s="78" t="s">
        <v>91</v>
      </c>
      <c r="L43" s="78" t="s">
        <v>88</v>
      </c>
    </row>
    <row r="44" spans="1:12" x14ac:dyDescent="0.25">
      <c r="A44" s="78" t="s">
        <v>41</v>
      </c>
      <c r="C44" s="84">
        <v>3442</v>
      </c>
      <c r="D44" s="84">
        <v>6328.85</v>
      </c>
      <c r="E44" s="84">
        <v>1480</v>
      </c>
      <c r="F44" s="84">
        <v>2580</v>
      </c>
      <c r="G44" s="84">
        <v>1117</v>
      </c>
      <c r="H44" s="84">
        <v>2141.1666666666665</v>
      </c>
      <c r="I44" s="84">
        <v>426</v>
      </c>
      <c r="J44" s="84">
        <v>507.58333333333331</v>
      </c>
      <c r="K44" s="78" t="s">
        <v>87</v>
      </c>
      <c r="L44" s="78" t="s">
        <v>88</v>
      </c>
    </row>
    <row r="45" spans="1:12" x14ac:dyDescent="0.25">
      <c r="A45" s="78" t="s">
        <v>42</v>
      </c>
      <c r="C45" s="84">
        <v>2618</v>
      </c>
      <c r="D45" s="84">
        <v>7904</v>
      </c>
      <c r="E45" s="84">
        <v>1238</v>
      </c>
      <c r="F45" s="84">
        <v>3534</v>
      </c>
      <c r="G45" s="84" t="s">
        <v>162</v>
      </c>
      <c r="H45" s="84" t="s">
        <v>162</v>
      </c>
      <c r="I45" s="84">
        <v>9</v>
      </c>
      <c r="J45" s="84">
        <v>25</v>
      </c>
      <c r="K45" s="78" t="s">
        <v>91</v>
      </c>
      <c r="L45" s="78" t="s">
        <v>88</v>
      </c>
    </row>
    <row r="46" spans="1:12" x14ac:dyDescent="0.25">
      <c r="A46" s="78" t="s">
        <v>43</v>
      </c>
      <c r="C46" s="84">
        <v>5629</v>
      </c>
      <c r="D46" s="84">
        <v>7845</v>
      </c>
      <c r="E46" s="84">
        <v>0</v>
      </c>
      <c r="F46" s="84">
        <v>0</v>
      </c>
      <c r="G46" s="84">
        <v>0</v>
      </c>
      <c r="H46" s="84">
        <v>0</v>
      </c>
      <c r="I46" s="84">
        <v>767</v>
      </c>
      <c r="J46" s="84">
        <v>0</v>
      </c>
      <c r="K46" s="78" t="s">
        <v>91</v>
      </c>
      <c r="L46" s="78" t="s">
        <v>88</v>
      </c>
    </row>
    <row r="47" spans="1:12" x14ac:dyDescent="0.25">
      <c r="A47" s="78" t="s">
        <v>44</v>
      </c>
      <c r="C47" s="84">
        <v>27515</v>
      </c>
      <c r="D47" s="84">
        <v>18343.330000000002</v>
      </c>
      <c r="E47" s="84">
        <v>9895</v>
      </c>
      <c r="F47" s="84">
        <v>6596.66</v>
      </c>
      <c r="G47" s="84">
        <v>5618</v>
      </c>
      <c r="H47" s="84">
        <v>3745.33</v>
      </c>
      <c r="I47" s="84">
        <v>3</v>
      </c>
      <c r="J47" s="84">
        <v>2</v>
      </c>
      <c r="K47" s="78" t="s">
        <v>87</v>
      </c>
      <c r="L47" s="78" t="s">
        <v>92</v>
      </c>
    </row>
    <row r="48" spans="1:12" x14ac:dyDescent="0.25">
      <c r="A48" s="78" t="s">
        <v>45</v>
      </c>
      <c r="C48" s="84">
        <v>29630</v>
      </c>
      <c r="D48" s="84" t="s">
        <v>163</v>
      </c>
      <c r="E48" s="84">
        <v>13768</v>
      </c>
      <c r="F48" s="84">
        <v>0</v>
      </c>
      <c r="G48" s="84">
        <v>7400</v>
      </c>
      <c r="H48" s="84">
        <v>0</v>
      </c>
      <c r="I48" s="84">
        <v>0</v>
      </c>
      <c r="J48" s="84">
        <v>0</v>
      </c>
      <c r="K48" s="78" t="s">
        <v>90</v>
      </c>
      <c r="L48" s="78" t="s">
        <v>88</v>
      </c>
    </row>
    <row r="49" spans="1:12" x14ac:dyDescent="0.25">
      <c r="A49" s="78" t="s">
        <v>46</v>
      </c>
      <c r="C49" s="84">
        <v>1732</v>
      </c>
      <c r="D49" s="84">
        <v>4704.58</v>
      </c>
      <c r="E49" s="84">
        <v>981</v>
      </c>
      <c r="F49" s="84">
        <v>3105.37</v>
      </c>
      <c r="G49" s="84">
        <v>159</v>
      </c>
      <c r="H49" s="84">
        <v>376.28</v>
      </c>
      <c r="I49" s="84">
        <v>0</v>
      </c>
      <c r="J49" s="84">
        <v>0</v>
      </c>
      <c r="K49" s="78" t="s">
        <v>91</v>
      </c>
      <c r="L49" s="78" t="s">
        <v>88</v>
      </c>
    </row>
    <row r="50" spans="1:12" x14ac:dyDescent="0.25">
      <c r="A50" s="78" t="s">
        <v>47</v>
      </c>
      <c r="C50" s="84">
        <v>3340</v>
      </c>
      <c r="D50" s="84" t="s">
        <v>163</v>
      </c>
      <c r="E50" s="84">
        <v>1922</v>
      </c>
      <c r="F50" s="84">
        <v>0</v>
      </c>
      <c r="G50" s="84">
        <v>1326</v>
      </c>
      <c r="H50" s="84">
        <v>0</v>
      </c>
      <c r="I50" s="84">
        <v>89</v>
      </c>
      <c r="J50" s="84">
        <v>0</v>
      </c>
      <c r="K50" s="78" t="s">
        <v>87</v>
      </c>
      <c r="L50" s="78" t="s">
        <v>88</v>
      </c>
    </row>
    <row r="51" spans="1:12" x14ac:dyDescent="0.25">
      <c r="A51" s="78" t="s">
        <v>48</v>
      </c>
      <c r="C51" s="84">
        <v>30578</v>
      </c>
      <c r="D51" s="84">
        <v>13499</v>
      </c>
      <c r="E51" s="84">
        <v>12484</v>
      </c>
      <c r="F51" s="84">
        <v>5823</v>
      </c>
      <c r="G51" s="84">
        <v>4616</v>
      </c>
      <c r="H51" s="84">
        <v>2571</v>
      </c>
      <c r="I51" s="84">
        <v>19304</v>
      </c>
      <c r="J51" s="84">
        <v>3884</v>
      </c>
      <c r="K51" s="78" t="s">
        <v>87</v>
      </c>
      <c r="L51" s="78" t="s">
        <v>92</v>
      </c>
    </row>
    <row r="52" spans="1:12" x14ac:dyDescent="0.25">
      <c r="A52" s="78" t="s">
        <v>49</v>
      </c>
      <c r="C52" s="84">
        <v>3758</v>
      </c>
      <c r="D52" s="84">
        <v>3758</v>
      </c>
      <c r="E52" s="84">
        <v>2012</v>
      </c>
      <c r="F52" s="84">
        <v>2012</v>
      </c>
      <c r="G52" s="84">
        <v>527</v>
      </c>
      <c r="H52" s="84">
        <v>527</v>
      </c>
      <c r="I52" s="84">
        <v>164</v>
      </c>
      <c r="J52" s="84">
        <v>164</v>
      </c>
      <c r="K52" s="78" t="s">
        <v>90</v>
      </c>
      <c r="L52" s="78" t="s">
        <v>88</v>
      </c>
    </row>
    <row r="53" spans="1:12" x14ac:dyDescent="0.25">
      <c r="A53" s="78" t="s">
        <v>50</v>
      </c>
      <c r="C53" s="84">
        <v>22636</v>
      </c>
      <c r="D53" s="84">
        <v>90544</v>
      </c>
      <c r="E53" s="84">
        <v>10854</v>
      </c>
      <c r="F53" s="84">
        <v>43416</v>
      </c>
      <c r="G53" s="84">
        <v>7727</v>
      </c>
      <c r="H53" s="84">
        <v>30908</v>
      </c>
      <c r="I53" s="84">
        <v>0</v>
      </c>
      <c r="J53" s="84">
        <v>0</v>
      </c>
      <c r="K53" s="78" t="s">
        <v>87</v>
      </c>
      <c r="L53" s="78" t="s">
        <v>92</v>
      </c>
    </row>
    <row r="54" spans="1:12" x14ac:dyDescent="0.25">
      <c r="A54" s="78" t="s">
        <v>51</v>
      </c>
      <c r="C54" s="84">
        <v>5823</v>
      </c>
      <c r="D54" s="84">
        <v>10167</v>
      </c>
      <c r="E54" s="84">
        <v>2370</v>
      </c>
      <c r="F54" s="84">
        <v>3555</v>
      </c>
      <c r="G54" s="84">
        <v>1418</v>
      </c>
      <c r="H54" s="84">
        <v>2127</v>
      </c>
      <c r="I54" s="84">
        <v>0</v>
      </c>
      <c r="J54" s="84">
        <v>0</v>
      </c>
      <c r="K54" s="78" t="s">
        <v>90</v>
      </c>
      <c r="L54" s="78" t="s">
        <v>88</v>
      </c>
    </row>
    <row r="55" spans="1:12" x14ac:dyDescent="0.25">
      <c r="A55" s="78" t="s">
        <v>52</v>
      </c>
      <c r="C55" s="84">
        <v>55149</v>
      </c>
      <c r="D55" s="84">
        <v>48274</v>
      </c>
      <c r="E55" s="84">
        <v>20514</v>
      </c>
      <c r="F55" s="84">
        <v>18866</v>
      </c>
      <c r="G55" s="84">
        <v>3505</v>
      </c>
      <c r="H55" s="84">
        <v>4035</v>
      </c>
      <c r="I55" s="84">
        <v>133</v>
      </c>
      <c r="J55" s="84">
        <v>146</v>
      </c>
      <c r="K55" s="78" t="s">
        <v>87</v>
      </c>
      <c r="L55" s="78" t="s">
        <v>92</v>
      </c>
    </row>
    <row r="56" spans="1:12" x14ac:dyDescent="0.25">
      <c r="C56" s="84"/>
      <c r="D56" s="84"/>
      <c r="E56" s="84"/>
      <c r="F56" s="84"/>
      <c r="G56" s="84"/>
      <c r="H56" s="84"/>
      <c r="I56" s="84"/>
      <c r="J56" s="84"/>
    </row>
    <row r="57" spans="1:12" x14ac:dyDescent="0.25">
      <c r="A57" s="78" t="s">
        <v>164</v>
      </c>
      <c r="C57" s="84"/>
      <c r="D57" s="84"/>
      <c r="E57" s="84"/>
      <c r="F57" s="84"/>
      <c r="G57" s="84"/>
      <c r="H57" s="84"/>
      <c r="I57" s="84"/>
      <c r="J57" s="84"/>
    </row>
    <row r="58" spans="1:12" ht="10.4" customHeight="1" x14ac:dyDescent="0.25">
      <c r="A58" s="78" t="s">
        <v>45</v>
      </c>
      <c r="D58" s="85">
        <v>21774.154940927918</v>
      </c>
      <c r="K58" s="78" t="s">
        <v>90</v>
      </c>
      <c r="L58" s="78" t="s">
        <v>88</v>
      </c>
    </row>
    <row r="59" spans="1:12" ht="10.4" customHeight="1" x14ac:dyDescent="0.25">
      <c r="A59" s="78" t="s">
        <v>47</v>
      </c>
      <c r="D59" s="85">
        <v>2454.4609349544126</v>
      </c>
      <c r="K59" s="78" t="s">
        <v>87</v>
      </c>
      <c r="L59" s="78" t="s">
        <v>88</v>
      </c>
    </row>
    <row r="60" spans="1:12" ht="10.4" customHeight="1" x14ac:dyDescent="0.25"/>
    <row r="61" spans="1:12" ht="10.4" customHeight="1" x14ac:dyDescent="0.25"/>
    <row r="62" spans="1:12" ht="10.4" customHeight="1" x14ac:dyDescent="0.25"/>
    <row r="63" spans="1:12" ht="10.4" customHeight="1" x14ac:dyDescent="0.25"/>
    <row r="64" spans="1:12" ht="10.4" customHeight="1" x14ac:dyDescent="0.25"/>
    <row r="65" ht="10.4" customHeight="1" x14ac:dyDescent="0.25"/>
    <row r="66" ht="10.4" customHeight="1" x14ac:dyDescent="0.25"/>
    <row r="67" ht="10.4" customHeight="1" x14ac:dyDescent="0.25"/>
    <row r="68" ht="10.4" customHeight="1" x14ac:dyDescent="0.25"/>
  </sheetData>
  <mergeCells count="10">
    <mergeCell ref="O4:P4"/>
    <mergeCell ref="Q4:R4"/>
    <mergeCell ref="S4:T4"/>
    <mergeCell ref="U4:V4"/>
    <mergeCell ref="A1:J1"/>
    <mergeCell ref="A2:A3"/>
    <mergeCell ref="C2:D2"/>
    <mergeCell ref="E2:F2"/>
    <mergeCell ref="G2:H2"/>
    <mergeCell ref="I2:J2"/>
  </mergeCells>
  <pageMargins left="0.7" right="0.7" top="0.75" bottom="0.75" header="0.3" footer="0.3"/>
  <pageSetup paperSize="9" orientation="portrait" r:id="rId1"/>
  <headerFooter>
    <oddHeader>&amp;C&amp;"Aptos"&amp;10&amp;K000000 OFFICIAL&amp;1#_x000D_</oddHeader>
    <oddFooter>&amp;C_x000D_&amp;1#&amp;"Aptos"&amp;10&amp;K000000 OFFICIAL</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F6EDAA-EC7D-47BE-82C6-AF7562D06CD4}">
  <sheetPr>
    <tabColor theme="9" tint="0.79998168889431442"/>
  </sheetPr>
  <dimension ref="A1:V68"/>
  <sheetViews>
    <sheetView workbookViewId="0">
      <selection activeCell="L18" sqref="L18"/>
    </sheetView>
  </sheetViews>
  <sheetFormatPr defaultColWidth="8.81640625" defaultRowHeight="10.5" x14ac:dyDescent="0.25"/>
  <cols>
    <col min="1" max="1" width="21" style="78" bestFit="1" customWidth="1"/>
    <col min="2" max="2" width="4.453125" style="78" customWidth="1"/>
    <col min="3" max="10" width="8.81640625" style="78"/>
    <col min="11" max="11" width="18.453125" style="78" bestFit="1" customWidth="1"/>
    <col min="12" max="12" width="15.81640625" style="78" bestFit="1" customWidth="1"/>
    <col min="13" max="13" width="8.81640625" style="78"/>
    <col min="14" max="14" width="19.54296875" style="78" bestFit="1" customWidth="1"/>
    <col min="15" max="16384" width="8.81640625" style="78"/>
  </cols>
  <sheetData>
    <row r="1" spans="1:22" ht="41.9" customHeight="1" x14ac:dyDescent="0.25">
      <c r="A1" s="241"/>
      <c r="B1" s="241"/>
      <c r="C1" s="241"/>
      <c r="D1" s="241"/>
      <c r="E1" s="241"/>
      <c r="F1" s="241"/>
      <c r="G1" s="241"/>
      <c r="H1" s="241"/>
      <c r="I1" s="241"/>
      <c r="J1" s="241"/>
    </row>
    <row r="2" spans="1:22" ht="36.65" customHeight="1" x14ac:dyDescent="0.25">
      <c r="A2" s="242"/>
      <c r="B2" s="79"/>
      <c r="C2" s="238" t="s">
        <v>150</v>
      </c>
      <c r="D2" s="239"/>
      <c r="E2" s="240" t="s">
        <v>151</v>
      </c>
      <c r="F2" s="240"/>
      <c r="G2" s="240" t="s">
        <v>152</v>
      </c>
      <c r="H2" s="240"/>
      <c r="I2" s="238" t="s">
        <v>153</v>
      </c>
      <c r="J2" s="239"/>
    </row>
    <row r="3" spans="1:22" ht="27.65" customHeight="1" x14ac:dyDescent="0.25">
      <c r="A3" s="243"/>
      <c r="B3" s="80"/>
      <c r="C3" s="81" t="s">
        <v>127</v>
      </c>
      <c r="D3" s="81" t="s">
        <v>128</v>
      </c>
      <c r="E3" s="81" t="s">
        <v>127</v>
      </c>
      <c r="F3" s="81" t="s">
        <v>128</v>
      </c>
      <c r="G3" s="81" t="s">
        <v>127</v>
      </c>
      <c r="H3" s="81" t="s">
        <v>128</v>
      </c>
      <c r="I3" s="81" t="s">
        <v>127</v>
      </c>
      <c r="J3" s="81" t="s">
        <v>128</v>
      </c>
    </row>
    <row r="4" spans="1:22" x14ac:dyDescent="0.25">
      <c r="O4" s="238" t="s">
        <v>150</v>
      </c>
      <c r="P4" s="239"/>
      <c r="Q4" s="240" t="s">
        <v>151</v>
      </c>
      <c r="R4" s="240"/>
      <c r="S4" s="240" t="s">
        <v>152</v>
      </c>
      <c r="T4" s="240"/>
      <c r="U4" s="238" t="s">
        <v>153</v>
      </c>
      <c r="V4" s="239"/>
    </row>
    <row r="5" spans="1:22" x14ac:dyDescent="0.25">
      <c r="O5" s="81" t="s">
        <v>127</v>
      </c>
      <c r="P5" s="81" t="s">
        <v>128</v>
      </c>
      <c r="Q5" s="81" t="s">
        <v>127</v>
      </c>
      <c r="R5" s="81" t="s">
        <v>128</v>
      </c>
      <c r="S5" s="81" t="s">
        <v>127</v>
      </c>
      <c r="T5" s="81" t="s">
        <v>128</v>
      </c>
      <c r="U5" s="81" t="s">
        <v>127</v>
      </c>
      <c r="V5" s="81" t="s">
        <v>128</v>
      </c>
    </row>
    <row r="6" spans="1:22" x14ac:dyDescent="0.25">
      <c r="A6" s="82" t="s">
        <v>76</v>
      </c>
      <c r="B6" s="82"/>
      <c r="C6" s="83">
        <f t="shared" ref="C6:J6" si="0">SUM(C12:C60)</f>
        <v>626706</v>
      </c>
      <c r="D6" s="83">
        <f t="shared" si="0"/>
        <v>732606.06608912186</v>
      </c>
      <c r="E6" s="83">
        <f t="shared" si="0"/>
        <v>253565</v>
      </c>
      <c r="F6" s="83">
        <f t="shared" si="0"/>
        <v>298424.64666666667</v>
      </c>
      <c r="G6" s="83">
        <f t="shared" si="0"/>
        <v>110712</v>
      </c>
      <c r="H6" s="83">
        <f t="shared" si="0"/>
        <v>143379.57666666666</v>
      </c>
      <c r="I6" s="83">
        <f t="shared" si="0"/>
        <v>45313</v>
      </c>
      <c r="J6" s="83">
        <f t="shared" si="0"/>
        <v>31941.99</v>
      </c>
      <c r="N6" s="78" t="s">
        <v>82</v>
      </c>
      <c r="O6" s="78">
        <v>6013</v>
      </c>
      <c r="P6" s="78">
        <v>27451</v>
      </c>
      <c r="Q6" s="78">
        <v>4295</v>
      </c>
      <c r="R6" s="78">
        <v>11257</v>
      </c>
      <c r="S6" s="78">
        <v>0</v>
      </c>
      <c r="T6" s="78">
        <v>0</v>
      </c>
      <c r="U6" s="78">
        <v>523</v>
      </c>
      <c r="V6" s="78">
        <v>603</v>
      </c>
    </row>
    <row r="7" spans="1:22" x14ac:dyDescent="0.25">
      <c r="A7" s="82" t="s">
        <v>88</v>
      </c>
      <c r="B7" s="82"/>
      <c r="C7" s="83">
        <f t="shared" ref="C7:J8" si="1">SUMIF($L$12:$L$60,$A7,C$12:C$60)</f>
        <v>322477</v>
      </c>
      <c r="D7" s="83">
        <f t="shared" si="1"/>
        <v>360224.96608912182</v>
      </c>
      <c r="E7" s="83">
        <f t="shared" si="1"/>
        <v>137688</v>
      </c>
      <c r="F7" s="83">
        <f t="shared" si="1"/>
        <v>146920.78</v>
      </c>
      <c r="G7" s="83">
        <f t="shared" si="1"/>
        <v>59641</v>
      </c>
      <c r="H7" s="83">
        <f t="shared" si="1"/>
        <v>59492.81</v>
      </c>
      <c r="I7" s="83">
        <f t="shared" si="1"/>
        <v>19057</v>
      </c>
      <c r="J7" s="83">
        <f t="shared" si="1"/>
        <v>13928.99</v>
      </c>
      <c r="N7" s="78" t="s">
        <v>83</v>
      </c>
      <c r="O7" s="78">
        <v>492</v>
      </c>
      <c r="P7" s="78">
        <v>355</v>
      </c>
      <c r="Q7" s="78">
        <v>298</v>
      </c>
      <c r="R7" s="78">
        <v>217.5</v>
      </c>
      <c r="S7" s="78" t="s">
        <v>162</v>
      </c>
      <c r="T7" s="78" t="s">
        <v>162</v>
      </c>
      <c r="U7" s="78">
        <v>187</v>
      </c>
      <c r="V7" s="78" t="s">
        <v>162</v>
      </c>
    </row>
    <row r="8" spans="1:22" x14ac:dyDescent="0.25">
      <c r="A8" s="82" t="s">
        <v>92</v>
      </c>
      <c r="B8" s="82"/>
      <c r="C8" s="83">
        <f t="shared" si="1"/>
        <v>304229</v>
      </c>
      <c r="D8" s="83">
        <f t="shared" si="1"/>
        <v>372381.1</v>
      </c>
      <c r="E8" s="83">
        <f t="shared" si="1"/>
        <v>115877</v>
      </c>
      <c r="F8" s="83">
        <f t="shared" si="1"/>
        <v>151503.86666666667</v>
      </c>
      <c r="G8" s="83">
        <f t="shared" si="1"/>
        <v>51071</v>
      </c>
      <c r="H8" s="83">
        <f t="shared" si="1"/>
        <v>83886.766666666663</v>
      </c>
      <c r="I8" s="83">
        <f t="shared" si="1"/>
        <v>26256</v>
      </c>
      <c r="J8" s="83">
        <f t="shared" si="1"/>
        <v>18013</v>
      </c>
      <c r="N8" s="78" t="s">
        <v>93</v>
      </c>
      <c r="O8" s="78">
        <f>SUM(O6:O7)</f>
        <v>6505</v>
      </c>
      <c r="P8" s="78">
        <f t="shared" ref="P8:V8" si="2">SUM(P6:P7)</f>
        <v>27806</v>
      </c>
      <c r="Q8" s="78">
        <f t="shared" si="2"/>
        <v>4593</v>
      </c>
      <c r="R8" s="78">
        <f t="shared" si="2"/>
        <v>11474.5</v>
      </c>
      <c r="S8" s="78">
        <f t="shared" si="2"/>
        <v>0</v>
      </c>
      <c r="T8" s="78">
        <f t="shared" si="2"/>
        <v>0</v>
      </c>
      <c r="U8" s="78">
        <f t="shared" si="2"/>
        <v>710</v>
      </c>
      <c r="V8" s="78">
        <f t="shared" si="2"/>
        <v>603</v>
      </c>
    </row>
    <row r="9" spans="1:22" x14ac:dyDescent="0.25">
      <c r="A9" s="82" t="s">
        <v>87</v>
      </c>
      <c r="B9" s="82"/>
      <c r="C9" s="83">
        <f t="shared" ref="C9:J11" si="3">SUMIF($K$12:$K$60,$A9,C$12:C$60)</f>
        <v>392299</v>
      </c>
      <c r="D9" s="83">
        <f t="shared" si="3"/>
        <v>475689.68421983917</v>
      </c>
      <c r="E9" s="83">
        <f t="shared" si="3"/>
        <v>148614</v>
      </c>
      <c r="F9" s="83">
        <f t="shared" si="3"/>
        <v>192118.38666666666</v>
      </c>
      <c r="G9" s="83">
        <f t="shared" si="3"/>
        <v>69105</v>
      </c>
      <c r="H9" s="83">
        <f t="shared" si="3"/>
        <v>106484.09666666668</v>
      </c>
      <c r="I9" s="83">
        <f t="shared" si="3"/>
        <v>30717</v>
      </c>
      <c r="J9" s="83">
        <f t="shared" si="3"/>
        <v>19369</v>
      </c>
    </row>
    <row r="10" spans="1:22" x14ac:dyDescent="0.25">
      <c r="A10" s="82" t="s">
        <v>90</v>
      </c>
      <c r="B10" s="82"/>
      <c r="C10" s="83">
        <f t="shared" si="3"/>
        <v>157874</v>
      </c>
      <c r="D10" s="83">
        <f t="shared" si="3"/>
        <v>177068.03186928274</v>
      </c>
      <c r="E10" s="83">
        <f t="shared" si="3"/>
        <v>82924</v>
      </c>
      <c r="F10" s="83">
        <f t="shared" si="3"/>
        <v>79205.260000000009</v>
      </c>
      <c r="G10" s="83">
        <f t="shared" si="3"/>
        <v>37710</v>
      </c>
      <c r="H10" s="83">
        <f t="shared" si="3"/>
        <v>31850.48</v>
      </c>
      <c r="I10" s="83">
        <f t="shared" si="3"/>
        <v>12292</v>
      </c>
      <c r="J10" s="83">
        <f t="shared" si="3"/>
        <v>12291.84</v>
      </c>
    </row>
    <row r="11" spans="1:22" x14ac:dyDescent="0.25">
      <c r="A11" s="82" t="s">
        <v>91</v>
      </c>
      <c r="B11" s="82"/>
      <c r="C11" s="83">
        <f t="shared" si="3"/>
        <v>76533</v>
      </c>
      <c r="D11" s="83">
        <f t="shared" si="3"/>
        <v>79848.350000000006</v>
      </c>
      <c r="E11" s="83">
        <f t="shared" si="3"/>
        <v>22027</v>
      </c>
      <c r="F11" s="83">
        <f t="shared" si="3"/>
        <v>27101</v>
      </c>
      <c r="G11" s="83">
        <f t="shared" si="3"/>
        <v>3897</v>
      </c>
      <c r="H11" s="83">
        <f t="shared" si="3"/>
        <v>5045</v>
      </c>
      <c r="I11" s="83">
        <f t="shared" si="3"/>
        <v>2304</v>
      </c>
      <c r="J11" s="83">
        <f t="shared" si="3"/>
        <v>281.14999999999998</v>
      </c>
    </row>
    <row r="12" spans="1:22" x14ac:dyDescent="0.25">
      <c r="A12" s="78" t="s">
        <v>8</v>
      </c>
      <c r="C12" s="84">
        <v>5666</v>
      </c>
      <c r="D12" s="84">
        <v>3856.25</v>
      </c>
      <c r="E12" s="84">
        <v>3220</v>
      </c>
      <c r="F12" s="84">
        <v>2191.52</v>
      </c>
      <c r="G12" s="84">
        <v>2034</v>
      </c>
      <c r="H12" s="84">
        <v>1385.33</v>
      </c>
      <c r="I12" s="84">
        <v>1167</v>
      </c>
      <c r="J12" s="84" t="s">
        <v>162</v>
      </c>
      <c r="K12" s="78" t="s">
        <v>87</v>
      </c>
      <c r="L12" s="78" t="s">
        <v>88</v>
      </c>
    </row>
    <row r="13" spans="1:22" x14ac:dyDescent="0.25">
      <c r="A13" s="78" t="s">
        <v>11</v>
      </c>
      <c r="C13" s="84">
        <v>3608</v>
      </c>
      <c r="D13" s="84">
        <v>4383</v>
      </c>
      <c r="E13" s="84" t="s">
        <v>162</v>
      </c>
      <c r="F13" s="84" t="s">
        <v>162</v>
      </c>
      <c r="G13" s="84" t="s">
        <v>162</v>
      </c>
      <c r="H13" s="84" t="s">
        <v>162</v>
      </c>
      <c r="I13" s="84">
        <v>1026</v>
      </c>
      <c r="J13" s="84" t="s">
        <v>162</v>
      </c>
      <c r="K13" s="78" t="s">
        <v>90</v>
      </c>
      <c r="L13" s="78" t="s">
        <v>88</v>
      </c>
    </row>
    <row r="14" spans="1:22" x14ac:dyDescent="0.25">
      <c r="A14" s="78" t="s">
        <v>12</v>
      </c>
      <c r="C14" s="84">
        <v>5944</v>
      </c>
      <c r="D14" s="84">
        <v>11888</v>
      </c>
      <c r="E14" s="84">
        <v>4107</v>
      </c>
      <c r="F14" s="84">
        <v>8214</v>
      </c>
      <c r="G14" s="84">
        <v>1649</v>
      </c>
      <c r="H14" s="84">
        <v>3298</v>
      </c>
      <c r="I14" s="84" t="s">
        <v>162</v>
      </c>
      <c r="J14" s="84" t="s">
        <v>162</v>
      </c>
      <c r="K14" s="78" t="s">
        <v>87</v>
      </c>
      <c r="L14" s="78" t="s">
        <v>88</v>
      </c>
    </row>
    <row r="15" spans="1:22" x14ac:dyDescent="0.25">
      <c r="A15" s="78" t="s">
        <v>13</v>
      </c>
      <c r="C15" s="84">
        <v>5934</v>
      </c>
      <c r="D15" s="84">
        <v>3956</v>
      </c>
      <c r="E15" s="84">
        <v>1415</v>
      </c>
      <c r="F15" s="84">
        <v>943</v>
      </c>
      <c r="G15" s="84">
        <v>523</v>
      </c>
      <c r="H15" s="84">
        <v>349</v>
      </c>
      <c r="I15" s="84">
        <v>0</v>
      </c>
      <c r="J15" s="84" t="s">
        <v>162</v>
      </c>
      <c r="K15" s="78" t="s">
        <v>90</v>
      </c>
      <c r="L15" s="78" t="s">
        <v>88</v>
      </c>
    </row>
    <row r="16" spans="1:22" x14ac:dyDescent="0.25">
      <c r="A16" s="78" t="s">
        <v>14</v>
      </c>
      <c r="C16" s="84">
        <v>4633</v>
      </c>
      <c r="D16" s="84">
        <v>4670</v>
      </c>
      <c r="E16" s="84">
        <v>2415</v>
      </c>
      <c r="F16" s="84">
        <v>2965</v>
      </c>
      <c r="G16" s="84">
        <v>2010</v>
      </c>
      <c r="H16" s="84">
        <v>2686</v>
      </c>
      <c r="I16" s="84">
        <v>0</v>
      </c>
      <c r="J16" s="84">
        <v>0</v>
      </c>
      <c r="K16" s="78" t="s">
        <v>91</v>
      </c>
      <c r="L16" s="78" t="s">
        <v>88</v>
      </c>
    </row>
    <row r="17" spans="1:12" x14ac:dyDescent="0.25">
      <c r="A17" s="78" t="s">
        <v>15</v>
      </c>
      <c r="C17" s="84">
        <v>27206</v>
      </c>
      <c r="D17" s="84">
        <v>11671</v>
      </c>
      <c r="E17" s="84">
        <v>22273</v>
      </c>
      <c r="F17" s="84">
        <v>9251</v>
      </c>
      <c r="G17" s="84">
        <v>10240</v>
      </c>
      <c r="H17" s="84">
        <v>5304</v>
      </c>
      <c r="I17" s="84">
        <v>0</v>
      </c>
      <c r="J17" s="84">
        <v>0</v>
      </c>
      <c r="K17" s="78" t="s">
        <v>90</v>
      </c>
      <c r="L17" s="78" t="s">
        <v>88</v>
      </c>
    </row>
    <row r="18" spans="1:12" x14ac:dyDescent="0.25">
      <c r="A18" s="78" t="s">
        <v>16</v>
      </c>
      <c r="C18" s="84">
        <v>21053</v>
      </c>
      <c r="D18" s="84" t="s">
        <v>163</v>
      </c>
      <c r="E18" s="84">
        <v>1427</v>
      </c>
      <c r="F18" s="84">
        <v>0</v>
      </c>
      <c r="G18" s="84">
        <v>0</v>
      </c>
      <c r="H18" s="84">
        <v>0</v>
      </c>
      <c r="I18" s="84">
        <v>1218</v>
      </c>
      <c r="J18" s="84">
        <v>0</v>
      </c>
      <c r="K18" s="78" t="s">
        <v>87</v>
      </c>
      <c r="L18" s="78" t="s">
        <v>88</v>
      </c>
    </row>
    <row r="19" spans="1:12" x14ac:dyDescent="0.25">
      <c r="A19" s="78" t="s">
        <v>17</v>
      </c>
      <c r="C19" s="84">
        <v>4107</v>
      </c>
      <c r="D19" s="84">
        <v>3012</v>
      </c>
      <c r="E19" s="84" t="s">
        <v>162</v>
      </c>
      <c r="F19" s="84" t="s">
        <v>162</v>
      </c>
      <c r="G19" s="84" t="s">
        <v>162</v>
      </c>
      <c r="H19" s="84" t="s">
        <v>162</v>
      </c>
      <c r="I19" s="84">
        <v>1200</v>
      </c>
      <c r="J19" s="84">
        <v>220</v>
      </c>
      <c r="K19" s="78" t="s">
        <v>91</v>
      </c>
      <c r="L19" s="78" t="s">
        <v>88</v>
      </c>
    </row>
    <row r="20" spans="1:12" x14ac:dyDescent="0.25">
      <c r="A20" s="78" t="s">
        <v>18</v>
      </c>
      <c r="C20" s="84">
        <v>15575</v>
      </c>
      <c r="D20" s="84">
        <v>12246</v>
      </c>
      <c r="E20" s="84">
        <v>3116</v>
      </c>
      <c r="F20" s="84">
        <v>2617</v>
      </c>
      <c r="G20" s="84" t="s">
        <v>162</v>
      </c>
      <c r="H20" s="84" t="s">
        <v>162</v>
      </c>
      <c r="I20" s="84">
        <v>0</v>
      </c>
      <c r="J20" s="84">
        <v>0</v>
      </c>
      <c r="K20" s="78" t="s">
        <v>91</v>
      </c>
      <c r="L20" s="78" t="s">
        <v>88</v>
      </c>
    </row>
    <row r="21" spans="1:12" x14ac:dyDescent="0.25">
      <c r="A21" s="85" t="s">
        <v>19</v>
      </c>
      <c r="C21" s="84">
        <v>9785</v>
      </c>
      <c r="D21" s="84">
        <v>14696</v>
      </c>
      <c r="E21" s="84">
        <v>5331</v>
      </c>
      <c r="F21" s="84">
        <v>8028</v>
      </c>
      <c r="G21" s="84">
        <v>1843</v>
      </c>
      <c r="H21" s="84">
        <v>1843</v>
      </c>
      <c r="I21" s="84">
        <v>7654</v>
      </c>
      <c r="J21" s="84">
        <v>9236</v>
      </c>
      <c r="K21" s="78" t="s">
        <v>90</v>
      </c>
      <c r="L21" s="78" t="s">
        <v>88</v>
      </c>
    </row>
    <row r="22" spans="1:12" x14ac:dyDescent="0.25">
      <c r="A22" s="85" t="s">
        <v>20</v>
      </c>
      <c r="C22" s="84">
        <v>3477</v>
      </c>
      <c r="D22" s="84">
        <v>4800</v>
      </c>
      <c r="E22" s="84" t="s">
        <v>162</v>
      </c>
      <c r="F22" s="84" t="s">
        <v>162</v>
      </c>
      <c r="G22" s="84" t="s">
        <v>162</v>
      </c>
      <c r="H22" s="84" t="s">
        <v>162</v>
      </c>
      <c r="I22" s="84">
        <v>0</v>
      </c>
      <c r="J22" s="84">
        <v>0</v>
      </c>
      <c r="K22" s="78" t="s">
        <v>91</v>
      </c>
      <c r="L22" s="78" t="s">
        <v>88</v>
      </c>
    </row>
    <row r="23" spans="1:12" x14ac:dyDescent="0.25">
      <c r="A23" s="85" t="s">
        <v>21</v>
      </c>
      <c r="C23" s="84">
        <v>13944</v>
      </c>
      <c r="D23" s="84">
        <v>17436</v>
      </c>
      <c r="E23" s="84">
        <v>8119</v>
      </c>
      <c r="F23" s="84">
        <v>10800</v>
      </c>
      <c r="G23" s="84">
        <v>584</v>
      </c>
      <c r="H23" s="84">
        <v>584</v>
      </c>
      <c r="I23" s="84">
        <v>564</v>
      </c>
      <c r="J23" s="84">
        <v>558</v>
      </c>
      <c r="K23" s="78" t="s">
        <v>90</v>
      </c>
      <c r="L23" s="78" t="s">
        <v>88</v>
      </c>
    </row>
    <row r="24" spans="1:12" x14ac:dyDescent="0.25">
      <c r="A24" s="78" t="s">
        <v>22</v>
      </c>
      <c r="C24" s="84">
        <v>15955</v>
      </c>
      <c r="D24" s="84">
        <v>11202</v>
      </c>
      <c r="E24" s="84">
        <v>5228</v>
      </c>
      <c r="F24" s="84">
        <v>3671</v>
      </c>
      <c r="G24" s="84">
        <v>359</v>
      </c>
      <c r="H24" s="84">
        <v>252</v>
      </c>
      <c r="I24" s="84">
        <v>0</v>
      </c>
      <c r="J24" s="84">
        <v>0</v>
      </c>
      <c r="K24" s="78" t="s">
        <v>91</v>
      </c>
      <c r="L24" s="78" t="s">
        <v>88</v>
      </c>
    </row>
    <row r="25" spans="1:12" x14ac:dyDescent="0.25">
      <c r="A25" s="78" t="s">
        <v>23</v>
      </c>
      <c r="C25" s="84">
        <v>10523</v>
      </c>
      <c r="D25" s="84">
        <v>21268.5</v>
      </c>
      <c r="E25" s="84">
        <v>6224</v>
      </c>
      <c r="F25" s="84">
        <v>11971.75</v>
      </c>
      <c r="G25" s="84">
        <v>5014</v>
      </c>
      <c r="H25" s="84">
        <v>9571.5</v>
      </c>
      <c r="I25" s="84" t="s">
        <v>162</v>
      </c>
      <c r="J25" s="84" t="s">
        <v>162</v>
      </c>
      <c r="K25" s="78" t="s">
        <v>90</v>
      </c>
      <c r="L25" s="78" t="s">
        <v>88</v>
      </c>
    </row>
    <row r="26" spans="1:12" x14ac:dyDescent="0.25">
      <c r="A26" s="78" t="s">
        <v>24</v>
      </c>
      <c r="C26" s="84">
        <v>5492</v>
      </c>
      <c r="D26" s="84">
        <v>6208.96</v>
      </c>
      <c r="E26" s="84">
        <v>3425</v>
      </c>
      <c r="F26" s="84">
        <v>4054.26</v>
      </c>
      <c r="G26" s="84">
        <v>1113</v>
      </c>
      <c r="H26" s="84">
        <v>1335.98</v>
      </c>
      <c r="I26" s="84">
        <v>330</v>
      </c>
      <c r="J26" s="84">
        <v>263.83999999999997</v>
      </c>
      <c r="K26" s="78" t="s">
        <v>90</v>
      </c>
      <c r="L26" s="78" t="s">
        <v>88</v>
      </c>
    </row>
    <row r="27" spans="1:12" x14ac:dyDescent="0.25">
      <c r="A27" s="78" t="s">
        <v>25</v>
      </c>
      <c r="C27" s="84">
        <v>3635</v>
      </c>
      <c r="D27" s="84">
        <v>3692</v>
      </c>
      <c r="E27" s="84">
        <v>2008</v>
      </c>
      <c r="F27" s="84">
        <v>2344</v>
      </c>
      <c r="G27" s="84">
        <v>1000</v>
      </c>
      <c r="H27" s="84">
        <v>1605</v>
      </c>
      <c r="I27" s="84">
        <v>0</v>
      </c>
      <c r="J27" s="84">
        <v>0</v>
      </c>
      <c r="K27" s="78" t="s">
        <v>90</v>
      </c>
      <c r="L27" s="78" t="s">
        <v>88</v>
      </c>
    </row>
    <row r="28" spans="1:12" x14ac:dyDescent="0.25">
      <c r="A28" s="78" t="s">
        <v>26</v>
      </c>
      <c r="C28" s="84">
        <v>83945</v>
      </c>
      <c r="D28" s="84">
        <v>83945</v>
      </c>
      <c r="E28" s="84">
        <v>35961</v>
      </c>
      <c r="F28" s="84">
        <v>35961</v>
      </c>
      <c r="G28" s="84">
        <v>26876</v>
      </c>
      <c r="H28" s="84">
        <v>26876</v>
      </c>
      <c r="I28" s="84">
        <v>537</v>
      </c>
      <c r="J28" s="84">
        <v>537</v>
      </c>
      <c r="K28" s="78" t="s">
        <v>87</v>
      </c>
      <c r="L28" s="78" t="s">
        <v>92</v>
      </c>
    </row>
    <row r="29" spans="1:12" x14ac:dyDescent="0.25">
      <c r="A29" s="78" t="s">
        <v>27</v>
      </c>
      <c r="C29" s="84">
        <v>49246</v>
      </c>
      <c r="D29" s="84">
        <v>45914</v>
      </c>
      <c r="E29" s="84">
        <v>8917</v>
      </c>
      <c r="F29" s="84">
        <v>9857</v>
      </c>
      <c r="G29" s="84" t="s">
        <v>162</v>
      </c>
      <c r="H29" s="84" t="s">
        <v>162</v>
      </c>
      <c r="I29" s="84">
        <v>817</v>
      </c>
      <c r="J29" s="84">
        <v>920</v>
      </c>
      <c r="K29" s="78" t="s">
        <v>87</v>
      </c>
      <c r="L29" s="78" t="s">
        <v>92</v>
      </c>
    </row>
    <row r="30" spans="1:12" x14ac:dyDescent="0.25">
      <c r="A30" s="78" t="s">
        <v>93</v>
      </c>
      <c r="C30" s="84">
        <v>6505</v>
      </c>
      <c r="D30" s="84">
        <v>27806</v>
      </c>
      <c r="E30" s="84">
        <v>4593</v>
      </c>
      <c r="F30" s="84">
        <v>11474.5</v>
      </c>
      <c r="G30" s="84">
        <v>0</v>
      </c>
      <c r="H30" s="84">
        <v>0</v>
      </c>
      <c r="I30" s="84">
        <v>710</v>
      </c>
      <c r="J30" s="84">
        <v>603</v>
      </c>
      <c r="K30" s="78" t="s">
        <v>90</v>
      </c>
      <c r="L30" s="78" t="s">
        <v>88</v>
      </c>
    </row>
    <row r="31" spans="1:12" x14ac:dyDescent="0.25">
      <c r="A31" s="78" t="s">
        <v>28</v>
      </c>
      <c r="C31" s="84">
        <v>3732</v>
      </c>
      <c r="D31" s="84">
        <v>6157</v>
      </c>
      <c r="E31" s="84">
        <v>2023</v>
      </c>
      <c r="F31" s="84">
        <v>3365</v>
      </c>
      <c r="G31" s="84" t="s">
        <v>162</v>
      </c>
      <c r="H31" s="84" t="s">
        <v>162</v>
      </c>
      <c r="I31" s="84">
        <v>0</v>
      </c>
      <c r="J31" s="84">
        <v>0</v>
      </c>
      <c r="K31" s="78" t="s">
        <v>90</v>
      </c>
      <c r="L31" s="78" t="s">
        <v>88</v>
      </c>
    </row>
    <row r="32" spans="1:12" x14ac:dyDescent="0.25">
      <c r="A32" s="78" t="s">
        <v>29</v>
      </c>
      <c r="C32" s="84">
        <v>7574</v>
      </c>
      <c r="D32" s="84">
        <v>14363</v>
      </c>
      <c r="E32" s="84">
        <v>1815</v>
      </c>
      <c r="F32" s="84">
        <v>3493</v>
      </c>
      <c r="G32" s="84">
        <v>1073</v>
      </c>
      <c r="H32" s="84">
        <v>1870</v>
      </c>
      <c r="I32" s="84">
        <v>1305</v>
      </c>
      <c r="J32" s="84">
        <v>719</v>
      </c>
      <c r="K32" s="78" t="s">
        <v>87</v>
      </c>
      <c r="L32" s="78" t="s">
        <v>88</v>
      </c>
    </row>
    <row r="33" spans="1:12" x14ac:dyDescent="0.25">
      <c r="A33" s="78" t="s">
        <v>30</v>
      </c>
      <c r="C33" s="84">
        <v>11232</v>
      </c>
      <c r="D33" s="84">
        <v>11623</v>
      </c>
      <c r="E33" s="84">
        <v>4739</v>
      </c>
      <c r="F33" s="84">
        <v>5022</v>
      </c>
      <c r="G33" s="84">
        <v>2353</v>
      </c>
      <c r="H33" s="84">
        <v>2581</v>
      </c>
      <c r="I33" s="84">
        <v>0</v>
      </c>
      <c r="J33" s="84">
        <v>0</v>
      </c>
      <c r="K33" s="78" t="s">
        <v>90</v>
      </c>
      <c r="L33" s="78" t="s">
        <v>88</v>
      </c>
    </row>
    <row r="34" spans="1:12" x14ac:dyDescent="0.25">
      <c r="A34" s="78" t="s">
        <v>94</v>
      </c>
      <c r="C34" s="84">
        <v>120</v>
      </c>
      <c r="D34" s="84">
        <v>65</v>
      </c>
      <c r="E34" s="84" t="s">
        <v>162</v>
      </c>
      <c r="F34" s="84" t="s">
        <v>162</v>
      </c>
      <c r="G34" s="84" t="s">
        <v>162</v>
      </c>
      <c r="H34" s="84" t="s">
        <v>162</v>
      </c>
      <c r="I34" s="84">
        <v>0</v>
      </c>
      <c r="J34" s="84">
        <v>0</v>
      </c>
      <c r="K34" s="78" t="s">
        <v>91</v>
      </c>
      <c r="L34" s="78" t="s">
        <v>88</v>
      </c>
    </row>
    <row r="35" spans="1:12" x14ac:dyDescent="0.25">
      <c r="A35" s="78" t="s">
        <v>32</v>
      </c>
      <c r="C35" s="84">
        <v>10032</v>
      </c>
      <c r="D35" s="84">
        <v>8691</v>
      </c>
      <c r="E35" s="84">
        <v>3869</v>
      </c>
      <c r="F35" s="84">
        <v>3344</v>
      </c>
      <c r="G35" s="84">
        <v>4433</v>
      </c>
      <c r="H35" s="84">
        <v>3727</v>
      </c>
      <c r="I35" s="84">
        <v>635</v>
      </c>
      <c r="J35" s="84" t="s">
        <v>162</v>
      </c>
      <c r="K35" s="78" t="s">
        <v>90</v>
      </c>
      <c r="L35" s="78" t="s">
        <v>88</v>
      </c>
    </row>
    <row r="36" spans="1:12" x14ac:dyDescent="0.25">
      <c r="A36" s="78" t="s">
        <v>33</v>
      </c>
      <c r="C36" s="84">
        <v>40438</v>
      </c>
      <c r="D36" s="84">
        <v>49918</v>
      </c>
      <c r="E36" s="84">
        <v>18790</v>
      </c>
      <c r="F36" s="84">
        <v>23112</v>
      </c>
      <c r="G36" s="84">
        <v>10492</v>
      </c>
      <c r="H36" s="84">
        <v>12905</v>
      </c>
      <c r="I36" s="84">
        <v>0</v>
      </c>
      <c r="J36" s="84">
        <v>0</v>
      </c>
      <c r="K36" s="78" t="s">
        <v>87</v>
      </c>
      <c r="L36" s="78" t="s">
        <v>88</v>
      </c>
    </row>
    <row r="37" spans="1:12" x14ac:dyDescent="0.25">
      <c r="A37" s="78" t="s">
        <v>34</v>
      </c>
      <c r="C37" s="84">
        <v>4201</v>
      </c>
      <c r="D37" s="84">
        <v>7352</v>
      </c>
      <c r="E37" s="84">
        <v>2354</v>
      </c>
      <c r="F37" s="84">
        <v>4120</v>
      </c>
      <c r="G37" s="84">
        <v>1239</v>
      </c>
      <c r="H37" s="84">
        <v>2168</v>
      </c>
      <c r="I37" s="84">
        <v>857</v>
      </c>
      <c r="J37" s="84">
        <v>1500</v>
      </c>
      <c r="K37" s="78" t="s">
        <v>90</v>
      </c>
      <c r="L37" s="78" t="s">
        <v>88</v>
      </c>
    </row>
    <row r="38" spans="1:12" x14ac:dyDescent="0.25">
      <c r="A38" s="78" t="s">
        <v>35</v>
      </c>
      <c r="C38" s="84">
        <v>7454</v>
      </c>
      <c r="D38" s="84">
        <v>9342</v>
      </c>
      <c r="E38" s="84">
        <v>1551</v>
      </c>
      <c r="F38" s="84">
        <v>1972</v>
      </c>
      <c r="G38" s="84">
        <v>543</v>
      </c>
      <c r="H38" s="84">
        <v>697</v>
      </c>
      <c r="I38" s="84" t="s">
        <v>162</v>
      </c>
      <c r="J38" s="84" t="s">
        <v>162</v>
      </c>
      <c r="K38" s="78" t="s">
        <v>91</v>
      </c>
      <c r="L38" s="78" t="s">
        <v>88</v>
      </c>
    </row>
    <row r="39" spans="1:12" x14ac:dyDescent="0.25">
      <c r="A39" s="78" t="s">
        <v>36</v>
      </c>
      <c r="C39" s="84">
        <v>45688</v>
      </c>
      <c r="D39" s="84">
        <v>73100</v>
      </c>
      <c r="E39" s="84">
        <v>19837</v>
      </c>
      <c r="F39" s="84">
        <v>29954</v>
      </c>
      <c r="G39" s="84">
        <v>4797</v>
      </c>
      <c r="H39" s="84">
        <v>7483</v>
      </c>
      <c r="I39" s="84">
        <v>7919</v>
      </c>
      <c r="J39" s="84">
        <v>12670</v>
      </c>
      <c r="K39" s="78" t="s">
        <v>87</v>
      </c>
      <c r="L39" s="78" t="s">
        <v>92</v>
      </c>
    </row>
    <row r="40" spans="1:12" x14ac:dyDescent="0.25">
      <c r="A40" s="78" t="s">
        <v>37</v>
      </c>
      <c r="C40" s="84">
        <v>3967</v>
      </c>
      <c r="D40" s="84">
        <v>4091.1</v>
      </c>
      <c r="E40" s="84">
        <v>2237</v>
      </c>
      <c r="F40" s="84">
        <v>2303</v>
      </c>
      <c r="G40" s="84" t="s">
        <v>162</v>
      </c>
      <c r="H40" s="84" t="s">
        <v>162</v>
      </c>
      <c r="I40" s="84">
        <v>416</v>
      </c>
      <c r="J40" s="84">
        <v>38.9</v>
      </c>
      <c r="K40" s="78" t="s">
        <v>91</v>
      </c>
      <c r="L40" s="78" t="s">
        <v>88</v>
      </c>
    </row>
    <row r="41" spans="1:12" x14ac:dyDescent="0.25">
      <c r="A41" s="78" t="s">
        <v>38</v>
      </c>
      <c r="C41" s="84">
        <v>3171</v>
      </c>
      <c r="D41" s="84">
        <v>4005</v>
      </c>
      <c r="E41" s="84">
        <v>1069</v>
      </c>
      <c r="F41" s="84">
        <v>2388</v>
      </c>
      <c r="G41" s="84" t="s">
        <v>162</v>
      </c>
      <c r="H41" s="84" t="s">
        <v>162</v>
      </c>
      <c r="I41" s="84">
        <v>16</v>
      </c>
      <c r="J41" s="84">
        <v>8</v>
      </c>
      <c r="K41" s="78" t="s">
        <v>91</v>
      </c>
      <c r="L41" s="78" t="s">
        <v>88</v>
      </c>
    </row>
    <row r="42" spans="1:12" x14ac:dyDescent="0.25">
      <c r="A42" s="78" t="s">
        <v>39</v>
      </c>
      <c r="C42" s="84">
        <v>6348</v>
      </c>
      <c r="D42" s="84">
        <v>4757.25</v>
      </c>
      <c r="E42" s="84">
        <v>449</v>
      </c>
      <c r="F42" s="84">
        <v>336.75</v>
      </c>
      <c r="G42" s="84">
        <v>187</v>
      </c>
      <c r="H42" s="84">
        <v>141</v>
      </c>
      <c r="I42" s="84">
        <v>131</v>
      </c>
      <c r="J42" s="84">
        <v>131</v>
      </c>
      <c r="K42" s="78" t="s">
        <v>90</v>
      </c>
      <c r="L42" s="78" t="s">
        <v>88</v>
      </c>
    </row>
    <row r="43" spans="1:12" x14ac:dyDescent="0.25">
      <c r="A43" s="78" t="s">
        <v>40</v>
      </c>
      <c r="C43" s="84">
        <v>9255</v>
      </c>
      <c r="D43" s="84">
        <v>9405.25</v>
      </c>
      <c r="E43" s="84">
        <v>4254</v>
      </c>
      <c r="F43" s="84">
        <v>4295</v>
      </c>
      <c r="G43" s="84">
        <v>691</v>
      </c>
      <c r="H43" s="84">
        <v>752</v>
      </c>
      <c r="I43" s="84">
        <v>14</v>
      </c>
      <c r="J43" s="84">
        <v>10.25</v>
      </c>
      <c r="K43" s="78" t="s">
        <v>91</v>
      </c>
      <c r="L43" s="78" t="s">
        <v>88</v>
      </c>
    </row>
    <row r="44" spans="1:12" x14ac:dyDescent="0.25">
      <c r="A44" s="78" t="s">
        <v>41</v>
      </c>
      <c r="C44" s="84">
        <v>4810</v>
      </c>
      <c r="D44" s="84">
        <v>8354.7833333333328</v>
      </c>
      <c r="E44" s="84">
        <v>1850</v>
      </c>
      <c r="F44" s="84">
        <v>3604</v>
      </c>
      <c r="G44" s="84">
        <v>1451</v>
      </c>
      <c r="H44" s="84">
        <v>3139</v>
      </c>
      <c r="I44" s="84">
        <v>551</v>
      </c>
      <c r="J44" s="84">
        <v>637</v>
      </c>
      <c r="K44" s="78" t="s">
        <v>87</v>
      </c>
      <c r="L44" s="78" t="s">
        <v>88</v>
      </c>
    </row>
    <row r="45" spans="1:12" x14ac:dyDescent="0.25">
      <c r="A45" s="78" t="s">
        <v>42</v>
      </c>
      <c r="C45" s="84">
        <v>3305</v>
      </c>
      <c r="D45" s="84">
        <v>8413</v>
      </c>
      <c r="E45" s="84">
        <v>1433</v>
      </c>
      <c r="F45" s="84">
        <v>4871</v>
      </c>
      <c r="G45" s="84" t="s">
        <v>162</v>
      </c>
      <c r="H45" s="84" t="s">
        <v>162</v>
      </c>
      <c r="I45" s="84">
        <v>3</v>
      </c>
      <c r="J45" s="84">
        <v>4</v>
      </c>
      <c r="K45" s="78" t="s">
        <v>91</v>
      </c>
      <c r="L45" s="78" t="s">
        <v>88</v>
      </c>
    </row>
    <row r="46" spans="1:12" x14ac:dyDescent="0.25">
      <c r="A46" s="78" t="s">
        <v>43</v>
      </c>
      <c r="C46" s="84">
        <v>4086</v>
      </c>
      <c r="D46" s="84">
        <v>5448</v>
      </c>
      <c r="E46" s="84">
        <v>0</v>
      </c>
      <c r="F46" s="84">
        <v>0</v>
      </c>
      <c r="G46" s="84" t="s">
        <v>162</v>
      </c>
      <c r="H46" s="84" t="s">
        <v>162</v>
      </c>
      <c r="I46" s="84">
        <v>655</v>
      </c>
      <c r="J46" s="84" t="s">
        <v>162</v>
      </c>
      <c r="K46" s="78" t="s">
        <v>91</v>
      </c>
      <c r="L46" s="78" t="s">
        <v>88</v>
      </c>
    </row>
    <row r="47" spans="1:12" x14ac:dyDescent="0.25">
      <c r="A47" s="78" t="s">
        <v>44</v>
      </c>
      <c r="C47" s="84">
        <v>24153</v>
      </c>
      <c r="D47" s="84">
        <v>16471.099999999999</v>
      </c>
      <c r="E47" s="84">
        <v>10825</v>
      </c>
      <c r="F47" s="84">
        <v>7376.8666666666668</v>
      </c>
      <c r="G47" s="84">
        <v>4147</v>
      </c>
      <c r="H47" s="84">
        <v>2857.7666666666669</v>
      </c>
      <c r="I47" s="84">
        <v>0</v>
      </c>
      <c r="J47" s="84">
        <v>0</v>
      </c>
      <c r="K47" s="78" t="s">
        <v>87</v>
      </c>
      <c r="L47" s="78" t="s">
        <v>92</v>
      </c>
    </row>
    <row r="48" spans="1:12" x14ac:dyDescent="0.25">
      <c r="A48" s="78" t="s">
        <v>45</v>
      </c>
      <c r="C48" s="84">
        <v>27745</v>
      </c>
      <c r="D48" s="84" t="s">
        <v>163</v>
      </c>
      <c r="E48" s="84">
        <v>13080</v>
      </c>
      <c r="F48" s="84">
        <v>0</v>
      </c>
      <c r="G48" s="84">
        <v>7006</v>
      </c>
      <c r="H48" s="84">
        <v>0</v>
      </c>
      <c r="I48" s="84">
        <v>385</v>
      </c>
      <c r="J48" s="84">
        <v>0</v>
      </c>
      <c r="K48" s="78" t="s">
        <v>90</v>
      </c>
      <c r="L48" s="78" t="s">
        <v>88</v>
      </c>
    </row>
    <row r="49" spans="1:12" x14ac:dyDescent="0.25">
      <c r="A49" s="78" t="s">
        <v>46</v>
      </c>
      <c r="C49" s="84">
        <v>1428</v>
      </c>
      <c r="D49" s="84">
        <v>3149</v>
      </c>
      <c r="E49" s="84">
        <v>724</v>
      </c>
      <c r="F49" s="84">
        <v>2019</v>
      </c>
      <c r="G49" s="84">
        <v>294</v>
      </c>
      <c r="H49" s="84">
        <v>658</v>
      </c>
      <c r="I49" s="84" t="s">
        <v>162</v>
      </c>
      <c r="J49" s="84" t="s">
        <v>162</v>
      </c>
      <c r="K49" s="78" t="s">
        <v>91</v>
      </c>
      <c r="L49" s="78" t="s">
        <v>88</v>
      </c>
    </row>
    <row r="50" spans="1:12" x14ac:dyDescent="0.25">
      <c r="A50" s="78" t="s">
        <v>47</v>
      </c>
      <c r="C50" s="84">
        <v>2585</v>
      </c>
      <c r="D50" s="84" t="s">
        <v>163</v>
      </c>
      <c r="E50" s="84">
        <v>1528</v>
      </c>
      <c r="F50" s="84">
        <v>0</v>
      </c>
      <c r="G50" s="84">
        <v>1335</v>
      </c>
      <c r="H50" s="84">
        <v>0</v>
      </c>
      <c r="I50" s="84">
        <v>220</v>
      </c>
      <c r="J50" s="84">
        <v>0</v>
      </c>
      <c r="K50" s="78" t="s">
        <v>87</v>
      </c>
      <c r="L50" s="78" t="s">
        <v>88</v>
      </c>
    </row>
    <row r="51" spans="1:12" x14ac:dyDescent="0.25">
      <c r="A51" s="78" t="s">
        <v>48</v>
      </c>
      <c r="C51" s="84">
        <v>31268</v>
      </c>
      <c r="D51" s="84">
        <v>15308</v>
      </c>
      <c r="E51" s="84">
        <v>11353</v>
      </c>
      <c r="F51" s="84">
        <v>5903</v>
      </c>
      <c r="G51" s="84">
        <v>4259</v>
      </c>
      <c r="H51" s="84">
        <v>2702</v>
      </c>
      <c r="I51" s="84">
        <v>16855</v>
      </c>
      <c r="J51" s="84">
        <v>3724</v>
      </c>
      <c r="K51" s="78" t="s">
        <v>87</v>
      </c>
      <c r="L51" s="78" t="s">
        <v>92</v>
      </c>
    </row>
    <row r="52" spans="1:12" x14ac:dyDescent="0.25">
      <c r="A52" s="78" t="s">
        <v>49</v>
      </c>
      <c r="C52" s="84">
        <v>2048</v>
      </c>
      <c r="D52" s="84">
        <v>2048</v>
      </c>
      <c r="E52" s="84">
        <v>661</v>
      </c>
      <c r="F52" s="84">
        <v>661</v>
      </c>
      <c r="G52" s="84">
        <v>1245</v>
      </c>
      <c r="H52" s="84">
        <v>1245</v>
      </c>
      <c r="I52" s="84">
        <v>0</v>
      </c>
      <c r="J52" s="84" t="s">
        <v>162</v>
      </c>
      <c r="K52" s="78" t="s">
        <v>90</v>
      </c>
      <c r="L52" s="78" t="s">
        <v>88</v>
      </c>
    </row>
    <row r="53" spans="1:12" x14ac:dyDescent="0.25">
      <c r="A53" s="78" t="s">
        <v>50</v>
      </c>
      <c r="C53" s="84">
        <v>24842</v>
      </c>
      <c r="D53" s="84">
        <v>99368</v>
      </c>
      <c r="E53" s="84">
        <v>11784</v>
      </c>
      <c r="F53" s="84">
        <v>47136</v>
      </c>
      <c r="G53" s="84">
        <v>10992</v>
      </c>
      <c r="H53" s="84">
        <v>43968</v>
      </c>
      <c r="I53" s="84" t="s">
        <v>162</v>
      </c>
      <c r="J53" s="84" t="s">
        <v>162</v>
      </c>
      <c r="K53" s="78" t="s">
        <v>87</v>
      </c>
      <c r="L53" s="78" t="s">
        <v>92</v>
      </c>
    </row>
    <row r="54" spans="1:12" x14ac:dyDescent="0.25">
      <c r="A54" s="78" t="s">
        <v>51</v>
      </c>
      <c r="C54" s="84">
        <v>5904</v>
      </c>
      <c r="D54" s="84">
        <v>7800</v>
      </c>
      <c r="E54" s="84">
        <v>2361</v>
      </c>
      <c r="F54" s="84">
        <v>3490</v>
      </c>
      <c r="G54" s="84">
        <v>930</v>
      </c>
      <c r="H54" s="84">
        <v>1396</v>
      </c>
      <c r="I54" s="84" t="s">
        <v>162</v>
      </c>
      <c r="J54" s="84" t="s">
        <v>162</v>
      </c>
      <c r="K54" s="78" t="s">
        <v>90</v>
      </c>
      <c r="L54" s="78" t="s">
        <v>88</v>
      </c>
    </row>
    <row r="55" spans="1:12" x14ac:dyDescent="0.25">
      <c r="A55" s="78" t="s">
        <v>52</v>
      </c>
      <c r="C55" s="84">
        <v>45087</v>
      </c>
      <c r="D55" s="84">
        <v>38275</v>
      </c>
      <c r="E55" s="84">
        <v>17200</v>
      </c>
      <c r="F55" s="84">
        <v>15316</v>
      </c>
      <c r="G55" s="84" t="s">
        <v>162</v>
      </c>
      <c r="H55" s="84" t="s">
        <v>162</v>
      </c>
      <c r="I55" s="84">
        <v>128</v>
      </c>
      <c r="J55" s="84">
        <v>162</v>
      </c>
      <c r="K55" s="78" t="s">
        <v>87</v>
      </c>
      <c r="L55" s="78" t="s">
        <v>92</v>
      </c>
    </row>
    <row r="56" spans="1:12" x14ac:dyDescent="0.25">
      <c r="C56" s="84"/>
      <c r="D56" s="84"/>
      <c r="E56" s="84"/>
      <c r="F56" s="84"/>
      <c r="G56" s="84"/>
      <c r="H56" s="84"/>
      <c r="I56" s="84"/>
      <c r="J56" s="84"/>
    </row>
    <row r="57" spans="1:12" x14ac:dyDescent="0.25">
      <c r="A57" s="78" t="s">
        <v>164</v>
      </c>
      <c r="C57" s="84"/>
      <c r="D57" s="84"/>
      <c r="E57" s="84"/>
      <c r="F57" s="84"/>
      <c r="G57" s="84"/>
      <c r="H57" s="84"/>
      <c r="I57" s="84"/>
      <c r="J57" s="84"/>
    </row>
    <row r="58" spans="1:12" ht="10.4" customHeight="1" x14ac:dyDescent="0.25">
      <c r="A58" s="78" t="s">
        <v>16</v>
      </c>
      <c r="D58" s="85">
        <v>13295.99720000032</v>
      </c>
      <c r="K58" s="78" t="s">
        <v>87</v>
      </c>
      <c r="L58" s="78" t="s">
        <v>88</v>
      </c>
    </row>
    <row r="59" spans="1:12" ht="10.4" customHeight="1" x14ac:dyDescent="0.25">
      <c r="A59" s="78" t="s">
        <v>45</v>
      </c>
      <c r="D59" s="85">
        <v>17522.32186928271</v>
      </c>
      <c r="K59" s="78" t="s">
        <v>90</v>
      </c>
      <c r="L59" s="78" t="s">
        <v>88</v>
      </c>
    </row>
    <row r="60" spans="1:12" ht="10.4" customHeight="1" x14ac:dyDescent="0.25">
      <c r="A60" s="78" t="s">
        <v>47</v>
      </c>
      <c r="D60" s="85">
        <v>1632.5536865055255</v>
      </c>
      <c r="K60" s="78" t="s">
        <v>87</v>
      </c>
      <c r="L60" s="78" t="s">
        <v>88</v>
      </c>
    </row>
    <row r="61" spans="1:12" ht="10.4" customHeight="1" x14ac:dyDescent="0.25"/>
    <row r="62" spans="1:12" ht="10.4" customHeight="1" x14ac:dyDescent="0.25"/>
    <row r="63" spans="1:12" ht="10.4" customHeight="1" x14ac:dyDescent="0.25"/>
    <row r="64" spans="1:12" ht="10.4" customHeight="1" x14ac:dyDescent="0.25"/>
    <row r="65" ht="10.4" customHeight="1" x14ac:dyDescent="0.25"/>
    <row r="66" ht="10.4" customHeight="1" x14ac:dyDescent="0.25"/>
    <row r="67" ht="10.4" customHeight="1" x14ac:dyDescent="0.25"/>
    <row r="68" ht="10.4" customHeight="1" x14ac:dyDescent="0.25"/>
  </sheetData>
  <mergeCells count="10">
    <mergeCell ref="O4:P4"/>
    <mergeCell ref="Q4:R4"/>
    <mergeCell ref="S4:T4"/>
    <mergeCell ref="U4:V4"/>
    <mergeCell ref="A1:J1"/>
    <mergeCell ref="A2:A3"/>
    <mergeCell ref="C2:D2"/>
    <mergeCell ref="E2:F2"/>
    <mergeCell ref="G2:H2"/>
    <mergeCell ref="I2:J2"/>
  </mergeCells>
  <pageMargins left="0.7" right="0.7" top="0.75" bottom="0.75" header="0.3" footer="0.3"/>
  <pageSetup paperSize="9" orientation="portrait" r:id="rId1"/>
  <headerFooter>
    <oddHeader>&amp;C&amp;"Aptos"&amp;10&amp;K000000 OFFICIAL&amp;1#_x000D_</oddHeader>
    <oddFooter>&amp;C_x000D_&amp;1#&amp;"Aptos"&amp;10&amp;K000000 OFFICIAL</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89D917-B438-449E-925B-B1BB86818B5A}">
  <sheetPr>
    <tabColor theme="9" tint="0.79998168889431442"/>
  </sheetPr>
  <dimension ref="A1:V68"/>
  <sheetViews>
    <sheetView workbookViewId="0">
      <selection activeCell="L18" sqref="L18"/>
    </sheetView>
  </sheetViews>
  <sheetFormatPr defaultColWidth="8.81640625" defaultRowHeight="10.5" x14ac:dyDescent="0.25"/>
  <cols>
    <col min="1" max="1" width="21" style="78" bestFit="1" customWidth="1"/>
    <col min="2" max="2" width="4.453125" style="78" customWidth="1"/>
    <col min="3" max="10" width="8.81640625" style="78"/>
    <col min="11" max="11" width="18.453125" style="78" bestFit="1" customWidth="1"/>
    <col min="12" max="12" width="15.81640625" style="78" bestFit="1" customWidth="1"/>
    <col min="13" max="13" width="8.81640625" style="78"/>
    <col min="14" max="14" width="19.54296875" style="78" bestFit="1" customWidth="1"/>
    <col min="15" max="16384" width="8.81640625" style="78"/>
  </cols>
  <sheetData>
    <row r="1" spans="1:22" ht="41.9" customHeight="1" x14ac:dyDescent="0.25">
      <c r="A1" s="241"/>
      <c r="B1" s="241"/>
      <c r="C1" s="241"/>
      <c r="D1" s="241"/>
      <c r="E1" s="241"/>
      <c r="F1" s="241"/>
      <c r="G1" s="241"/>
      <c r="H1" s="241"/>
      <c r="I1" s="241"/>
      <c r="J1" s="241"/>
    </row>
    <row r="2" spans="1:22" ht="36.65" customHeight="1" x14ac:dyDescent="0.25">
      <c r="A2" s="242"/>
      <c r="B2" s="79"/>
      <c r="C2" s="238" t="s">
        <v>150</v>
      </c>
      <c r="D2" s="239"/>
      <c r="E2" s="240" t="s">
        <v>151</v>
      </c>
      <c r="F2" s="240"/>
      <c r="G2" s="240" t="s">
        <v>152</v>
      </c>
      <c r="H2" s="240"/>
      <c r="I2" s="238" t="s">
        <v>153</v>
      </c>
      <c r="J2" s="239"/>
    </row>
    <row r="3" spans="1:22" ht="27.65" customHeight="1" x14ac:dyDescent="0.25">
      <c r="A3" s="243"/>
      <c r="B3" s="80"/>
      <c r="C3" s="81" t="s">
        <v>127</v>
      </c>
      <c r="D3" s="81" t="s">
        <v>128</v>
      </c>
      <c r="E3" s="81" t="s">
        <v>127</v>
      </c>
      <c r="F3" s="81" t="s">
        <v>128</v>
      </c>
      <c r="G3" s="81" t="s">
        <v>127</v>
      </c>
      <c r="H3" s="81" t="s">
        <v>128</v>
      </c>
      <c r="I3" s="81" t="s">
        <v>127</v>
      </c>
      <c r="J3" s="81" t="s">
        <v>128</v>
      </c>
    </row>
    <row r="4" spans="1:22" x14ac:dyDescent="0.25">
      <c r="O4" s="238" t="s">
        <v>150</v>
      </c>
      <c r="P4" s="239"/>
      <c r="Q4" s="240" t="s">
        <v>151</v>
      </c>
      <c r="R4" s="240"/>
      <c r="S4" s="240" t="s">
        <v>152</v>
      </c>
      <c r="T4" s="240"/>
      <c r="U4" s="238" t="s">
        <v>153</v>
      </c>
      <c r="V4" s="239"/>
    </row>
    <row r="5" spans="1:22" x14ac:dyDescent="0.25">
      <c r="O5" s="81" t="s">
        <v>127</v>
      </c>
      <c r="P5" s="81" t="s">
        <v>128</v>
      </c>
      <c r="Q5" s="81" t="s">
        <v>127</v>
      </c>
      <c r="R5" s="81" t="s">
        <v>128</v>
      </c>
      <c r="S5" s="81" t="s">
        <v>127</v>
      </c>
      <c r="T5" s="81" t="s">
        <v>128</v>
      </c>
      <c r="U5" s="81" t="s">
        <v>127</v>
      </c>
      <c r="V5" s="81" t="s">
        <v>128</v>
      </c>
    </row>
    <row r="6" spans="1:22" x14ac:dyDescent="0.25">
      <c r="A6" s="82" t="s">
        <v>76</v>
      </c>
      <c r="B6" s="82"/>
      <c r="C6" s="83">
        <f t="shared" ref="C6:J6" si="0">SUM(C12:C60)</f>
        <v>609261</v>
      </c>
      <c r="D6" s="83">
        <f t="shared" si="0"/>
        <v>727515.68333333335</v>
      </c>
      <c r="E6" s="83">
        <f t="shared" si="0"/>
        <v>243136</v>
      </c>
      <c r="F6" s="83">
        <f t="shared" si="0"/>
        <v>245084.63</v>
      </c>
      <c r="G6" s="83">
        <f t="shared" si="0"/>
        <v>115347</v>
      </c>
      <c r="H6" s="83">
        <f t="shared" si="0"/>
        <v>116082.65333333334</v>
      </c>
      <c r="I6" s="83">
        <f t="shared" si="0"/>
        <v>41770</v>
      </c>
      <c r="J6" s="83">
        <f t="shared" si="0"/>
        <v>55817.17</v>
      </c>
      <c r="N6" s="78" t="s">
        <v>82</v>
      </c>
      <c r="O6" s="78">
        <v>4691</v>
      </c>
      <c r="P6" s="78">
        <v>9649</v>
      </c>
      <c r="Q6" s="78">
        <v>3123</v>
      </c>
      <c r="R6" s="78">
        <v>6335</v>
      </c>
      <c r="S6" s="78" t="s">
        <v>163</v>
      </c>
      <c r="T6" s="78" t="s">
        <v>163</v>
      </c>
      <c r="U6" s="78">
        <v>506</v>
      </c>
      <c r="V6" s="78">
        <v>591</v>
      </c>
    </row>
    <row r="7" spans="1:22" x14ac:dyDescent="0.25">
      <c r="A7" s="82" t="s">
        <v>88</v>
      </c>
      <c r="B7" s="82"/>
      <c r="C7" s="83">
        <f t="shared" ref="C7:J8" si="1">SUMIF($L$12:$L$60,$A7,C$12:C$60)</f>
        <v>311859</v>
      </c>
      <c r="D7" s="83">
        <f t="shared" si="1"/>
        <v>417446.55</v>
      </c>
      <c r="E7" s="83">
        <f t="shared" si="1"/>
        <v>152427</v>
      </c>
      <c r="F7" s="83">
        <f t="shared" si="1"/>
        <v>176903.93</v>
      </c>
      <c r="G7" s="83">
        <f t="shared" si="1"/>
        <v>64581</v>
      </c>
      <c r="H7" s="83">
        <f t="shared" si="1"/>
        <v>74884.47</v>
      </c>
      <c r="I7" s="83">
        <f t="shared" si="1"/>
        <v>18622</v>
      </c>
      <c r="J7" s="83">
        <f t="shared" si="1"/>
        <v>15739.17</v>
      </c>
      <c r="N7" s="78" t="s">
        <v>83</v>
      </c>
      <c r="O7" s="78">
        <v>479</v>
      </c>
      <c r="P7" s="78">
        <v>328</v>
      </c>
      <c r="Q7" s="78">
        <v>229</v>
      </c>
      <c r="R7" s="78">
        <v>166.5</v>
      </c>
      <c r="S7" s="78" t="s">
        <v>163</v>
      </c>
      <c r="T7" s="78" t="s">
        <v>163</v>
      </c>
      <c r="U7" s="78">
        <v>156</v>
      </c>
      <c r="V7" s="78">
        <v>125</v>
      </c>
    </row>
    <row r="8" spans="1:22" x14ac:dyDescent="0.25">
      <c r="A8" s="82" t="s">
        <v>92</v>
      </c>
      <c r="B8" s="82"/>
      <c r="C8" s="83">
        <f t="shared" si="1"/>
        <v>297402</v>
      </c>
      <c r="D8" s="83">
        <f t="shared" si="1"/>
        <v>310069.1333333333</v>
      </c>
      <c r="E8" s="83">
        <f t="shared" si="1"/>
        <v>90709</v>
      </c>
      <c r="F8" s="83">
        <f t="shared" si="1"/>
        <v>68180.7</v>
      </c>
      <c r="G8" s="83">
        <f t="shared" si="1"/>
        <v>50766</v>
      </c>
      <c r="H8" s="83">
        <f t="shared" si="1"/>
        <v>41198.183333333334</v>
      </c>
      <c r="I8" s="83">
        <f t="shared" si="1"/>
        <v>23148</v>
      </c>
      <c r="J8" s="83">
        <f t="shared" si="1"/>
        <v>40078</v>
      </c>
      <c r="N8" s="78" t="s">
        <v>93</v>
      </c>
      <c r="O8" s="78">
        <f>SUM(O6:O7)</f>
        <v>5170</v>
      </c>
      <c r="P8" s="78">
        <f t="shared" ref="P8:V8" si="2">SUM(P6:P7)</f>
        <v>9977</v>
      </c>
      <c r="Q8" s="78">
        <f t="shared" si="2"/>
        <v>3352</v>
      </c>
      <c r="R8" s="78">
        <f t="shared" si="2"/>
        <v>6501.5</v>
      </c>
      <c r="S8" s="78">
        <f t="shared" si="2"/>
        <v>0</v>
      </c>
      <c r="T8" s="78">
        <f t="shared" si="2"/>
        <v>0</v>
      </c>
      <c r="U8" s="78">
        <f t="shared" si="2"/>
        <v>662</v>
      </c>
      <c r="V8" s="78">
        <f t="shared" si="2"/>
        <v>716</v>
      </c>
    </row>
    <row r="9" spans="1:22" x14ac:dyDescent="0.25">
      <c r="A9" s="82" t="s">
        <v>87</v>
      </c>
      <c r="B9" s="82"/>
      <c r="C9" s="83">
        <f t="shared" ref="C9:J11" si="3">SUMIF($K$12:$K$60,$A9,C$12:C$60)</f>
        <v>382789</v>
      </c>
      <c r="D9" s="83">
        <f t="shared" si="3"/>
        <v>472203.09355995356</v>
      </c>
      <c r="E9" s="83">
        <f t="shared" si="3"/>
        <v>125566</v>
      </c>
      <c r="F9" s="83">
        <f t="shared" si="3"/>
        <v>129458.7</v>
      </c>
      <c r="G9" s="83">
        <f t="shared" si="3"/>
        <v>72134</v>
      </c>
      <c r="H9" s="83">
        <f t="shared" si="3"/>
        <v>74003.183333333334</v>
      </c>
      <c r="I9" s="83">
        <f t="shared" si="3"/>
        <v>26515</v>
      </c>
      <c r="J9" s="83">
        <f t="shared" si="3"/>
        <v>44262</v>
      </c>
    </row>
    <row r="10" spans="1:22" x14ac:dyDescent="0.25">
      <c r="A10" s="82" t="s">
        <v>90</v>
      </c>
      <c r="B10" s="82"/>
      <c r="C10" s="83">
        <f t="shared" si="3"/>
        <v>154532</v>
      </c>
      <c r="D10" s="83">
        <f t="shared" si="3"/>
        <v>172217.98977337978</v>
      </c>
      <c r="E10" s="83">
        <f t="shared" si="3"/>
        <v>85936</v>
      </c>
      <c r="F10" s="83">
        <f t="shared" si="3"/>
        <v>78994</v>
      </c>
      <c r="G10" s="83">
        <f t="shared" si="3"/>
        <v>34977</v>
      </c>
      <c r="H10" s="83">
        <f t="shared" si="3"/>
        <v>32078.25</v>
      </c>
      <c r="I10" s="83">
        <f t="shared" si="3"/>
        <v>11361</v>
      </c>
      <c r="J10" s="83">
        <f t="shared" si="3"/>
        <v>10310.5</v>
      </c>
    </row>
    <row r="11" spans="1:22" x14ac:dyDescent="0.25">
      <c r="A11" s="82" t="s">
        <v>91</v>
      </c>
      <c r="B11" s="82"/>
      <c r="C11" s="83">
        <f t="shared" si="3"/>
        <v>71940</v>
      </c>
      <c r="D11" s="83">
        <f t="shared" si="3"/>
        <v>83094.600000000006</v>
      </c>
      <c r="E11" s="83">
        <f t="shared" si="3"/>
        <v>31634</v>
      </c>
      <c r="F11" s="83">
        <f t="shared" si="3"/>
        <v>36631.93</v>
      </c>
      <c r="G11" s="83">
        <f t="shared" si="3"/>
        <v>8236</v>
      </c>
      <c r="H11" s="83">
        <f t="shared" si="3"/>
        <v>10001.219999999999</v>
      </c>
      <c r="I11" s="83">
        <f t="shared" si="3"/>
        <v>3894</v>
      </c>
      <c r="J11" s="83">
        <f t="shared" si="3"/>
        <v>1244.67</v>
      </c>
    </row>
    <row r="12" spans="1:22" x14ac:dyDescent="0.25">
      <c r="A12" s="78" t="s">
        <v>8</v>
      </c>
      <c r="C12" s="84">
        <v>5607</v>
      </c>
      <c r="D12" s="84">
        <v>3863</v>
      </c>
      <c r="E12" s="84">
        <v>3357</v>
      </c>
      <c r="F12" s="84">
        <v>2313</v>
      </c>
      <c r="G12" s="84">
        <v>2083</v>
      </c>
      <c r="H12" s="84">
        <v>1435</v>
      </c>
      <c r="I12" s="84">
        <v>1048</v>
      </c>
      <c r="J12" s="84">
        <v>531</v>
      </c>
      <c r="K12" s="78" t="s">
        <v>87</v>
      </c>
      <c r="L12" s="78" t="s">
        <v>88</v>
      </c>
    </row>
    <row r="13" spans="1:22" x14ac:dyDescent="0.25">
      <c r="A13" s="78" t="s">
        <v>11</v>
      </c>
      <c r="C13" s="84">
        <v>4501</v>
      </c>
      <c r="D13" s="84">
        <v>5153</v>
      </c>
      <c r="E13" s="84" t="s">
        <v>163</v>
      </c>
      <c r="F13" s="84">
        <v>1637</v>
      </c>
      <c r="G13" s="84" t="s">
        <v>163</v>
      </c>
      <c r="H13" s="84" t="s">
        <v>163</v>
      </c>
      <c r="I13" s="84">
        <v>807</v>
      </c>
      <c r="J13" s="84" t="s">
        <v>163</v>
      </c>
      <c r="K13" s="78" t="s">
        <v>90</v>
      </c>
      <c r="L13" s="78" t="s">
        <v>88</v>
      </c>
    </row>
    <row r="14" spans="1:22" x14ac:dyDescent="0.25">
      <c r="A14" s="78" t="s">
        <v>12</v>
      </c>
      <c r="C14" s="84">
        <v>8497</v>
      </c>
      <c r="D14" s="84">
        <v>14343</v>
      </c>
      <c r="E14" s="84">
        <v>4063</v>
      </c>
      <c r="F14" s="84">
        <v>8126</v>
      </c>
      <c r="G14" s="84">
        <v>1783</v>
      </c>
      <c r="H14" s="84">
        <v>3566</v>
      </c>
      <c r="I14" s="84" t="s">
        <v>163</v>
      </c>
      <c r="J14" s="84" t="s">
        <v>163</v>
      </c>
      <c r="K14" s="78" t="s">
        <v>87</v>
      </c>
      <c r="L14" s="78" t="s">
        <v>88</v>
      </c>
    </row>
    <row r="15" spans="1:22" x14ac:dyDescent="0.25">
      <c r="A15" s="78" t="s">
        <v>13</v>
      </c>
      <c r="C15" s="84">
        <v>4638</v>
      </c>
      <c r="D15" s="84">
        <v>4319</v>
      </c>
      <c r="E15" s="84">
        <v>1237</v>
      </c>
      <c r="F15" s="84">
        <v>824</v>
      </c>
      <c r="G15" s="84">
        <v>470</v>
      </c>
      <c r="H15" s="84">
        <v>174</v>
      </c>
      <c r="I15" s="84">
        <v>0</v>
      </c>
      <c r="J15" s="84">
        <v>0</v>
      </c>
      <c r="K15" s="78" t="s">
        <v>90</v>
      </c>
      <c r="L15" s="78" t="s">
        <v>88</v>
      </c>
    </row>
    <row r="16" spans="1:22" x14ac:dyDescent="0.25">
      <c r="A16" s="78" t="s">
        <v>14</v>
      </c>
      <c r="C16" s="84">
        <v>3778</v>
      </c>
      <c r="D16" s="84">
        <v>3443</v>
      </c>
      <c r="E16" s="84">
        <v>1937</v>
      </c>
      <c r="F16" s="84">
        <v>2030</v>
      </c>
      <c r="G16" s="84">
        <v>1359</v>
      </c>
      <c r="H16" s="84">
        <v>1769</v>
      </c>
      <c r="I16" s="84">
        <v>567</v>
      </c>
      <c r="J16" s="84">
        <v>519.75</v>
      </c>
      <c r="K16" s="78" t="s">
        <v>91</v>
      </c>
      <c r="L16" s="78" t="s">
        <v>88</v>
      </c>
    </row>
    <row r="17" spans="1:12" x14ac:dyDescent="0.25">
      <c r="A17" s="78" t="s">
        <v>15</v>
      </c>
      <c r="C17" s="84">
        <v>27953</v>
      </c>
      <c r="D17" s="84">
        <v>12293</v>
      </c>
      <c r="E17" s="84">
        <v>22565</v>
      </c>
      <c r="F17" s="84">
        <v>9721</v>
      </c>
      <c r="G17" s="84">
        <v>7656</v>
      </c>
      <c r="H17" s="84">
        <v>3949</v>
      </c>
      <c r="I17" s="84" t="s">
        <v>163</v>
      </c>
      <c r="J17" s="84" t="s">
        <v>163</v>
      </c>
      <c r="K17" s="78" t="s">
        <v>90</v>
      </c>
      <c r="L17" s="78" t="s">
        <v>88</v>
      </c>
    </row>
    <row r="18" spans="1:12" x14ac:dyDescent="0.25">
      <c r="A18" s="78" t="s">
        <v>16</v>
      </c>
      <c r="C18" s="84">
        <v>25691</v>
      </c>
      <c r="D18" s="84">
        <v>77073</v>
      </c>
      <c r="E18" s="84">
        <v>6447</v>
      </c>
      <c r="F18" s="84">
        <v>20700</v>
      </c>
      <c r="G18" s="84">
        <v>2175</v>
      </c>
      <c r="H18" s="84">
        <v>6964</v>
      </c>
      <c r="I18" s="84">
        <v>865</v>
      </c>
      <c r="J18" s="84">
        <v>1298</v>
      </c>
      <c r="K18" s="78" t="s">
        <v>87</v>
      </c>
      <c r="L18" s="78" t="s">
        <v>88</v>
      </c>
    </row>
    <row r="19" spans="1:12" x14ac:dyDescent="0.25">
      <c r="A19" s="78" t="s">
        <v>17</v>
      </c>
      <c r="C19" s="84">
        <v>4378</v>
      </c>
      <c r="D19" s="84">
        <v>3245</v>
      </c>
      <c r="E19" s="84">
        <v>1400</v>
      </c>
      <c r="F19" s="84">
        <v>1400</v>
      </c>
      <c r="G19" s="84">
        <v>1100</v>
      </c>
      <c r="H19" s="84">
        <v>1300</v>
      </c>
      <c r="I19" s="84">
        <v>1585</v>
      </c>
      <c r="J19" s="84">
        <v>289</v>
      </c>
      <c r="K19" s="78" t="s">
        <v>91</v>
      </c>
      <c r="L19" s="78" t="s">
        <v>88</v>
      </c>
    </row>
    <row r="20" spans="1:12" x14ac:dyDescent="0.25">
      <c r="A20" s="78" t="s">
        <v>18</v>
      </c>
      <c r="C20" s="84">
        <v>8596</v>
      </c>
      <c r="D20" s="84">
        <v>6066</v>
      </c>
      <c r="E20" s="84">
        <v>2207</v>
      </c>
      <c r="F20" s="84">
        <v>1939</v>
      </c>
      <c r="G20" s="84">
        <v>672</v>
      </c>
      <c r="H20" s="84">
        <v>599</v>
      </c>
      <c r="I20" s="84" t="s">
        <v>163</v>
      </c>
      <c r="J20" s="84" t="s">
        <v>163</v>
      </c>
      <c r="K20" s="78" t="s">
        <v>91</v>
      </c>
      <c r="L20" s="78" t="s">
        <v>88</v>
      </c>
    </row>
    <row r="21" spans="1:12" x14ac:dyDescent="0.25">
      <c r="A21" s="85" t="s">
        <v>19</v>
      </c>
      <c r="C21" s="84">
        <v>7617</v>
      </c>
      <c r="D21" s="84">
        <v>11298</v>
      </c>
      <c r="E21" s="84">
        <v>4131</v>
      </c>
      <c r="F21" s="84">
        <v>6145</v>
      </c>
      <c r="G21" s="84">
        <v>1760</v>
      </c>
      <c r="H21" s="84">
        <v>3188</v>
      </c>
      <c r="I21" s="84">
        <v>5989</v>
      </c>
      <c r="J21" s="84">
        <v>6516</v>
      </c>
      <c r="K21" s="78" t="s">
        <v>90</v>
      </c>
      <c r="L21" s="78" t="s">
        <v>88</v>
      </c>
    </row>
    <row r="22" spans="1:12" x14ac:dyDescent="0.25">
      <c r="A22" s="85" t="s">
        <v>20</v>
      </c>
      <c r="C22" s="84">
        <v>4651</v>
      </c>
      <c r="D22" s="84">
        <v>5883</v>
      </c>
      <c r="E22" s="84">
        <v>3147</v>
      </c>
      <c r="F22" s="84">
        <v>3996</v>
      </c>
      <c r="G22" s="84">
        <v>342</v>
      </c>
      <c r="H22" s="84">
        <v>379</v>
      </c>
      <c r="I22" s="84" t="s">
        <v>163</v>
      </c>
      <c r="J22" s="84" t="s">
        <v>163</v>
      </c>
      <c r="K22" s="78" t="s">
        <v>91</v>
      </c>
      <c r="L22" s="78" t="s">
        <v>88</v>
      </c>
    </row>
    <row r="23" spans="1:12" x14ac:dyDescent="0.25">
      <c r="A23" s="85" t="s">
        <v>21</v>
      </c>
      <c r="C23" s="84">
        <v>14379</v>
      </c>
      <c r="D23" s="84">
        <v>18636.150000000001</v>
      </c>
      <c r="E23" s="84">
        <v>8680</v>
      </c>
      <c r="F23" s="84">
        <v>11967.5</v>
      </c>
      <c r="G23" s="84">
        <v>599</v>
      </c>
      <c r="H23" s="84">
        <v>970.5</v>
      </c>
      <c r="I23" s="84">
        <v>607</v>
      </c>
      <c r="J23" s="84">
        <v>461.5</v>
      </c>
      <c r="K23" s="78" t="s">
        <v>90</v>
      </c>
      <c r="L23" s="78" t="s">
        <v>88</v>
      </c>
    </row>
    <row r="24" spans="1:12" x14ac:dyDescent="0.25">
      <c r="A24" s="78" t="s">
        <v>22</v>
      </c>
      <c r="C24" s="84">
        <v>18901</v>
      </c>
      <c r="D24" s="84">
        <v>13277</v>
      </c>
      <c r="E24" s="84">
        <v>6210</v>
      </c>
      <c r="F24" s="84">
        <v>4347</v>
      </c>
      <c r="G24" s="84">
        <v>406</v>
      </c>
      <c r="H24" s="84">
        <v>284</v>
      </c>
      <c r="I24" s="84" t="s">
        <v>163</v>
      </c>
      <c r="J24" s="84" t="s">
        <v>163</v>
      </c>
      <c r="K24" s="78" t="s">
        <v>91</v>
      </c>
      <c r="L24" s="78" t="s">
        <v>88</v>
      </c>
    </row>
    <row r="25" spans="1:12" x14ac:dyDescent="0.25">
      <c r="A25" s="78" t="s">
        <v>23</v>
      </c>
      <c r="C25" s="84">
        <v>9336</v>
      </c>
      <c r="D25" s="84">
        <v>18162.75</v>
      </c>
      <c r="E25" s="84">
        <v>5695</v>
      </c>
      <c r="F25" s="84">
        <v>10673.5</v>
      </c>
      <c r="G25" s="84">
        <v>4802</v>
      </c>
      <c r="H25" s="84">
        <v>8938.75</v>
      </c>
      <c r="I25" s="84" t="s">
        <v>163</v>
      </c>
      <c r="J25" s="84" t="s">
        <v>163</v>
      </c>
      <c r="K25" s="78" t="s">
        <v>90</v>
      </c>
      <c r="L25" s="78" t="s">
        <v>88</v>
      </c>
    </row>
    <row r="26" spans="1:12" x14ac:dyDescent="0.25">
      <c r="A26" s="78" t="s">
        <v>24</v>
      </c>
      <c r="C26" s="84">
        <v>5899</v>
      </c>
      <c r="D26" s="84">
        <v>7037</v>
      </c>
      <c r="E26" s="84">
        <v>2870</v>
      </c>
      <c r="F26" s="84">
        <v>3603</v>
      </c>
      <c r="G26" s="84">
        <v>669</v>
      </c>
      <c r="H26" s="84">
        <v>830</v>
      </c>
      <c r="I26" s="84">
        <v>1695</v>
      </c>
      <c r="J26" s="84">
        <v>1470</v>
      </c>
      <c r="K26" s="78" t="s">
        <v>90</v>
      </c>
      <c r="L26" s="78" t="s">
        <v>88</v>
      </c>
    </row>
    <row r="27" spans="1:12" x14ac:dyDescent="0.25">
      <c r="A27" s="78" t="s">
        <v>25</v>
      </c>
      <c r="C27" s="84">
        <v>4156</v>
      </c>
      <c r="D27" s="84">
        <v>3754</v>
      </c>
      <c r="E27" s="84">
        <v>2273</v>
      </c>
      <c r="F27" s="84">
        <v>2241</v>
      </c>
      <c r="G27" s="84">
        <v>823</v>
      </c>
      <c r="H27" s="84">
        <v>797</v>
      </c>
      <c r="I27" s="84" t="s">
        <v>163</v>
      </c>
      <c r="J27" s="84" t="s">
        <v>163</v>
      </c>
      <c r="K27" s="78" t="s">
        <v>90</v>
      </c>
      <c r="L27" s="78" t="s">
        <v>88</v>
      </c>
    </row>
    <row r="28" spans="1:12" x14ac:dyDescent="0.25">
      <c r="A28" s="78" t="s">
        <v>26</v>
      </c>
      <c r="C28" s="84">
        <v>86961</v>
      </c>
      <c r="D28" s="84">
        <v>44785</v>
      </c>
      <c r="E28" s="84">
        <v>34245</v>
      </c>
      <c r="F28" s="84">
        <v>19721</v>
      </c>
      <c r="G28" s="84">
        <v>26234</v>
      </c>
      <c r="H28" s="84">
        <v>15429</v>
      </c>
      <c r="I28" s="84">
        <v>4238</v>
      </c>
      <c r="J28" s="84" t="s">
        <v>163</v>
      </c>
      <c r="K28" s="78" t="s">
        <v>87</v>
      </c>
      <c r="L28" s="78" t="s">
        <v>92</v>
      </c>
    </row>
    <row r="29" spans="1:12" x14ac:dyDescent="0.25">
      <c r="A29" s="78" t="s">
        <v>27</v>
      </c>
      <c r="C29" s="84">
        <v>61475</v>
      </c>
      <c r="D29" s="84">
        <v>61475</v>
      </c>
      <c r="E29" s="84">
        <v>4788</v>
      </c>
      <c r="F29" s="84">
        <v>4788</v>
      </c>
      <c r="G29" s="84">
        <v>1821</v>
      </c>
      <c r="H29" s="84">
        <v>1821</v>
      </c>
      <c r="I29" s="84">
        <v>21</v>
      </c>
      <c r="J29" s="84">
        <v>21</v>
      </c>
      <c r="K29" s="78" t="s">
        <v>87</v>
      </c>
      <c r="L29" s="78" t="s">
        <v>92</v>
      </c>
    </row>
    <row r="30" spans="1:12" x14ac:dyDescent="0.25">
      <c r="A30" s="78" t="s">
        <v>93</v>
      </c>
      <c r="C30" s="84">
        <v>5170</v>
      </c>
      <c r="D30" s="84">
        <v>9977</v>
      </c>
      <c r="E30" s="84">
        <v>3352</v>
      </c>
      <c r="F30" s="84">
        <v>6501.5</v>
      </c>
      <c r="G30" s="84">
        <v>0</v>
      </c>
      <c r="H30" s="84">
        <v>0</v>
      </c>
      <c r="I30" s="84">
        <v>662</v>
      </c>
      <c r="J30" s="84">
        <v>716</v>
      </c>
      <c r="K30" s="78" t="s">
        <v>90</v>
      </c>
      <c r="L30" s="78" t="s">
        <v>88</v>
      </c>
    </row>
    <row r="31" spans="1:12" x14ac:dyDescent="0.25">
      <c r="A31" s="78" t="s">
        <v>28</v>
      </c>
      <c r="C31" s="84">
        <v>3638</v>
      </c>
      <c r="D31" s="84">
        <v>5452</v>
      </c>
      <c r="E31" s="84">
        <v>2828</v>
      </c>
      <c r="F31" s="84">
        <v>3380</v>
      </c>
      <c r="G31" s="84">
        <v>1353</v>
      </c>
      <c r="H31" s="84">
        <v>1406</v>
      </c>
      <c r="I31" s="84" t="s">
        <v>163</v>
      </c>
      <c r="J31" s="84" t="s">
        <v>163</v>
      </c>
      <c r="K31" s="78" t="s">
        <v>90</v>
      </c>
      <c r="L31" s="78" t="s">
        <v>88</v>
      </c>
    </row>
    <row r="32" spans="1:12" x14ac:dyDescent="0.25">
      <c r="A32" s="78" t="s">
        <v>29</v>
      </c>
      <c r="C32" s="84">
        <v>8631</v>
      </c>
      <c r="D32" s="84">
        <v>17262</v>
      </c>
      <c r="E32" s="84">
        <v>3649</v>
      </c>
      <c r="F32" s="84">
        <v>7298</v>
      </c>
      <c r="G32" s="84">
        <v>1197</v>
      </c>
      <c r="H32" s="84">
        <v>2394</v>
      </c>
      <c r="I32" s="84">
        <v>851</v>
      </c>
      <c r="J32" s="84">
        <v>1702</v>
      </c>
      <c r="K32" s="78" t="s">
        <v>87</v>
      </c>
      <c r="L32" s="78" t="s">
        <v>88</v>
      </c>
    </row>
    <row r="33" spans="1:12" x14ac:dyDescent="0.25">
      <c r="A33" s="78" t="s">
        <v>30</v>
      </c>
      <c r="C33" s="84">
        <v>16837</v>
      </c>
      <c r="D33" s="84">
        <v>14329.05</v>
      </c>
      <c r="E33" s="84">
        <v>7176</v>
      </c>
      <c r="F33" s="84">
        <v>6084.5</v>
      </c>
      <c r="G33" s="84">
        <v>3741</v>
      </c>
      <c r="H33" s="84">
        <v>3267</v>
      </c>
      <c r="I33" s="84" t="s">
        <v>163</v>
      </c>
      <c r="J33" s="84" t="s">
        <v>163</v>
      </c>
      <c r="K33" s="78" t="s">
        <v>90</v>
      </c>
      <c r="L33" s="78" t="s">
        <v>88</v>
      </c>
    </row>
    <row r="34" spans="1:12" x14ac:dyDescent="0.25">
      <c r="A34" s="78" t="s">
        <v>94</v>
      </c>
      <c r="C34" s="84">
        <v>23</v>
      </c>
      <c r="D34" s="84">
        <v>15</v>
      </c>
      <c r="E34" s="84">
        <v>0</v>
      </c>
      <c r="F34" s="84">
        <v>0</v>
      </c>
      <c r="G34" s="84">
        <v>0</v>
      </c>
      <c r="H34" s="84">
        <v>0</v>
      </c>
      <c r="I34" s="84">
        <v>0</v>
      </c>
      <c r="J34" s="84">
        <v>0</v>
      </c>
      <c r="K34" s="78" t="s">
        <v>91</v>
      </c>
      <c r="L34" s="78" t="s">
        <v>88</v>
      </c>
    </row>
    <row r="35" spans="1:12" x14ac:dyDescent="0.25">
      <c r="A35" s="78" t="s">
        <v>32</v>
      </c>
      <c r="C35" s="84">
        <v>8831</v>
      </c>
      <c r="D35" s="84">
        <v>8083</v>
      </c>
      <c r="E35" s="84">
        <v>2813</v>
      </c>
      <c r="F35" s="84">
        <v>2460</v>
      </c>
      <c r="G35" s="84">
        <v>4108</v>
      </c>
      <c r="H35" s="84">
        <v>3920</v>
      </c>
      <c r="I35" s="84">
        <v>489</v>
      </c>
      <c r="J35" s="84">
        <v>0</v>
      </c>
      <c r="K35" s="78" t="s">
        <v>90</v>
      </c>
      <c r="L35" s="78" t="s">
        <v>88</v>
      </c>
    </row>
    <row r="36" spans="1:12" x14ac:dyDescent="0.25">
      <c r="A36" s="78" t="s">
        <v>33</v>
      </c>
      <c r="C36" s="84">
        <v>31551</v>
      </c>
      <c r="D36" s="84">
        <v>40778</v>
      </c>
      <c r="E36" s="84">
        <v>15306</v>
      </c>
      <c r="F36" s="84">
        <v>19782</v>
      </c>
      <c r="G36" s="84">
        <v>12299</v>
      </c>
      <c r="H36" s="84">
        <v>15896</v>
      </c>
      <c r="I36" s="84">
        <v>9</v>
      </c>
      <c r="J36" s="84">
        <v>7</v>
      </c>
      <c r="K36" s="78" t="s">
        <v>87</v>
      </c>
      <c r="L36" s="78" t="s">
        <v>88</v>
      </c>
    </row>
    <row r="37" spans="1:12" x14ac:dyDescent="0.25">
      <c r="A37" s="78" t="s">
        <v>34</v>
      </c>
      <c r="C37" s="84">
        <v>4300</v>
      </c>
      <c r="D37" s="84">
        <v>7525</v>
      </c>
      <c r="E37" s="84">
        <v>2505</v>
      </c>
      <c r="F37" s="84">
        <v>4384</v>
      </c>
      <c r="G37" s="84">
        <v>1563</v>
      </c>
      <c r="H37" s="84">
        <v>2735</v>
      </c>
      <c r="I37" s="84">
        <v>520</v>
      </c>
      <c r="J37" s="84">
        <v>910</v>
      </c>
      <c r="K37" s="78" t="s">
        <v>90</v>
      </c>
      <c r="L37" s="78" t="s">
        <v>88</v>
      </c>
    </row>
    <row r="38" spans="1:12" x14ac:dyDescent="0.25">
      <c r="A38" s="78" t="s">
        <v>35</v>
      </c>
      <c r="C38" s="84">
        <v>7276</v>
      </c>
      <c r="D38" s="84">
        <v>9205</v>
      </c>
      <c r="E38" s="84">
        <v>3990</v>
      </c>
      <c r="F38" s="84">
        <v>5128</v>
      </c>
      <c r="G38" s="84">
        <v>3160</v>
      </c>
      <c r="H38" s="84">
        <v>3946</v>
      </c>
      <c r="I38" s="84">
        <v>37</v>
      </c>
      <c r="J38" s="84">
        <v>40</v>
      </c>
      <c r="K38" s="78" t="s">
        <v>91</v>
      </c>
      <c r="L38" s="78" t="s">
        <v>88</v>
      </c>
    </row>
    <row r="39" spans="1:12" x14ac:dyDescent="0.25">
      <c r="A39" s="78" t="s">
        <v>36</v>
      </c>
      <c r="C39" s="84">
        <v>34980</v>
      </c>
      <c r="D39" s="84">
        <v>55933</v>
      </c>
      <c r="E39" s="84">
        <v>15000</v>
      </c>
      <c r="F39" s="84">
        <v>23985</v>
      </c>
      <c r="G39" s="84">
        <v>5147</v>
      </c>
      <c r="H39" s="84">
        <v>8230</v>
      </c>
      <c r="I39" s="84">
        <v>4812</v>
      </c>
      <c r="J39" s="84">
        <v>7694</v>
      </c>
      <c r="K39" s="78" t="s">
        <v>87</v>
      </c>
      <c r="L39" s="78" t="s">
        <v>92</v>
      </c>
    </row>
    <row r="40" spans="1:12" x14ac:dyDescent="0.25">
      <c r="A40" s="78" t="s">
        <v>37</v>
      </c>
      <c r="C40" s="84">
        <v>3780</v>
      </c>
      <c r="D40" s="84">
        <v>3792.07</v>
      </c>
      <c r="E40" s="84">
        <v>2100</v>
      </c>
      <c r="F40" s="84">
        <v>2104.56</v>
      </c>
      <c r="G40" s="84" t="s">
        <v>163</v>
      </c>
      <c r="H40" s="84" t="s">
        <v>163</v>
      </c>
      <c r="I40" s="84">
        <v>584</v>
      </c>
      <c r="J40" s="84">
        <v>51.67</v>
      </c>
      <c r="K40" s="78" t="s">
        <v>91</v>
      </c>
      <c r="L40" s="78" t="s">
        <v>88</v>
      </c>
    </row>
    <row r="41" spans="1:12" x14ac:dyDescent="0.25">
      <c r="A41" s="78" t="s">
        <v>38</v>
      </c>
      <c r="C41" s="84">
        <v>3108</v>
      </c>
      <c r="D41" s="84">
        <v>4023</v>
      </c>
      <c r="E41" s="84">
        <v>1860</v>
      </c>
      <c r="F41" s="84">
        <v>2443</v>
      </c>
      <c r="G41" s="84" t="s">
        <v>163</v>
      </c>
      <c r="H41" s="84" t="s">
        <v>163</v>
      </c>
      <c r="I41" s="84">
        <v>2</v>
      </c>
      <c r="J41" s="84">
        <v>1</v>
      </c>
      <c r="K41" s="78" t="s">
        <v>91</v>
      </c>
      <c r="L41" s="78" t="s">
        <v>88</v>
      </c>
    </row>
    <row r="42" spans="1:12" x14ac:dyDescent="0.25">
      <c r="A42" s="78" t="s">
        <v>39</v>
      </c>
      <c r="C42" s="84">
        <v>5015</v>
      </c>
      <c r="D42" s="84">
        <v>3628</v>
      </c>
      <c r="E42" s="84">
        <v>1453</v>
      </c>
      <c r="F42" s="84">
        <v>1119</v>
      </c>
      <c r="G42" s="84">
        <v>658</v>
      </c>
      <c r="H42" s="84">
        <v>524</v>
      </c>
      <c r="I42" s="84">
        <v>114</v>
      </c>
      <c r="J42" s="84">
        <v>114</v>
      </c>
      <c r="K42" s="78" t="s">
        <v>90</v>
      </c>
      <c r="L42" s="78" t="s">
        <v>88</v>
      </c>
    </row>
    <row r="43" spans="1:12" x14ac:dyDescent="0.25">
      <c r="A43" s="78" t="s">
        <v>40</v>
      </c>
      <c r="C43" s="84">
        <v>8996</v>
      </c>
      <c r="D43" s="84">
        <v>8856.25</v>
      </c>
      <c r="E43" s="84">
        <v>4858</v>
      </c>
      <c r="F43" s="84">
        <v>4775.75</v>
      </c>
      <c r="G43" s="84">
        <v>868</v>
      </c>
      <c r="H43" s="84">
        <v>989</v>
      </c>
      <c r="I43" s="84">
        <v>445</v>
      </c>
      <c r="J43" s="84">
        <v>308.25</v>
      </c>
      <c r="K43" s="78" t="s">
        <v>91</v>
      </c>
      <c r="L43" s="78" t="s">
        <v>88</v>
      </c>
    </row>
    <row r="44" spans="1:12" x14ac:dyDescent="0.25">
      <c r="A44" s="78" t="s">
        <v>41</v>
      </c>
      <c r="C44" s="84">
        <v>3452</v>
      </c>
      <c r="D44" s="84">
        <v>6194</v>
      </c>
      <c r="E44" s="84">
        <v>1762</v>
      </c>
      <c r="F44" s="84">
        <v>3059</v>
      </c>
      <c r="G44" s="84">
        <v>1446</v>
      </c>
      <c r="H44" s="84">
        <v>2550</v>
      </c>
      <c r="I44" s="84">
        <v>520</v>
      </c>
      <c r="J44" s="84">
        <v>646</v>
      </c>
      <c r="K44" s="78" t="s">
        <v>87</v>
      </c>
      <c r="L44" s="78" t="s">
        <v>88</v>
      </c>
    </row>
    <row r="45" spans="1:12" x14ac:dyDescent="0.25">
      <c r="A45" s="78" t="s">
        <v>42</v>
      </c>
      <c r="C45" s="84">
        <v>3472</v>
      </c>
      <c r="D45" s="84">
        <v>17532</v>
      </c>
      <c r="E45" s="84">
        <v>1642</v>
      </c>
      <c r="F45" s="84">
        <v>4448</v>
      </c>
      <c r="G45" s="84" t="s">
        <v>162</v>
      </c>
      <c r="H45" s="84" t="s">
        <v>162</v>
      </c>
      <c r="I45" s="84">
        <v>12</v>
      </c>
      <c r="J45" s="84">
        <v>35</v>
      </c>
      <c r="K45" s="78" t="s">
        <v>91</v>
      </c>
      <c r="L45" s="78" t="s">
        <v>88</v>
      </c>
    </row>
    <row r="46" spans="1:12" x14ac:dyDescent="0.25">
      <c r="A46" s="78" t="s">
        <v>43</v>
      </c>
      <c r="C46" s="84">
        <v>3216</v>
      </c>
      <c r="D46" s="84">
        <v>4288</v>
      </c>
      <c r="E46" s="84">
        <v>1368</v>
      </c>
      <c r="F46" s="84">
        <v>1824</v>
      </c>
      <c r="G46" s="84" t="s">
        <v>163</v>
      </c>
      <c r="H46" s="84" t="s">
        <v>163</v>
      </c>
      <c r="I46" s="84">
        <v>662</v>
      </c>
      <c r="J46" s="84" t="s">
        <v>163</v>
      </c>
      <c r="K46" s="78" t="s">
        <v>91</v>
      </c>
      <c r="L46" s="78" t="s">
        <v>88</v>
      </c>
    </row>
    <row r="47" spans="1:12" x14ac:dyDescent="0.25">
      <c r="A47" s="78" t="s">
        <v>44</v>
      </c>
      <c r="C47" s="84">
        <v>20669</v>
      </c>
      <c r="D47" s="84">
        <v>13589.133333333333</v>
      </c>
      <c r="E47" s="84">
        <v>7044</v>
      </c>
      <c r="F47" s="84">
        <v>4654.7</v>
      </c>
      <c r="G47" s="84">
        <v>3637</v>
      </c>
      <c r="H47" s="84">
        <v>2507.1833333333334</v>
      </c>
      <c r="I47" s="84">
        <v>0</v>
      </c>
      <c r="J47" s="84">
        <v>0</v>
      </c>
      <c r="K47" s="78" t="s">
        <v>87</v>
      </c>
      <c r="L47" s="78" t="s">
        <v>92</v>
      </c>
    </row>
    <row r="48" spans="1:12" x14ac:dyDescent="0.25">
      <c r="A48" s="78" t="s">
        <v>45</v>
      </c>
      <c r="C48" s="84">
        <v>24165</v>
      </c>
      <c r="D48" s="84" t="s">
        <v>163</v>
      </c>
      <c r="E48" s="84">
        <v>13541</v>
      </c>
      <c r="F48" s="84" t="s">
        <v>163</v>
      </c>
      <c r="G48" s="84">
        <v>5707</v>
      </c>
      <c r="H48" s="84" t="s">
        <v>163</v>
      </c>
      <c r="I48" s="84">
        <v>355</v>
      </c>
      <c r="J48" s="84" t="s">
        <v>163</v>
      </c>
      <c r="K48" s="78" t="s">
        <v>90</v>
      </c>
      <c r="L48" s="78" t="s">
        <v>88</v>
      </c>
    </row>
    <row r="49" spans="1:12" x14ac:dyDescent="0.25">
      <c r="A49" s="78" t="s">
        <v>46</v>
      </c>
      <c r="C49" s="84">
        <v>1765</v>
      </c>
      <c r="D49" s="84">
        <v>3469.28</v>
      </c>
      <c r="E49" s="84">
        <v>915</v>
      </c>
      <c r="F49" s="84">
        <v>2196.62</v>
      </c>
      <c r="G49" s="84">
        <v>329</v>
      </c>
      <c r="H49" s="84">
        <v>735.22</v>
      </c>
      <c r="I49" s="84">
        <v>0</v>
      </c>
      <c r="J49" s="84">
        <v>0</v>
      </c>
      <c r="K49" s="78" t="s">
        <v>91</v>
      </c>
      <c r="L49" s="78" t="s">
        <v>88</v>
      </c>
    </row>
    <row r="50" spans="1:12" x14ac:dyDescent="0.25">
      <c r="A50" s="78" t="s">
        <v>47</v>
      </c>
      <c r="C50" s="84">
        <v>1958</v>
      </c>
      <c r="D50" s="84" t="s">
        <v>163</v>
      </c>
      <c r="E50" s="84">
        <v>273</v>
      </c>
      <c r="F50" s="84" t="s">
        <v>163</v>
      </c>
      <c r="G50" s="84">
        <v>385</v>
      </c>
      <c r="H50" s="84" t="s">
        <v>163</v>
      </c>
      <c r="I50" s="84">
        <v>74</v>
      </c>
      <c r="J50" s="84" t="s">
        <v>163</v>
      </c>
      <c r="K50" s="78" t="s">
        <v>87</v>
      </c>
      <c r="L50" s="78" t="s">
        <v>88</v>
      </c>
    </row>
    <row r="51" spans="1:12" x14ac:dyDescent="0.25">
      <c r="A51" s="78" t="s">
        <v>48</v>
      </c>
      <c r="C51" s="84">
        <v>30504</v>
      </c>
      <c r="D51" s="84">
        <v>16622</v>
      </c>
      <c r="E51" s="84">
        <v>13507</v>
      </c>
      <c r="F51" s="84">
        <v>7752</v>
      </c>
      <c r="G51" s="84">
        <v>4874</v>
      </c>
      <c r="H51" s="84">
        <v>3393</v>
      </c>
      <c r="I51" s="84">
        <v>6621</v>
      </c>
      <c r="J51" s="84">
        <v>2713</v>
      </c>
      <c r="K51" s="78" t="s">
        <v>87</v>
      </c>
      <c r="L51" s="78" t="s">
        <v>92</v>
      </c>
    </row>
    <row r="52" spans="1:12" x14ac:dyDescent="0.25">
      <c r="A52" s="78" t="s">
        <v>49</v>
      </c>
      <c r="C52" s="84">
        <v>1632</v>
      </c>
      <c r="D52" s="84">
        <v>1632</v>
      </c>
      <c r="E52" s="84">
        <v>595</v>
      </c>
      <c r="F52" s="84">
        <v>595</v>
      </c>
      <c r="G52" s="84">
        <v>445</v>
      </c>
      <c r="H52" s="84">
        <v>445</v>
      </c>
      <c r="I52" s="84">
        <v>123</v>
      </c>
      <c r="J52" s="84">
        <v>123</v>
      </c>
      <c r="K52" s="78" t="s">
        <v>90</v>
      </c>
      <c r="L52" s="78" t="s">
        <v>88</v>
      </c>
    </row>
    <row r="53" spans="1:12" x14ac:dyDescent="0.25">
      <c r="A53" s="78" t="s">
        <v>50</v>
      </c>
      <c r="C53" s="84">
        <v>20498</v>
      </c>
      <c r="D53" s="84">
        <v>81992</v>
      </c>
      <c r="E53" s="84" t="s">
        <v>163</v>
      </c>
      <c r="F53" s="84" t="s">
        <v>163</v>
      </c>
      <c r="G53" s="84" t="s">
        <v>163</v>
      </c>
      <c r="H53" s="84" t="s">
        <v>163</v>
      </c>
      <c r="I53" s="84">
        <v>7392</v>
      </c>
      <c r="J53" s="84">
        <v>29568</v>
      </c>
      <c r="K53" s="78" t="s">
        <v>87</v>
      </c>
      <c r="L53" s="78" t="s">
        <v>92</v>
      </c>
    </row>
    <row r="54" spans="1:12" x14ac:dyDescent="0.25">
      <c r="A54" s="78" t="s">
        <v>51</v>
      </c>
      <c r="C54" s="84">
        <v>6465</v>
      </c>
      <c r="D54" s="84">
        <v>8592</v>
      </c>
      <c r="E54" s="84">
        <v>4222</v>
      </c>
      <c r="F54" s="84">
        <v>7658</v>
      </c>
      <c r="G54" s="84">
        <v>623</v>
      </c>
      <c r="H54" s="84">
        <v>934</v>
      </c>
      <c r="I54" s="84" t="s">
        <v>163</v>
      </c>
      <c r="J54" s="84" t="s">
        <v>163</v>
      </c>
      <c r="K54" s="78" t="s">
        <v>90</v>
      </c>
      <c r="L54" s="78" t="s">
        <v>88</v>
      </c>
    </row>
    <row r="55" spans="1:12" x14ac:dyDescent="0.25">
      <c r="A55" s="78" t="s">
        <v>52</v>
      </c>
      <c r="C55" s="84">
        <v>42315</v>
      </c>
      <c r="D55" s="84">
        <v>35673</v>
      </c>
      <c r="E55" s="84">
        <v>16125</v>
      </c>
      <c r="F55" s="84">
        <v>7280</v>
      </c>
      <c r="G55" s="84">
        <v>9053</v>
      </c>
      <c r="H55" s="84">
        <v>9818</v>
      </c>
      <c r="I55" s="84">
        <v>64</v>
      </c>
      <c r="J55" s="84">
        <v>82</v>
      </c>
      <c r="K55" s="78" t="s">
        <v>87</v>
      </c>
      <c r="L55" s="78" t="s">
        <v>92</v>
      </c>
    </row>
    <row r="56" spans="1:12" x14ac:dyDescent="0.25">
      <c r="C56" s="84"/>
      <c r="D56" s="84"/>
      <c r="E56" s="84"/>
      <c r="F56" s="84"/>
      <c r="G56" s="84"/>
      <c r="H56" s="84"/>
      <c r="I56" s="84"/>
      <c r="J56" s="84"/>
    </row>
    <row r="57" spans="1:12" x14ac:dyDescent="0.25">
      <c r="A57" s="78" t="s">
        <v>164</v>
      </c>
      <c r="C57" s="84"/>
      <c r="D57" s="84"/>
      <c r="E57" s="84"/>
      <c r="F57" s="84"/>
      <c r="G57" s="84"/>
      <c r="H57" s="84"/>
      <c r="I57" s="84"/>
      <c r="J57" s="84"/>
    </row>
    <row r="58" spans="1:12" ht="10.4" customHeight="1" x14ac:dyDescent="0.25">
      <c r="A58" s="78" t="s">
        <v>45</v>
      </c>
      <c r="D58" s="85">
        <v>32347.03977337978</v>
      </c>
      <c r="K58" s="78" t="s">
        <v>90</v>
      </c>
      <c r="L58" s="78" t="s">
        <v>88</v>
      </c>
    </row>
    <row r="59" spans="1:12" ht="10.4" customHeight="1" x14ac:dyDescent="0.25">
      <c r="A59" s="78" t="s">
        <v>47</v>
      </c>
      <c r="D59" s="85">
        <v>2620.9602266202196</v>
      </c>
      <c r="K59" s="78" t="s">
        <v>87</v>
      </c>
      <c r="L59" s="78" t="s">
        <v>88</v>
      </c>
    </row>
    <row r="60" spans="1:12" ht="10.4" customHeight="1" x14ac:dyDescent="0.25">
      <c r="D60" s="85"/>
    </row>
    <row r="61" spans="1:12" ht="10.4" customHeight="1" x14ac:dyDescent="0.25"/>
    <row r="62" spans="1:12" ht="10.4" customHeight="1" x14ac:dyDescent="0.25"/>
    <row r="63" spans="1:12" ht="10.4" customHeight="1" x14ac:dyDescent="0.25"/>
    <row r="64" spans="1:12" ht="10.4" customHeight="1" x14ac:dyDescent="0.25"/>
    <row r="65" ht="10.4" customHeight="1" x14ac:dyDescent="0.25"/>
    <row r="66" ht="10.4" customHeight="1" x14ac:dyDescent="0.25"/>
    <row r="67" ht="10.4" customHeight="1" x14ac:dyDescent="0.25"/>
    <row r="68" ht="10.4" customHeight="1" x14ac:dyDescent="0.25"/>
  </sheetData>
  <mergeCells count="10">
    <mergeCell ref="O4:P4"/>
    <mergeCell ref="Q4:R4"/>
    <mergeCell ref="S4:T4"/>
    <mergeCell ref="U4:V4"/>
    <mergeCell ref="A1:J1"/>
    <mergeCell ref="A2:A3"/>
    <mergeCell ref="C2:D2"/>
    <mergeCell ref="E2:F2"/>
    <mergeCell ref="G2:H2"/>
    <mergeCell ref="I2:J2"/>
  </mergeCells>
  <pageMargins left="0.7" right="0.7" top="0.75" bottom="0.75" header="0.3" footer="0.3"/>
  <pageSetup paperSize="9" orientation="portrait" r:id="rId1"/>
  <headerFooter>
    <oddHeader>&amp;C&amp;"Aptos"&amp;10&amp;K000000 OFFICIAL&amp;1#_x000D_</oddHeader>
    <oddFooter>&amp;C_x000D_&amp;1#&amp;"Aptos"&amp;10&amp;K000000 OFFICIAL</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E8B5C0-A806-411F-8CA8-4ADCB2576DE9}">
  <sheetPr>
    <tabColor theme="9" tint="0.79998168889431442"/>
  </sheetPr>
  <dimension ref="A1:V68"/>
  <sheetViews>
    <sheetView workbookViewId="0">
      <selection activeCell="L18" sqref="L18"/>
    </sheetView>
  </sheetViews>
  <sheetFormatPr defaultColWidth="8.81640625" defaultRowHeight="10.5" x14ac:dyDescent="0.25"/>
  <cols>
    <col min="1" max="1" width="21" style="78" bestFit="1" customWidth="1"/>
    <col min="2" max="2" width="4.453125" style="78" customWidth="1"/>
    <col min="3" max="10" width="8.81640625" style="78"/>
    <col min="11" max="11" width="18.453125" style="78" bestFit="1" customWidth="1"/>
    <col min="12" max="12" width="15.81640625" style="78" bestFit="1" customWidth="1"/>
    <col min="13" max="13" width="8.81640625" style="78"/>
    <col min="14" max="14" width="19.54296875" style="78" bestFit="1" customWidth="1"/>
    <col min="15" max="16384" width="8.81640625" style="78"/>
  </cols>
  <sheetData>
    <row r="1" spans="1:22" ht="41.9" customHeight="1" x14ac:dyDescent="0.25">
      <c r="A1" s="241"/>
      <c r="B1" s="241"/>
      <c r="C1" s="241"/>
      <c r="D1" s="241"/>
      <c r="E1" s="241"/>
      <c r="F1" s="241"/>
      <c r="G1" s="241"/>
      <c r="H1" s="241"/>
      <c r="I1" s="241"/>
      <c r="J1" s="241"/>
    </row>
    <row r="2" spans="1:22" ht="36.65" customHeight="1" x14ac:dyDescent="0.25">
      <c r="A2" s="242"/>
      <c r="B2" s="79"/>
      <c r="C2" s="238" t="s">
        <v>150</v>
      </c>
      <c r="D2" s="239"/>
      <c r="E2" s="240" t="s">
        <v>151</v>
      </c>
      <c r="F2" s="240"/>
      <c r="G2" s="240" t="s">
        <v>152</v>
      </c>
      <c r="H2" s="240"/>
      <c r="I2" s="238" t="s">
        <v>153</v>
      </c>
      <c r="J2" s="239"/>
    </row>
    <row r="3" spans="1:22" ht="27.65" customHeight="1" x14ac:dyDescent="0.25">
      <c r="A3" s="243"/>
      <c r="B3" s="80"/>
      <c r="C3" s="81" t="s">
        <v>127</v>
      </c>
      <c r="D3" s="81" t="s">
        <v>128</v>
      </c>
      <c r="E3" s="81" t="s">
        <v>127</v>
      </c>
      <c r="F3" s="81" t="s">
        <v>128</v>
      </c>
      <c r="G3" s="81" t="s">
        <v>127</v>
      </c>
      <c r="H3" s="81" t="s">
        <v>128</v>
      </c>
      <c r="I3" s="81" t="s">
        <v>127</v>
      </c>
      <c r="J3" s="81" t="s">
        <v>128</v>
      </c>
    </row>
    <row r="4" spans="1:22" x14ac:dyDescent="0.25">
      <c r="O4" s="238" t="s">
        <v>150</v>
      </c>
      <c r="P4" s="239"/>
      <c r="Q4" s="240" t="s">
        <v>151</v>
      </c>
      <c r="R4" s="240"/>
      <c r="S4" s="240" t="s">
        <v>152</v>
      </c>
      <c r="T4" s="240"/>
      <c r="U4" s="238" t="s">
        <v>153</v>
      </c>
      <c r="V4" s="239"/>
    </row>
    <row r="5" spans="1:22" x14ac:dyDescent="0.25">
      <c r="O5" s="81" t="s">
        <v>127</v>
      </c>
      <c r="P5" s="81" t="s">
        <v>128</v>
      </c>
      <c r="Q5" s="81" t="s">
        <v>127</v>
      </c>
      <c r="R5" s="81" t="s">
        <v>128</v>
      </c>
      <c r="S5" s="81" t="s">
        <v>127</v>
      </c>
      <c r="T5" s="81" t="s">
        <v>128</v>
      </c>
      <c r="U5" s="81" t="s">
        <v>127</v>
      </c>
      <c r="V5" s="81" t="s">
        <v>128</v>
      </c>
    </row>
    <row r="6" spans="1:22" x14ac:dyDescent="0.25">
      <c r="A6" s="82" t="s">
        <v>76</v>
      </c>
      <c r="B6" s="82"/>
      <c r="C6" s="83">
        <f t="shared" ref="C6:J6" si="0">SUM(C12:C60)</f>
        <v>581364</v>
      </c>
      <c r="D6" s="83">
        <f t="shared" si="0"/>
        <v>729661.84618249536</v>
      </c>
      <c r="E6" s="83">
        <f t="shared" si="0"/>
        <v>268176</v>
      </c>
      <c r="F6" s="83">
        <f t="shared" si="0"/>
        <v>319565.42333333334</v>
      </c>
      <c r="G6" s="83">
        <f t="shared" si="0"/>
        <v>130971</v>
      </c>
      <c r="H6" s="83">
        <f t="shared" si="0"/>
        <v>182967.90000000002</v>
      </c>
      <c r="I6" s="83">
        <f t="shared" si="0"/>
        <v>44388</v>
      </c>
      <c r="J6" s="83">
        <f t="shared" si="0"/>
        <v>67055.459999999992</v>
      </c>
      <c r="N6" s="78" t="s">
        <v>82</v>
      </c>
      <c r="O6" s="78">
        <v>4392</v>
      </c>
      <c r="P6" s="78">
        <v>10147</v>
      </c>
      <c r="Q6" s="78">
        <v>3046</v>
      </c>
      <c r="R6" s="78">
        <v>6923</v>
      </c>
      <c r="S6" s="78">
        <v>0</v>
      </c>
      <c r="T6" s="78">
        <v>0</v>
      </c>
      <c r="U6" s="78">
        <v>430</v>
      </c>
      <c r="V6" s="78">
        <v>799</v>
      </c>
    </row>
    <row r="7" spans="1:22" x14ac:dyDescent="0.25">
      <c r="A7" s="82" t="s">
        <v>88</v>
      </c>
      <c r="B7" s="82"/>
      <c r="C7" s="83">
        <f t="shared" ref="C7:J8" si="1">SUMIF($L$12:$L$60,$A7,C$12:C$60)</f>
        <v>301400</v>
      </c>
      <c r="D7" s="83">
        <f t="shared" si="1"/>
        <v>397954.74618249526</v>
      </c>
      <c r="E7" s="83">
        <f t="shared" si="1"/>
        <v>158517</v>
      </c>
      <c r="F7" s="83">
        <f t="shared" si="1"/>
        <v>176360.84</v>
      </c>
      <c r="G7" s="83">
        <f t="shared" si="1"/>
        <v>63721</v>
      </c>
      <c r="H7" s="83">
        <f t="shared" si="1"/>
        <v>80094.3</v>
      </c>
      <c r="I7" s="83">
        <f t="shared" si="1"/>
        <v>19608</v>
      </c>
      <c r="J7" s="83">
        <f t="shared" si="1"/>
        <v>21262.46</v>
      </c>
      <c r="N7" s="78" t="s">
        <v>83</v>
      </c>
      <c r="O7" s="78">
        <v>490</v>
      </c>
      <c r="P7" s="78">
        <v>366</v>
      </c>
      <c r="Q7" s="78">
        <v>353</v>
      </c>
      <c r="R7" s="78">
        <v>268</v>
      </c>
      <c r="S7" s="78">
        <v>0</v>
      </c>
      <c r="T7" s="78">
        <v>0</v>
      </c>
      <c r="U7" s="78">
        <v>227</v>
      </c>
      <c r="V7" s="78">
        <v>176</v>
      </c>
    </row>
    <row r="8" spans="1:22" x14ac:dyDescent="0.25">
      <c r="A8" s="82" t="s">
        <v>92</v>
      </c>
      <c r="B8" s="82"/>
      <c r="C8" s="83">
        <f t="shared" si="1"/>
        <v>279964</v>
      </c>
      <c r="D8" s="83">
        <f t="shared" si="1"/>
        <v>331707.09999999998</v>
      </c>
      <c r="E8" s="83">
        <f t="shared" si="1"/>
        <v>109659</v>
      </c>
      <c r="F8" s="83">
        <f t="shared" si="1"/>
        <v>143204.58333333331</v>
      </c>
      <c r="G8" s="83">
        <f t="shared" si="1"/>
        <v>67250</v>
      </c>
      <c r="H8" s="83">
        <f t="shared" si="1"/>
        <v>102873.60000000001</v>
      </c>
      <c r="I8" s="83">
        <f t="shared" si="1"/>
        <v>24780</v>
      </c>
      <c r="J8" s="83">
        <f t="shared" si="1"/>
        <v>45793</v>
      </c>
      <c r="N8" s="78" t="s">
        <v>93</v>
      </c>
      <c r="O8" s="78">
        <f>SUM(O6:O7)</f>
        <v>4882</v>
      </c>
      <c r="P8" s="78">
        <f t="shared" ref="P8:V8" si="2">SUM(P6:P7)</f>
        <v>10513</v>
      </c>
      <c r="Q8" s="78">
        <f t="shared" si="2"/>
        <v>3399</v>
      </c>
      <c r="R8" s="78">
        <f t="shared" si="2"/>
        <v>7191</v>
      </c>
      <c r="S8" s="78">
        <f t="shared" si="2"/>
        <v>0</v>
      </c>
      <c r="T8" s="78">
        <f t="shared" si="2"/>
        <v>0</v>
      </c>
      <c r="U8" s="78">
        <f t="shared" si="2"/>
        <v>657</v>
      </c>
      <c r="V8" s="78">
        <f t="shared" si="2"/>
        <v>975</v>
      </c>
    </row>
    <row r="9" spans="1:22" x14ac:dyDescent="0.25">
      <c r="A9" s="82" t="s">
        <v>87</v>
      </c>
      <c r="B9" s="82"/>
      <c r="C9" s="83">
        <f t="shared" ref="C9:J11" si="3">SUMIF($K$12:$K$60,$A9,C$12:C$60)</f>
        <v>347603</v>
      </c>
      <c r="D9" s="83">
        <f t="shared" si="3"/>
        <v>472761.1</v>
      </c>
      <c r="E9" s="83">
        <f t="shared" si="3"/>
        <v>142848</v>
      </c>
      <c r="F9" s="83">
        <f t="shared" si="3"/>
        <v>204353.58333333331</v>
      </c>
      <c r="G9" s="83">
        <f t="shared" si="3"/>
        <v>86340</v>
      </c>
      <c r="H9" s="83">
        <f t="shared" si="3"/>
        <v>132318.6</v>
      </c>
      <c r="I9" s="83">
        <f t="shared" si="3"/>
        <v>30540</v>
      </c>
      <c r="J9" s="83">
        <f t="shared" si="3"/>
        <v>56518.5</v>
      </c>
    </row>
    <row r="10" spans="1:22" x14ac:dyDescent="0.25">
      <c r="A10" s="82" t="s">
        <v>90</v>
      </c>
      <c r="B10" s="82"/>
      <c r="C10" s="83">
        <f t="shared" si="3"/>
        <v>160800</v>
      </c>
      <c r="D10" s="83">
        <f t="shared" si="3"/>
        <v>179065.49618249529</v>
      </c>
      <c r="E10" s="83">
        <f t="shared" si="3"/>
        <v>94310</v>
      </c>
      <c r="F10" s="83">
        <f t="shared" si="3"/>
        <v>77666.34</v>
      </c>
      <c r="G10" s="83">
        <f t="shared" si="3"/>
        <v>33675</v>
      </c>
      <c r="H10" s="83">
        <f t="shared" si="3"/>
        <v>33516.550000000003</v>
      </c>
      <c r="I10" s="83">
        <f t="shared" si="3"/>
        <v>10165</v>
      </c>
      <c r="J10" s="83">
        <f t="shared" si="3"/>
        <v>8683.2099999999991</v>
      </c>
    </row>
    <row r="11" spans="1:22" x14ac:dyDescent="0.25">
      <c r="A11" s="82" t="s">
        <v>91</v>
      </c>
      <c r="B11" s="82"/>
      <c r="C11" s="83">
        <f t="shared" si="3"/>
        <v>72961</v>
      </c>
      <c r="D11" s="83">
        <f t="shared" si="3"/>
        <v>77835.25</v>
      </c>
      <c r="E11" s="83">
        <f t="shared" si="3"/>
        <v>31018</v>
      </c>
      <c r="F11" s="83">
        <f t="shared" si="3"/>
        <v>37545.5</v>
      </c>
      <c r="G11" s="83">
        <f t="shared" si="3"/>
        <v>10956</v>
      </c>
      <c r="H11" s="83">
        <f t="shared" si="3"/>
        <v>17132.75</v>
      </c>
      <c r="I11" s="83">
        <f t="shared" si="3"/>
        <v>3683</v>
      </c>
      <c r="J11" s="83">
        <f t="shared" si="3"/>
        <v>1853.75</v>
      </c>
    </row>
    <row r="12" spans="1:22" x14ac:dyDescent="0.25">
      <c r="A12" s="78" t="s">
        <v>8</v>
      </c>
      <c r="C12" s="84">
        <v>7884</v>
      </c>
      <c r="D12" s="84">
        <v>6030</v>
      </c>
      <c r="E12" s="84">
        <v>4725</v>
      </c>
      <c r="F12" s="84">
        <v>3615</v>
      </c>
      <c r="G12" s="84">
        <v>3240</v>
      </c>
      <c r="H12" s="84">
        <v>2515</v>
      </c>
      <c r="I12" s="84">
        <v>1423</v>
      </c>
      <c r="J12" s="84">
        <v>710</v>
      </c>
      <c r="K12" s="78" t="s">
        <v>87</v>
      </c>
      <c r="L12" s="78" t="s">
        <v>88</v>
      </c>
    </row>
    <row r="13" spans="1:22" x14ac:dyDescent="0.25">
      <c r="A13" s="78" t="s">
        <v>11</v>
      </c>
      <c r="C13" s="84">
        <v>4346</v>
      </c>
      <c r="D13" s="84">
        <v>3961.53</v>
      </c>
      <c r="E13" s="84">
        <v>2684</v>
      </c>
      <c r="F13" s="84">
        <v>0</v>
      </c>
      <c r="G13" s="84">
        <v>0</v>
      </c>
      <c r="H13" s="84">
        <v>0</v>
      </c>
      <c r="I13" s="84">
        <v>1145</v>
      </c>
      <c r="J13" s="84">
        <v>0</v>
      </c>
      <c r="K13" s="78" t="s">
        <v>90</v>
      </c>
      <c r="L13" s="78" t="s">
        <v>88</v>
      </c>
    </row>
    <row r="14" spans="1:22" x14ac:dyDescent="0.25">
      <c r="A14" s="78" t="s">
        <v>12</v>
      </c>
      <c r="C14" s="84">
        <v>9485</v>
      </c>
      <c r="D14" s="84">
        <v>11108</v>
      </c>
      <c r="E14" s="84">
        <v>5163</v>
      </c>
      <c r="F14" s="84">
        <v>10326</v>
      </c>
      <c r="G14" s="84">
        <v>1939</v>
      </c>
      <c r="H14" s="84">
        <v>3878</v>
      </c>
      <c r="I14" s="84">
        <v>0</v>
      </c>
      <c r="J14" s="84">
        <v>0</v>
      </c>
      <c r="K14" s="78" t="s">
        <v>87</v>
      </c>
      <c r="L14" s="78" t="s">
        <v>88</v>
      </c>
    </row>
    <row r="15" spans="1:22" x14ac:dyDescent="0.25">
      <c r="A15" s="78" t="s">
        <v>13</v>
      </c>
      <c r="C15" s="84">
        <v>4115</v>
      </c>
      <c r="D15" s="84">
        <v>5100</v>
      </c>
      <c r="E15" s="84">
        <v>1648</v>
      </c>
      <c r="F15" s="84">
        <v>840</v>
      </c>
      <c r="G15" s="84">
        <v>358</v>
      </c>
      <c r="H15" s="84">
        <v>220</v>
      </c>
      <c r="I15" s="84">
        <v>0</v>
      </c>
      <c r="J15" s="84">
        <v>0</v>
      </c>
      <c r="K15" s="78" t="s">
        <v>90</v>
      </c>
      <c r="L15" s="78" t="s">
        <v>88</v>
      </c>
    </row>
    <row r="16" spans="1:22" x14ac:dyDescent="0.25">
      <c r="A16" s="78" t="s">
        <v>14</v>
      </c>
      <c r="C16" s="84">
        <v>2510</v>
      </c>
      <c r="D16" s="84">
        <v>2395</v>
      </c>
      <c r="E16" s="84">
        <v>1421</v>
      </c>
      <c r="F16" s="84">
        <v>1540</v>
      </c>
      <c r="G16" s="84">
        <v>972</v>
      </c>
      <c r="H16" s="84">
        <v>1194</v>
      </c>
      <c r="I16" s="84">
        <v>852</v>
      </c>
      <c r="J16" s="84">
        <v>738</v>
      </c>
      <c r="K16" s="78" t="s">
        <v>91</v>
      </c>
      <c r="L16" s="78" t="s">
        <v>88</v>
      </c>
    </row>
    <row r="17" spans="1:12" x14ac:dyDescent="0.25">
      <c r="A17" s="78" t="s">
        <v>15</v>
      </c>
      <c r="C17" s="84">
        <v>29162</v>
      </c>
      <c r="D17" s="84">
        <v>12285</v>
      </c>
      <c r="E17" s="84">
        <v>24129</v>
      </c>
      <c r="F17" s="84">
        <v>10042</v>
      </c>
      <c r="G17" s="84">
        <v>7835</v>
      </c>
      <c r="H17" s="84">
        <v>3941</v>
      </c>
      <c r="I17" s="84">
        <v>0</v>
      </c>
      <c r="J17" s="84">
        <v>0</v>
      </c>
      <c r="K17" s="78" t="s">
        <v>90</v>
      </c>
      <c r="L17" s="78" t="s">
        <v>88</v>
      </c>
    </row>
    <row r="18" spans="1:12" x14ac:dyDescent="0.25">
      <c r="A18" s="78" t="s">
        <v>16</v>
      </c>
      <c r="C18" s="84">
        <v>22045</v>
      </c>
      <c r="D18" s="84">
        <v>83914</v>
      </c>
      <c r="E18" s="84">
        <v>8520</v>
      </c>
      <c r="F18" s="84">
        <v>29040</v>
      </c>
      <c r="G18" s="84">
        <v>3310</v>
      </c>
      <c r="H18" s="84">
        <v>10620</v>
      </c>
      <c r="I18" s="84">
        <v>1667</v>
      </c>
      <c r="J18" s="84">
        <v>5001</v>
      </c>
      <c r="K18" s="78" t="s">
        <v>87</v>
      </c>
      <c r="L18" s="78" t="s">
        <v>88</v>
      </c>
    </row>
    <row r="19" spans="1:12" x14ac:dyDescent="0.25">
      <c r="A19" s="78" t="s">
        <v>17</v>
      </c>
      <c r="C19" s="84">
        <v>4076</v>
      </c>
      <c r="D19" s="84">
        <v>2839</v>
      </c>
      <c r="E19" s="84">
        <v>1897</v>
      </c>
      <c r="F19" s="84">
        <v>949</v>
      </c>
      <c r="G19" s="84">
        <v>2396</v>
      </c>
      <c r="H19" s="84">
        <v>1278</v>
      </c>
      <c r="I19" s="84">
        <v>1077</v>
      </c>
      <c r="J19" s="84">
        <v>395</v>
      </c>
      <c r="K19" s="78" t="s">
        <v>91</v>
      </c>
      <c r="L19" s="78" t="s">
        <v>88</v>
      </c>
    </row>
    <row r="20" spans="1:12" x14ac:dyDescent="0.25">
      <c r="A20" s="78" t="s">
        <v>18</v>
      </c>
      <c r="C20" s="84">
        <v>8551</v>
      </c>
      <c r="D20" s="84">
        <v>6019</v>
      </c>
      <c r="E20" s="84">
        <v>1580</v>
      </c>
      <c r="F20" s="84">
        <v>2124</v>
      </c>
      <c r="G20" s="84">
        <v>514</v>
      </c>
      <c r="H20" s="84">
        <v>688</v>
      </c>
      <c r="I20" s="84">
        <v>0</v>
      </c>
      <c r="J20" s="84">
        <v>0</v>
      </c>
      <c r="K20" s="78" t="s">
        <v>91</v>
      </c>
      <c r="L20" s="78" t="s">
        <v>88</v>
      </c>
    </row>
    <row r="21" spans="1:12" x14ac:dyDescent="0.25">
      <c r="A21" s="85" t="s">
        <v>19</v>
      </c>
      <c r="C21" s="84">
        <v>11636</v>
      </c>
      <c r="D21" s="84">
        <v>15189</v>
      </c>
      <c r="E21" s="84">
        <v>8051</v>
      </c>
      <c r="F21" s="84">
        <v>10213</v>
      </c>
      <c r="G21" s="84">
        <v>2826</v>
      </c>
      <c r="H21" s="84">
        <v>4477</v>
      </c>
      <c r="I21" s="84">
        <v>5336</v>
      </c>
      <c r="J21" s="84">
        <v>5382</v>
      </c>
      <c r="K21" s="78" t="s">
        <v>90</v>
      </c>
      <c r="L21" s="78" t="s">
        <v>88</v>
      </c>
    </row>
    <row r="22" spans="1:12" x14ac:dyDescent="0.25">
      <c r="A22" s="85" t="s">
        <v>20</v>
      </c>
      <c r="C22" s="84">
        <v>9968</v>
      </c>
      <c r="D22" s="84">
        <v>11332</v>
      </c>
      <c r="E22" s="84">
        <v>5289</v>
      </c>
      <c r="F22" s="84">
        <v>6656</v>
      </c>
      <c r="G22" s="84">
        <v>1663</v>
      </c>
      <c r="H22" s="84">
        <v>1936</v>
      </c>
      <c r="I22" s="84">
        <v>0</v>
      </c>
      <c r="J22" s="84">
        <v>0</v>
      </c>
      <c r="K22" s="78" t="s">
        <v>91</v>
      </c>
      <c r="L22" s="78" t="s">
        <v>88</v>
      </c>
    </row>
    <row r="23" spans="1:12" x14ac:dyDescent="0.25">
      <c r="A23" s="85" t="s">
        <v>21</v>
      </c>
      <c r="C23" s="84">
        <v>15255</v>
      </c>
      <c r="D23" s="84">
        <v>19358</v>
      </c>
      <c r="E23" s="84">
        <v>7808</v>
      </c>
      <c r="F23" s="84">
        <v>10737</v>
      </c>
      <c r="G23" s="84">
        <v>170</v>
      </c>
      <c r="H23" s="84">
        <v>255</v>
      </c>
      <c r="I23" s="84">
        <v>600</v>
      </c>
      <c r="J23" s="84">
        <v>456</v>
      </c>
      <c r="K23" s="78" t="s">
        <v>90</v>
      </c>
      <c r="L23" s="78" t="s">
        <v>88</v>
      </c>
    </row>
    <row r="24" spans="1:12" x14ac:dyDescent="0.25">
      <c r="A24" s="78" t="s">
        <v>22</v>
      </c>
      <c r="C24" s="84">
        <v>20537</v>
      </c>
      <c r="D24" s="84">
        <v>14775</v>
      </c>
      <c r="E24" s="84">
        <v>6370</v>
      </c>
      <c r="F24" s="84">
        <v>5021</v>
      </c>
      <c r="G24" s="84">
        <v>474</v>
      </c>
      <c r="H24" s="84">
        <v>466</v>
      </c>
      <c r="I24" s="84">
        <v>0</v>
      </c>
      <c r="J24" s="84">
        <v>0</v>
      </c>
      <c r="K24" s="78" t="s">
        <v>91</v>
      </c>
      <c r="L24" s="78" t="s">
        <v>88</v>
      </c>
    </row>
    <row r="25" spans="1:12" x14ac:dyDescent="0.25">
      <c r="A25" s="78" t="s">
        <v>23</v>
      </c>
      <c r="C25" s="84">
        <v>9897</v>
      </c>
      <c r="D25" s="84">
        <v>17425.75</v>
      </c>
      <c r="E25" s="84">
        <v>6310</v>
      </c>
      <c r="F25" s="84">
        <v>10894</v>
      </c>
      <c r="G25" s="84">
        <v>4771</v>
      </c>
      <c r="H25" s="84">
        <v>8136.75</v>
      </c>
      <c r="I25" s="84">
        <v>0</v>
      </c>
      <c r="J25" s="84">
        <v>0</v>
      </c>
      <c r="K25" s="78" t="s">
        <v>90</v>
      </c>
      <c r="L25" s="78" t="s">
        <v>88</v>
      </c>
    </row>
    <row r="26" spans="1:12" x14ac:dyDescent="0.25">
      <c r="A26" s="78" t="s">
        <v>24</v>
      </c>
      <c r="C26" s="84">
        <v>4595</v>
      </c>
      <c r="D26" s="84">
        <v>5934.15</v>
      </c>
      <c r="E26" s="84">
        <v>2288</v>
      </c>
      <c r="F26" s="84">
        <v>3049.34</v>
      </c>
      <c r="G26" s="84">
        <v>563</v>
      </c>
      <c r="H26" s="84">
        <v>780.8</v>
      </c>
      <c r="I26" s="84">
        <v>977</v>
      </c>
      <c r="J26" s="84">
        <v>778.21</v>
      </c>
      <c r="K26" s="78" t="s">
        <v>90</v>
      </c>
      <c r="L26" s="78" t="s">
        <v>88</v>
      </c>
    </row>
    <row r="27" spans="1:12" x14ac:dyDescent="0.25">
      <c r="A27" s="78" t="s">
        <v>25</v>
      </c>
      <c r="C27" s="84">
        <v>6294</v>
      </c>
      <c r="D27" s="84">
        <v>5194</v>
      </c>
      <c r="E27" s="84">
        <v>3919</v>
      </c>
      <c r="F27" s="84">
        <v>3396</v>
      </c>
      <c r="G27" s="84">
        <v>1489</v>
      </c>
      <c r="H27" s="84">
        <v>1771</v>
      </c>
      <c r="I27" s="84">
        <v>0</v>
      </c>
      <c r="J27" s="84">
        <v>0</v>
      </c>
      <c r="K27" s="78" t="s">
        <v>90</v>
      </c>
      <c r="L27" s="78" t="s">
        <v>88</v>
      </c>
    </row>
    <row r="28" spans="1:12" x14ac:dyDescent="0.25">
      <c r="A28" s="78" t="s">
        <v>26</v>
      </c>
      <c r="C28" s="84">
        <v>79855</v>
      </c>
      <c r="D28" s="84">
        <v>35673</v>
      </c>
      <c r="E28" s="84">
        <v>34760</v>
      </c>
      <c r="F28" s="84">
        <v>16048</v>
      </c>
      <c r="G28" s="84">
        <v>26873</v>
      </c>
      <c r="H28" s="84">
        <v>12598</v>
      </c>
      <c r="I28" s="84">
        <v>3903</v>
      </c>
      <c r="J28" s="84" t="s">
        <v>163</v>
      </c>
      <c r="K28" s="78" t="s">
        <v>87</v>
      </c>
      <c r="L28" s="78" t="s">
        <v>92</v>
      </c>
    </row>
    <row r="29" spans="1:12" x14ac:dyDescent="0.25">
      <c r="A29" s="78" t="s">
        <v>27</v>
      </c>
      <c r="C29" s="84">
        <v>44421</v>
      </c>
      <c r="D29" s="84">
        <v>48027</v>
      </c>
      <c r="E29" s="84">
        <v>6298</v>
      </c>
      <c r="F29" s="84">
        <v>7191.5</v>
      </c>
      <c r="G29" s="84">
        <v>1147</v>
      </c>
      <c r="H29" s="84">
        <v>1147</v>
      </c>
      <c r="I29" s="84">
        <v>6</v>
      </c>
      <c r="J29" s="84">
        <v>6</v>
      </c>
      <c r="K29" s="78" t="s">
        <v>87</v>
      </c>
      <c r="L29" s="78" t="s">
        <v>92</v>
      </c>
    </row>
    <row r="30" spans="1:12" x14ac:dyDescent="0.25">
      <c r="A30" s="78" t="s">
        <v>93</v>
      </c>
      <c r="C30" s="84">
        <v>4882</v>
      </c>
      <c r="D30" s="84">
        <v>10513</v>
      </c>
      <c r="E30" s="84">
        <v>3399</v>
      </c>
      <c r="F30" s="84">
        <v>7191</v>
      </c>
      <c r="G30" s="84">
        <v>0</v>
      </c>
      <c r="H30" s="84">
        <v>0</v>
      </c>
      <c r="I30" s="84">
        <v>657</v>
      </c>
      <c r="J30" s="84">
        <v>975</v>
      </c>
      <c r="K30" s="78" t="s">
        <v>90</v>
      </c>
      <c r="L30" s="78" t="s">
        <v>88</v>
      </c>
    </row>
    <row r="31" spans="1:12" x14ac:dyDescent="0.25">
      <c r="A31" s="78" t="s">
        <v>28</v>
      </c>
      <c r="C31" s="84">
        <v>4025</v>
      </c>
      <c r="D31" s="84">
        <v>4798</v>
      </c>
      <c r="E31" s="84">
        <v>2352</v>
      </c>
      <c r="F31" s="84">
        <v>2983</v>
      </c>
      <c r="G31" s="84">
        <v>1363</v>
      </c>
      <c r="H31" s="84">
        <v>1870</v>
      </c>
      <c r="I31" s="84">
        <v>0</v>
      </c>
      <c r="J31" s="84">
        <v>0</v>
      </c>
      <c r="K31" s="78" t="s">
        <v>90</v>
      </c>
      <c r="L31" s="78" t="s">
        <v>88</v>
      </c>
    </row>
    <row r="32" spans="1:12" x14ac:dyDescent="0.25">
      <c r="A32" s="78" t="s">
        <v>29</v>
      </c>
      <c r="C32" s="84">
        <v>4535</v>
      </c>
      <c r="D32" s="84">
        <v>8163</v>
      </c>
      <c r="E32" s="84">
        <v>2140</v>
      </c>
      <c r="F32" s="84">
        <v>3852</v>
      </c>
      <c r="G32" s="84">
        <v>799</v>
      </c>
      <c r="H32" s="84">
        <v>1438</v>
      </c>
      <c r="I32" s="84">
        <v>2134</v>
      </c>
      <c r="J32" s="84">
        <v>4268</v>
      </c>
      <c r="K32" s="78" t="s">
        <v>87</v>
      </c>
      <c r="L32" s="78" t="s">
        <v>88</v>
      </c>
    </row>
    <row r="33" spans="1:12" x14ac:dyDescent="0.25">
      <c r="A33" s="78" t="s">
        <v>30</v>
      </c>
      <c r="C33" s="84">
        <v>8576</v>
      </c>
      <c r="D33" s="84">
        <v>8122</v>
      </c>
      <c r="E33" s="84">
        <v>3490</v>
      </c>
      <c r="F33" s="84">
        <v>3289</v>
      </c>
      <c r="G33" s="84">
        <v>1825</v>
      </c>
      <c r="H33" s="84">
        <v>1706</v>
      </c>
      <c r="I33" s="84">
        <v>0</v>
      </c>
      <c r="J33" s="84">
        <v>0</v>
      </c>
      <c r="K33" s="78" t="s">
        <v>90</v>
      </c>
      <c r="L33" s="78" t="s">
        <v>88</v>
      </c>
    </row>
    <row r="34" spans="1:12" x14ac:dyDescent="0.25">
      <c r="A34" s="78" t="s">
        <v>94</v>
      </c>
      <c r="C34" s="84">
        <v>79</v>
      </c>
      <c r="D34" s="84">
        <v>41</v>
      </c>
      <c r="E34" s="84">
        <v>77</v>
      </c>
      <c r="F34" s="84">
        <v>39</v>
      </c>
      <c r="G34" s="84">
        <v>0</v>
      </c>
      <c r="H34" s="84">
        <v>0</v>
      </c>
      <c r="I34" s="84">
        <v>0</v>
      </c>
      <c r="J34" s="84">
        <v>0</v>
      </c>
      <c r="K34" s="78" t="s">
        <v>91</v>
      </c>
      <c r="L34" s="78" t="s">
        <v>88</v>
      </c>
    </row>
    <row r="35" spans="1:12" x14ac:dyDescent="0.25">
      <c r="A35" s="78" t="s">
        <v>32</v>
      </c>
      <c r="C35" s="84">
        <v>8969</v>
      </c>
      <c r="D35" s="84">
        <v>6956</v>
      </c>
      <c r="E35" s="84">
        <v>2009</v>
      </c>
      <c r="F35" s="84">
        <v>1467</v>
      </c>
      <c r="G35" s="84">
        <v>4382</v>
      </c>
      <c r="H35" s="84">
        <v>3370</v>
      </c>
      <c r="I35" s="84">
        <v>196</v>
      </c>
      <c r="J35" s="84">
        <v>0</v>
      </c>
      <c r="K35" s="78" t="s">
        <v>90</v>
      </c>
      <c r="L35" s="78" t="s">
        <v>88</v>
      </c>
    </row>
    <row r="36" spans="1:12" x14ac:dyDescent="0.25">
      <c r="A36" s="78" t="s">
        <v>33</v>
      </c>
      <c r="C36" s="84">
        <v>16252</v>
      </c>
      <c r="D36" s="84">
        <v>22101</v>
      </c>
      <c r="E36" s="84">
        <v>8551</v>
      </c>
      <c r="F36" s="84">
        <v>9411</v>
      </c>
      <c r="G36" s="84">
        <v>6741</v>
      </c>
      <c r="H36" s="84">
        <v>7415</v>
      </c>
      <c r="I36" s="84">
        <v>3</v>
      </c>
      <c r="J36" s="84">
        <v>3</v>
      </c>
      <c r="K36" s="78" t="s">
        <v>87</v>
      </c>
      <c r="L36" s="78" t="s">
        <v>88</v>
      </c>
    </row>
    <row r="37" spans="1:12" x14ac:dyDescent="0.25">
      <c r="A37" s="78" t="s">
        <v>34</v>
      </c>
      <c r="C37" s="84">
        <v>5086</v>
      </c>
      <c r="D37" s="84">
        <v>8901</v>
      </c>
      <c r="E37" s="84">
        <v>2766</v>
      </c>
      <c r="F37" s="84">
        <v>4841</v>
      </c>
      <c r="G37" s="84">
        <v>1608</v>
      </c>
      <c r="H37" s="84">
        <v>2814</v>
      </c>
      <c r="I37" s="84">
        <v>472</v>
      </c>
      <c r="J37" s="84">
        <v>826</v>
      </c>
      <c r="K37" s="78" t="s">
        <v>90</v>
      </c>
      <c r="L37" s="78" t="s">
        <v>88</v>
      </c>
    </row>
    <row r="38" spans="1:12" x14ac:dyDescent="0.25">
      <c r="A38" s="78" t="s">
        <v>35</v>
      </c>
      <c r="C38" s="84">
        <v>4704</v>
      </c>
      <c r="D38" s="84">
        <v>9700</v>
      </c>
      <c r="E38" s="84">
        <v>2028</v>
      </c>
      <c r="F38" s="84">
        <v>4300</v>
      </c>
      <c r="G38" s="84">
        <v>1862</v>
      </c>
      <c r="H38" s="84">
        <v>3980</v>
      </c>
      <c r="I38" s="84">
        <v>34</v>
      </c>
      <c r="J38" s="84">
        <v>38</v>
      </c>
      <c r="K38" s="78" t="s">
        <v>91</v>
      </c>
      <c r="L38" s="78" t="s">
        <v>88</v>
      </c>
    </row>
    <row r="39" spans="1:12" x14ac:dyDescent="0.25">
      <c r="A39" s="78" t="s">
        <v>36</v>
      </c>
      <c r="C39" s="84">
        <v>40280</v>
      </c>
      <c r="D39" s="84">
        <v>77532</v>
      </c>
      <c r="E39" s="84">
        <v>20621</v>
      </c>
      <c r="F39" s="84">
        <v>39180</v>
      </c>
      <c r="G39" s="84">
        <v>6010</v>
      </c>
      <c r="H39" s="84">
        <v>11419</v>
      </c>
      <c r="I39" s="84">
        <v>7570</v>
      </c>
      <c r="J39" s="84">
        <v>12036</v>
      </c>
      <c r="K39" s="78" t="s">
        <v>87</v>
      </c>
      <c r="L39" s="78" t="s">
        <v>92</v>
      </c>
    </row>
    <row r="40" spans="1:12" x14ac:dyDescent="0.25">
      <c r="A40" s="78" t="s">
        <v>37</v>
      </c>
      <c r="C40" s="84">
        <v>3286</v>
      </c>
      <c r="D40" s="84">
        <v>3671</v>
      </c>
      <c r="E40" s="84">
        <v>2003</v>
      </c>
      <c r="F40" s="84">
        <v>2239</v>
      </c>
      <c r="G40" s="84">
        <v>0</v>
      </c>
      <c r="H40" s="84">
        <v>0</v>
      </c>
      <c r="I40" s="84">
        <v>23</v>
      </c>
      <c r="J40" s="84">
        <v>6</v>
      </c>
      <c r="K40" s="78" t="s">
        <v>91</v>
      </c>
      <c r="L40" s="78" t="s">
        <v>88</v>
      </c>
    </row>
    <row r="41" spans="1:12" x14ac:dyDescent="0.25">
      <c r="A41" s="78" t="s">
        <v>38</v>
      </c>
      <c r="C41" s="84">
        <v>3198</v>
      </c>
      <c r="D41" s="84">
        <v>4186</v>
      </c>
      <c r="E41" s="84">
        <v>2031</v>
      </c>
      <c r="F41" s="84">
        <v>2608</v>
      </c>
      <c r="G41" s="84">
        <v>0</v>
      </c>
      <c r="H41" s="84">
        <v>0</v>
      </c>
      <c r="I41" s="84">
        <v>69</v>
      </c>
      <c r="J41" s="84">
        <v>42</v>
      </c>
      <c r="K41" s="78" t="s">
        <v>91</v>
      </c>
      <c r="L41" s="78" t="s">
        <v>88</v>
      </c>
    </row>
    <row r="42" spans="1:12" x14ac:dyDescent="0.25">
      <c r="A42" s="78" t="s">
        <v>39</v>
      </c>
      <c r="C42" s="84">
        <v>3946</v>
      </c>
      <c r="D42" s="84">
        <v>2843</v>
      </c>
      <c r="E42" s="84">
        <v>1406</v>
      </c>
      <c r="F42" s="84">
        <v>1135</v>
      </c>
      <c r="G42" s="84">
        <v>649</v>
      </c>
      <c r="H42" s="84">
        <v>521</v>
      </c>
      <c r="I42" s="84">
        <v>53</v>
      </c>
      <c r="J42" s="84">
        <v>53</v>
      </c>
      <c r="K42" s="78" t="s">
        <v>90</v>
      </c>
      <c r="L42" s="78" t="s">
        <v>88</v>
      </c>
    </row>
    <row r="43" spans="1:12" x14ac:dyDescent="0.25">
      <c r="A43" s="78" t="s">
        <v>40</v>
      </c>
      <c r="C43" s="84">
        <v>8617</v>
      </c>
      <c r="D43" s="84">
        <v>8866.25</v>
      </c>
      <c r="E43" s="84">
        <v>4188</v>
      </c>
      <c r="F43" s="84">
        <v>4389.5</v>
      </c>
      <c r="G43" s="84">
        <v>711</v>
      </c>
      <c r="H43" s="84">
        <v>818.75</v>
      </c>
      <c r="I43" s="84">
        <v>1097</v>
      </c>
      <c r="J43" s="84">
        <v>633.75</v>
      </c>
      <c r="K43" s="78" t="s">
        <v>91</v>
      </c>
      <c r="L43" s="78" t="s">
        <v>88</v>
      </c>
    </row>
    <row r="44" spans="1:12" x14ac:dyDescent="0.25">
      <c r="A44" s="78" t="s">
        <v>41</v>
      </c>
      <c r="C44" s="84">
        <v>3846</v>
      </c>
      <c r="D44" s="84">
        <v>5548</v>
      </c>
      <c r="E44" s="84">
        <v>2001</v>
      </c>
      <c r="F44" s="84">
        <v>2787</v>
      </c>
      <c r="G44" s="84">
        <v>1593</v>
      </c>
      <c r="H44" s="84">
        <v>2540</v>
      </c>
      <c r="I44" s="84">
        <v>526</v>
      </c>
      <c r="J44" s="84">
        <v>733</v>
      </c>
      <c r="K44" s="78" t="s">
        <v>87</v>
      </c>
      <c r="L44" s="78" t="s">
        <v>88</v>
      </c>
    </row>
    <row r="45" spans="1:12" x14ac:dyDescent="0.25">
      <c r="A45" s="78" t="s">
        <v>42</v>
      </c>
      <c r="C45" s="84">
        <v>2960</v>
      </c>
      <c r="D45" s="84">
        <v>7775</v>
      </c>
      <c r="E45" s="84">
        <v>1527</v>
      </c>
      <c r="F45" s="84">
        <v>3854</v>
      </c>
      <c r="G45" s="84" t="s">
        <v>162</v>
      </c>
      <c r="H45" s="84" t="s">
        <v>162</v>
      </c>
      <c r="I45" s="84">
        <v>0</v>
      </c>
      <c r="J45" s="84">
        <v>0</v>
      </c>
      <c r="K45" s="78" t="s">
        <v>91</v>
      </c>
      <c r="L45" s="78" t="s">
        <v>88</v>
      </c>
    </row>
    <row r="46" spans="1:12" x14ac:dyDescent="0.25">
      <c r="A46" s="78" t="s">
        <v>43</v>
      </c>
      <c r="C46" s="84">
        <v>3233</v>
      </c>
      <c r="D46" s="84">
        <v>3771</v>
      </c>
      <c r="E46" s="84">
        <v>1801</v>
      </c>
      <c r="F46" s="84">
        <v>2101</v>
      </c>
      <c r="G46" s="84">
        <v>0</v>
      </c>
      <c r="H46" s="84">
        <v>0</v>
      </c>
      <c r="I46" s="84">
        <v>531</v>
      </c>
      <c r="J46" s="84">
        <v>0</v>
      </c>
      <c r="K46" s="78" t="s">
        <v>91</v>
      </c>
      <c r="L46" s="78" t="s">
        <v>88</v>
      </c>
    </row>
    <row r="47" spans="1:12" x14ac:dyDescent="0.25">
      <c r="A47" s="78" t="s">
        <v>44</v>
      </c>
      <c r="C47" s="84">
        <v>19895</v>
      </c>
      <c r="D47" s="84">
        <v>12556.1</v>
      </c>
      <c r="E47" s="84">
        <v>7035</v>
      </c>
      <c r="F47" s="84">
        <v>4639.083333333333</v>
      </c>
      <c r="G47" s="84">
        <v>3879</v>
      </c>
      <c r="H47" s="84">
        <v>2586.6</v>
      </c>
      <c r="I47" s="84">
        <v>0</v>
      </c>
      <c r="J47" s="84">
        <v>0</v>
      </c>
      <c r="K47" s="78" t="s">
        <v>87</v>
      </c>
      <c r="L47" s="78" t="s">
        <v>92</v>
      </c>
    </row>
    <row r="48" spans="1:12" x14ac:dyDescent="0.25">
      <c r="A48" s="78" t="s">
        <v>45</v>
      </c>
      <c r="C48" s="84">
        <v>29844</v>
      </c>
      <c r="D48" s="84">
        <v>0</v>
      </c>
      <c r="E48" s="84">
        <v>16318</v>
      </c>
      <c r="F48" s="84">
        <v>0</v>
      </c>
      <c r="G48" s="84">
        <v>2690</v>
      </c>
      <c r="H48" s="84">
        <v>0</v>
      </c>
      <c r="I48" s="84">
        <v>516</v>
      </c>
      <c r="J48" s="84">
        <v>0</v>
      </c>
      <c r="K48" s="78" t="s">
        <v>90</v>
      </c>
      <c r="L48" s="78" t="s">
        <v>88</v>
      </c>
    </row>
    <row r="49" spans="1:12" x14ac:dyDescent="0.25">
      <c r="A49" s="78" t="s">
        <v>46</v>
      </c>
      <c r="C49" s="84">
        <v>1242</v>
      </c>
      <c r="D49" s="84">
        <v>2465</v>
      </c>
      <c r="E49" s="84">
        <v>806</v>
      </c>
      <c r="F49" s="84">
        <v>1725</v>
      </c>
      <c r="G49" s="84">
        <v>190</v>
      </c>
      <c r="H49" s="84">
        <v>399</v>
      </c>
      <c r="I49" s="84">
        <v>0</v>
      </c>
      <c r="J49" s="84">
        <v>0</v>
      </c>
      <c r="K49" s="78" t="s">
        <v>91</v>
      </c>
      <c r="L49" s="78" t="s">
        <v>88</v>
      </c>
    </row>
    <row r="50" spans="1:12" x14ac:dyDescent="0.25">
      <c r="A50" s="78" t="s">
        <v>47</v>
      </c>
      <c r="C50" s="84">
        <v>3592</v>
      </c>
      <c r="D50" s="84">
        <v>4190</v>
      </c>
      <c r="E50" s="84">
        <v>2089</v>
      </c>
      <c r="F50" s="84">
        <v>2118</v>
      </c>
      <c r="G50" s="84">
        <v>1468</v>
      </c>
      <c r="H50" s="84">
        <v>1039</v>
      </c>
      <c r="I50" s="84">
        <v>7</v>
      </c>
      <c r="J50" s="84">
        <v>10.5</v>
      </c>
      <c r="K50" s="78" t="s">
        <v>87</v>
      </c>
      <c r="L50" s="78" t="s">
        <v>88</v>
      </c>
    </row>
    <row r="51" spans="1:12" x14ac:dyDescent="0.25">
      <c r="A51" s="78" t="s">
        <v>48</v>
      </c>
      <c r="C51" s="84">
        <v>29537</v>
      </c>
      <c r="D51" s="84">
        <v>16071</v>
      </c>
      <c r="E51" s="84">
        <v>11862</v>
      </c>
      <c r="F51" s="84">
        <v>7988</v>
      </c>
      <c r="G51" s="84">
        <v>4438</v>
      </c>
      <c r="H51" s="84">
        <v>3063</v>
      </c>
      <c r="I51" s="84">
        <v>5147</v>
      </c>
      <c r="J51" s="84">
        <v>1283</v>
      </c>
      <c r="K51" s="78" t="s">
        <v>87</v>
      </c>
      <c r="L51" s="78" t="s">
        <v>92</v>
      </c>
    </row>
    <row r="52" spans="1:12" x14ac:dyDescent="0.25">
      <c r="A52" s="78" t="s">
        <v>49</v>
      </c>
      <c r="C52" s="84">
        <v>4152</v>
      </c>
      <c r="D52" s="84">
        <v>4152</v>
      </c>
      <c r="E52" s="84">
        <v>661</v>
      </c>
      <c r="F52" s="84">
        <v>661</v>
      </c>
      <c r="G52" s="84">
        <v>2198</v>
      </c>
      <c r="H52" s="84">
        <v>2198</v>
      </c>
      <c r="I52" s="84">
        <v>213</v>
      </c>
      <c r="J52" s="84">
        <v>213</v>
      </c>
      <c r="K52" s="78" t="s">
        <v>90</v>
      </c>
      <c r="L52" s="78" t="s">
        <v>88</v>
      </c>
    </row>
    <row r="53" spans="1:12" x14ac:dyDescent="0.25">
      <c r="A53" s="78" t="s">
        <v>50</v>
      </c>
      <c r="C53" s="84">
        <v>28014</v>
      </c>
      <c r="D53" s="84">
        <v>112056</v>
      </c>
      <c r="E53" s="84">
        <v>13992</v>
      </c>
      <c r="F53" s="84">
        <v>55968</v>
      </c>
      <c r="G53" s="84">
        <v>16032</v>
      </c>
      <c r="H53" s="84">
        <v>64128</v>
      </c>
      <c r="I53" s="84">
        <v>8109</v>
      </c>
      <c r="J53" s="84">
        <v>32436</v>
      </c>
      <c r="K53" s="78" t="s">
        <v>87</v>
      </c>
      <c r="L53" s="78" t="s">
        <v>92</v>
      </c>
    </row>
    <row r="54" spans="1:12" x14ac:dyDescent="0.25">
      <c r="A54" s="78" t="s">
        <v>51</v>
      </c>
      <c r="C54" s="84">
        <v>6020</v>
      </c>
      <c r="D54" s="84">
        <v>8384</v>
      </c>
      <c r="E54" s="84">
        <v>5072</v>
      </c>
      <c r="F54" s="84">
        <v>6928</v>
      </c>
      <c r="G54" s="84">
        <v>948</v>
      </c>
      <c r="H54" s="84">
        <v>1456</v>
      </c>
      <c r="I54" s="84">
        <v>0</v>
      </c>
      <c r="J54" s="84">
        <v>0</v>
      </c>
      <c r="K54" s="78" t="s">
        <v>90</v>
      </c>
      <c r="L54" s="78" t="s">
        <v>88</v>
      </c>
    </row>
    <row r="55" spans="1:12" x14ac:dyDescent="0.25">
      <c r="A55" s="78" t="s">
        <v>52</v>
      </c>
      <c r="C55" s="84">
        <v>37962</v>
      </c>
      <c r="D55" s="84">
        <v>29792</v>
      </c>
      <c r="E55" s="84">
        <v>15091</v>
      </c>
      <c r="F55" s="84">
        <v>12190</v>
      </c>
      <c r="G55" s="84">
        <v>8871</v>
      </c>
      <c r="H55" s="84">
        <v>7932</v>
      </c>
      <c r="I55" s="84">
        <v>45</v>
      </c>
      <c r="J55" s="84">
        <v>32</v>
      </c>
      <c r="K55" s="78" t="s">
        <v>87</v>
      </c>
      <c r="L55" s="78" t="s">
        <v>92</v>
      </c>
    </row>
    <row r="56" spans="1:12" x14ac:dyDescent="0.25">
      <c r="C56" s="84"/>
      <c r="D56" s="84"/>
      <c r="E56" s="84"/>
      <c r="F56" s="84"/>
      <c r="G56" s="84"/>
      <c r="H56" s="84"/>
      <c r="I56" s="84"/>
      <c r="J56" s="84"/>
    </row>
    <row r="57" spans="1:12" x14ac:dyDescent="0.25">
      <c r="A57" s="78" t="s">
        <v>164</v>
      </c>
      <c r="C57" s="84"/>
      <c r="D57" s="84"/>
      <c r="E57" s="84"/>
      <c r="F57" s="84"/>
      <c r="G57" s="84"/>
      <c r="H57" s="84"/>
      <c r="I57" s="84"/>
      <c r="J57" s="84"/>
    </row>
    <row r="58" spans="1:12" ht="10.4" customHeight="1" x14ac:dyDescent="0.25">
      <c r="A58" s="78" t="s">
        <v>45</v>
      </c>
      <c r="D58" s="85">
        <v>39949.066182495299</v>
      </c>
      <c r="K58" s="78" t="s">
        <v>90</v>
      </c>
      <c r="L58" s="78" t="s">
        <v>88</v>
      </c>
    </row>
    <row r="59" spans="1:12" ht="10.4" customHeight="1" x14ac:dyDescent="0.25">
      <c r="A59" s="78" t="s">
        <v>165</v>
      </c>
      <c r="D59" s="85"/>
      <c r="G59" s="78">
        <v>2174</v>
      </c>
      <c r="H59" s="78">
        <v>6373</v>
      </c>
      <c r="J59" s="78">
        <v>1</v>
      </c>
      <c r="K59" s="78" t="s">
        <v>91</v>
      </c>
      <c r="L59" s="78" t="s">
        <v>88</v>
      </c>
    </row>
    <row r="60" spans="1:12" ht="10.4" customHeight="1" x14ac:dyDescent="0.25">
      <c r="D60" s="85"/>
    </row>
    <row r="61" spans="1:12" ht="10.4" customHeight="1" x14ac:dyDescent="0.25"/>
    <row r="62" spans="1:12" ht="10.4" customHeight="1" x14ac:dyDescent="0.25"/>
    <row r="63" spans="1:12" ht="10.4" customHeight="1" x14ac:dyDescent="0.25"/>
    <row r="64" spans="1:12" ht="10.4" customHeight="1" x14ac:dyDescent="0.25"/>
    <row r="65" ht="10.4" customHeight="1" x14ac:dyDescent="0.25"/>
    <row r="66" ht="10.4" customHeight="1" x14ac:dyDescent="0.25"/>
    <row r="67" ht="10.4" customHeight="1" x14ac:dyDescent="0.25"/>
    <row r="68" ht="10.4" customHeight="1" x14ac:dyDescent="0.25"/>
  </sheetData>
  <mergeCells count="10">
    <mergeCell ref="O4:P4"/>
    <mergeCell ref="Q4:R4"/>
    <mergeCell ref="S4:T4"/>
    <mergeCell ref="U4:V4"/>
    <mergeCell ref="A1:J1"/>
    <mergeCell ref="A2:A3"/>
    <mergeCell ref="C2:D2"/>
    <mergeCell ref="E2:F2"/>
    <mergeCell ref="G2:H2"/>
    <mergeCell ref="I2:J2"/>
  </mergeCells>
  <pageMargins left="0.7" right="0.7" top="0.75" bottom="0.75" header="0.3" footer="0.3"/>
  <pageSetup paperSize="9" orientation="portrait" r:id="rId1"/>
  <headerFooter>
    <oddHeader>&amp;C&amp;"Aptos"&amp;10&amp;K000000 OFFICIAL&amp;1#_x000D_</oddHeader>
    <oddFooter>&amp;C_x000D_&amp;1#&amp;"Aptos"&amp;10&amp;K000000 OFFICIAL</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HOMigrated xmlns="f2aea08d-7fae-41c6-92ff-91df552a059b">false</HOMigrated>
    <TaxCatchAllLabel xmlns="f2aea08d-7fae-41c6-92ff-91df552a059b" xsi:nil="true"/>
    <TaxCatchAll xmlns="f2aea08d-7fae-41c6-92ff-91df552a059b">
      <Value>4</Value>
      <Value>3</Value>
      <Value>2</Value>
    </TaxCatchAll>
    <lae2bfa7b6474897ab4a53f76ea236c7 xmlns="f2aea08d-7fae-41c6-92ff-91df552a059b">
      <Terms xmlns="http://schemas.microsoft.com/office/infopath/2007/PartnerControls">
        <TermInfo xmlns="http://schemas.microsoft.com/office/infopath/2007/PartnerControls">
          <TermName xmlns="http://schemas.microsoft.com/office/infopath/2007/PartnerControls">Official</TermName>
          <TermId xmlns="http://schemas.microsoft.com/office/infopath/2007/PartnerControls">14c80daa-741b-422c-9722-f71693c9ede4</TermId>
        </TermInfo>
      </Terms>
    </lae2bfa7b6474897ab4a53f76ea236c7>
    <i8d248d2f27048728597da4d9cc9bde9 xmlns="f2aea08d-7fae-41c6-92ff-91df552a059b" xsi:nil="true"/>
    <ie640504e2964b25856743efbfa846d6 xmlns="f2aea08d-7fae-41c6-92ff-91df552a059b">
      <Terms xmlns="http://schemas.microsoft.com/office/infopath/2007/PartnerControls">
        <TermInfo xmlns="http://schemas.microsoft.com/office/infopath/2007/PartnerControls">
          <TermName xmlns="http://schemas.microsoft.com/office/infopath/2007/PartnerControls">Crown</TermName>
          <TermId xmlns="http://schemas.microsoft.com/office/infopath/2007/PartnerControls">69589897-2828-4761-976e-717fd8e631c9</TermId>
        </TermInfo>
      </Terms>
    </ie640504e2964b25856743efbfa846d6>
    <id2a76e1917c4be6961e12b425f79256 xmlns="f2aea08d-7fae-41c6-92ff-91df552a059b">
      <Terms xmlns="http://schemas.microsoft.com/office/infopath/2007/PartnerControls">
        <TermInfo xmlns="http://schemas.microsoft.com/office/infopath/2007/PartnerControls">
          <TermName xmlns="http://schemas.microsoft.com/office/infopath/2007/PartnerControls">Policing and Fire Analysis Unit (PFAU)</TermName>
          <TermId xmlns="http://schemas.microsoft.com/office/infopath/2007/PartnerControls">8514c3ad-3c76-4f8d-a7db-b3b55693abd0</TermId>
        </TermInfo>
      </Terms>
    </id2a76e1917c4be6961e12b425f79256>
    <HOworkspaceType xmlns="f2aea08d-7fae-41c6-92ff-91df552a059b">Continuous Teamwork</HOworkspaceType>
    <lcf76f155ced4ddcb4097134ff3c332f xmlns="f8e9d96c-a07e-4933-9220-38ca5ec96d4e">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HO document" ma:contentTypeID="0x010100B49A4B2752467149B314925194543C540100BA87D6D06E82E64EBECCFEC12E2E263E" ma:contentTypeVersion="47" ma:contentTypeDescription="Create a new document." ma:contentTypeScope="" ma:versionID="9520cb303aee352842bd1bcbd0bb13f4">
  <xsd:schema xmlns:xsd="http://www.w3.org/2001/XMLSchema" xmlns:xs="http://www.w3.org/2001/XMLSchema" xmlns:p="http://schemas.microsoft.com/office/2006/metadata/properties" xmlns:ns2="f2aea08d-7fae-41c6-92ff-91df552a059b" xmlns:ns3="f8e9d96c-a07e-4933-9220-38ca5ec96d4e" targetNamespace="http://schemas.microsoft.com/office/2006/metadata/properties" ma:root="true" ma:fieldsID="ccc15b9e1335e42b2f8779d952448836" ns2:_="" ns3:_="">
    <xsd:import namespace="f2aea08d-7fae-41c6-92ff-91df552a059b"/>
    <xsd:import namespace="f8e9d96c-a07e-4933-9220-38ca5ec96d4e"/>
    <xsd:element name="properties">
      <xsd:complexType>
        <xsd:sequence>
          <xsd:element name="documentManagement">
            <xsd:complexType>
              <xsd:all>
                <xsd:element ref="ns2:i8d248d2f27048728597da4d9cc9bde9" minOccurs="0"/>
                <xsd:element ref="ns2:TaxCatchAll" minOccurs="0"/>
                <xsd:element ref="ns2:HOworkspaceType" minOccurs="0"/>
                <xsd:element ref="ns2:HOMigrated" minOccurs="0"/>
                <xsd:element ref="ns2:TaxCatchAllLabel" minOccurs="0"/>
                <xsd:element ref="ns2:ie640504e2964b25856743efbfa846d6" minOccurs="0"/>
                <xsd:element ref="ns2:id2a76e1917c4be6961e12b425f79256" minOccurs="0"/>
                <xsd:element ref="ns2:lae2bfa7b6474897ab4a53f76ea236c7" minOccurs="0"/>
                <xsd:element ref="ns3:MediaServiceMetadata" minOccurs="0"/>
                <xsd:element ref="ns3:MediaServiceFastMetadata" minOccurs="0"/>
                <xsd:element ref="ns3:MediaServiceSearchProperties" minOccurs="0"/>
                <xsd:element ref="ns3:MediaServiceDateTaken" minOccurs="0"/>
                <xsd:element ref="ns3:MediaServiceGenerationTime" minOccurs="0"/>
                <xsd:element ref="ns3:MediaServiceEventHashCode" minOccurs="0"/>
                <xsd:element ref="ns3:MediaLengthInSeconds" minOccurs="0"/>
                <xsd:element ref="ns3:MediaServiceOCR" minOccurs="0"/>
                <xsd:element ref="ns3:lcf76f155ced4ddcb4097134ff3c332f" minOccurs="0"/>
                <xsd:element ref="ns3: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2aea08d-7fae-41c6-92ff-91df552a059b" elementFormDefault="qualified">
    <xsd:import namespace="http://schemas.microsoft.com/office/2006/documentManagement/types"/>
    <xsd:import namespace="http://schemas.microsoft.com/office/infopath/2007/PartnerControls"/>
    <xsd:element name="i8d248d2f27048728597da4d9cc9bde9" ma:index="8" nillable="true" ma:displayName="Government Security Classification_0" ma:hidden="true" ma:internalName="i8d248d2f27048728597da4d9cc9bde9" ma:readOnly="false">
      <xsd:simpleType>
        <xsd:restriction base="dms:Note"/>
      </xsd:simpleType>
    </xsd:element>
    <xsd:element name="TaxCatchAll" ma:index="9" nillable="true" ma:displayName="Taxonomy Catch All Column" ma:hidden="true" ma:list="{1d06f445-af8f-4fa1-b139-95757d447b16}" ma:internalName="TaxCatchAll" ma:readOnly="false" ma:showField="CatchAllData" ma:web="f2aea08d-7fae-41c6-92ff-91df552a059b">
      <xsd:complexType>
        <xsd:complexContent>
          <xsd:extension base="dms:MultiChoiceLookup">
            <xsd:sequence>
              <xsd:element name="Value" type="dms:Lookup" maxOccurs="unbounded" minOccurs="0" nillable="true"/>
            </xsd:sequence>
          </xsd:extension>
        </xsd:complexContent>
      </xsd:complexType>
    </xsd:element>
    <xsd:element name="HOworkspaceType" ma:index="13" nillable="true" ma:displayName="Workspace Type" ma:default="Continuous Teamwork" ma:internalName="HOworkspaceType" ma:readOnly="false">
      <xsd:simpleType>
        <xsd:restriction base="dms:Text"/>
      </xsd:simpleType>
    </xsd:element>
    <xsd:element name="HOMigrated" ma:index="14" nillable="true" ma:displayName="Migrated" ma:default="0" ma:internalName="HOMigrated" ma:readOnly="false">
      <xsd:simpleType>
        <xsd:restriction base="dms:Boolean"/>
      </xsd:simpleType>
    </xsd:element>
    <xsd:element name="TaxCatchAllLabel" ma:index="15" nillable="true" ma:displayName="Taxonomy Catch All Column1" ma:hidden="true" ma:list="{1d06f445-af8f-4fa1-b139-95757d447b16}" ma:internalName="TaxCatchAllLabel" ma:readOnly="false" ma:showField="CatchAllDataLabel" ma:web="f2aea08d-7fae-41c6-92ff-91df552a059b">
      <xsd:complexType>
        <xsd:complexContent>
          <xsd:extension base="dms:MultiChoiceLookup">
            <xsd:sequence>
              <xsd:element name="Value" type="dms:Lookup" maxOccurs="unbounded" minOccurs="0" nillable="true"/>
            </xsd:sequence>
          </xsd:extension>
        </xsd:complexContent>
      </xsd:complexType>
    </xsd:element>
    <xsd:element name="ie640504e2964b25856743efbfa846d6" ma:index="16" ma:taxonomy="true" ma:internalName="ie640504e2964b25856743efbfa846d6" ma:taxonomyFieldName="HOCopyrightLevel" ma:displayName="Copyright level" ma:readOnly="false" ma:default="2;#Crown|69589897-2828-4761-976e-717fd8e631c9" ma:fieldId="{cf401361-b24e-474c-b011-be6eb76c0e76}" ma:sspId="756ca3a0-e5c0-40d7-8522-e7aae8be603d" ma:termSetId="bdd694c6-7266-48f2-93d6-d15992cd203e" ma:anchorId="00000000-0000-0000-0000-000000000000" ma:open="false" ma:isKeyword="false">
      <xsd:complexType>
        <xsd:sequence>
          <xsd:element ref="pc:Terms" minOccurs="0" maxOccurs="1"/>
        </xsd:sequence>
      </xsd:complexType>
    </xsd:element>
    <xsd:element name="id2a76e1917c4be6961e12b425f79256" ma:index="17" nillable="true" ma:taxonomy="true" ma:internalName="id2a76e1917c4be6961e12b425f79256" ma:taxonomyFieldName="HOBusinessUnit" ma:displayName="Business unit" ma:readOnly="false" ma:default="1;#Police and Fire Analysis Unit (A)|755c0ad7-1cd3-4e30-b1c3-86b5a4ff9bf7" ma:fieldId="{3b5e598a-f171-4153-9648-acf311d7477b}" ma:sspId="756ca3a0-e5c0-40d7-8522-e7aae8be603d" ma:termSetId="55eb802e-fbca-455b-a7d2-d5919d4ea3d2" ma:anchorId="00000000-0000-0000-0000-000000000000" ma:open="false" ma:isKeyword="false">
      <xsd:complexType>
        <xsd:sequence>
          <xsd:element ref="pc:Terms" minOccurs="0" maxOccurs="1"/>
        </xsd:sequence>
      </xsd:complexType>
    </xsd:element>
    <xsd:element name="lae2bfa7b6474897ab4a53f76ea236c7" ma:index="18" ma:taxonomy="true" ma:internalName="lae2bfa7b6474897ab4a53f76ea236c7" ma:taxonomyFieldName="HOGovernmentSecurityClassification" ma:displayName="Government Security Classification" ma:readOnly="false" ma:default="3;#Official|14c80daa-741b-422c-9722-f71693c9ede4" ma:fieldId="{5ae2bfa7-b647-4897-ab4a-53f76ea236c7}" ma:sspId="756ca3a0-e5c0-40d7-8522-e7aae8be603d" ma:termSetId="56209604-fc17-4ace-9b7b-f45f0f17d50b" ma:anchorId="00000000-0000-0000-0000-000000000000" ma:open="fals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f8e9d96c-a07e-4933-9220-38ca5ec96d4e" elementFormDefault="qualified">
    <xsd:import namespace="http://schemas.microsoft.com/office/2006/documentManagement/types"/>
    <xsd:import namespace="http://schemas.microsoft.com/office/infopath/2007/PartnerControls"/>
    <xsd:element name="MediaServiceMetadata" ma:index="19" nillable="true" ma:displayName="MediaServiceMetadata" ma:hidden="true" ma:internalName="MediaServiceMetadata" ma:readOnly="true">
      <xsd:simpleType>
        <xsd:restriction base="dms:Note"/>
      </xsd:simpleType>
    </xsd:element>
    <xsd:element name="MediaServiceFastMetadata" ma:index="20" nillable="true" ma:displayName="MediaServiceFastMetadata" ma:hidden="true" ma:internalName="MediaServiceFastMetadata" ma:readOnly="true">
      <xsd:simpleType>
        <xsd:restriction base="dms:Note"/>
      </xsd:simpleType>
    </xsd:element>
    <xsd:element name="MediaServiceSearchProperties" ma:index="21" nillable="true" ma:displayName="MediaServiceSearchProperties" ma:hidden="true" ma:internalName="MediaServiceSearchProperties" ma:readOnly="true">
      <xsd:simpleType>
        <xsd:restriction base="dms:Note"/>
      </xsd:simpleType>
    </xsd:element>
    <xsd:element name="MediaServiceDateTaken" ma:index="22" nillable="true" ma:displayName="MediaServiceDateTaken" ma:hidden="true" ma:indexed="true" ma:internalName="MediaServiceDateTaken" ma:readOnly="true">
      <xsd:simpleType>
        <xsd:restriction base="dms:Text"/>
      </xsd:simpleType>
    </xsd:element>
    <xsd:element name="MediaServiceGenerationTime" ma:index="23" nillable="true" ma:displayName="MediaServiceGenerationTime" ma:hidden="true" ma:internalName="MediaServiceGenerationTime" ma:readOnly="true">
      <xsd:simpleType>
        <xsd:restriction base="dms:Text"/>
      </xsd:simpleType>
    </xsd:element>
    <xsd:element name="MediaServiceEventHashCode" ma:index="24" nillable="true" ma:displayName="MediaServiceEventHashCode" ma:hidden="true" ma:internalName="MediaServiceEventHashCode" ma:readOnly="true">
      <xsd:simpleType>
        <xsd:restriction base="dms:Text"/>
      </xsd:simpleType>
    </xsd:element>
    <xsd:element name="MediaLengthInSeconds" ma:index="25" nillable="true" ma:displayName="MediaLengthInSeconds" ma:hidden="true" ma:internalName="MediaLengthInSeconds" ma:readOnly="true">
      <xsd:simpleType>
        <xsd:restriction base="dms:Unknown"/>
      </xsd:simpleType>
    </xsd:element>
    <xsd:element name="MediaServiceOCR" ma:index="26" nillable="true" ma:displayName="Extracted Text" ma:internalName="MediaServiceOCR" ma:readOnly="true">
      <xsd:simpleType>
        <xsd:restriction base="dms:Note">
          <xsd:maxLength value="255"/>
        </xsd:restriction>
      </xsd:simpleType>
    </xsd:element>
    <xsd:element name="lcf76f155ced4ddcb4097134ff3c332f" ma:index="28" nillable="true" ma:taxonomy="true" ma:internalName="lcf76f155ced4ddcb4097134ff3c332f" ma:taxonomyFieldName="MediaServiceImageTags" ma:displayName="Image Tags" ma:readOnly="false" ma:fieldId="{5cf76f15-5ced-4ddc-b409-7134ff3c332f}" ma:taxonomyMulti="true" ma:sspId="756ca3a0-e5c0-40d7-8522-e7aae8be603d" ma:termSetId="09814cd3-568e-fe90-9814-8d621ff8fb84" ma:anchorId="fba54fb3-c3e1-fe81-a776-ca4b69148c4d" ma:open="true" ma:isKeyword="false">
      <xsd:complexType>
        <xsd:sequence>
          <xsd:element ref="pc:Terms" minOccurs="0" maxOccurs="1"/>
        </xsd:sequence>
      </xsd:complexType>
    </xsd:element>
    <xsd:element name="MediaServiceBillingMetadata" ma:index="29" nillable="true" ma:displayName="MediaServiceBillingMetadata" ma:hidden="true" ma:internalName="MediaServiceBillingMetadata"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file>

<file path=customXml/itemProps1.xml><?xml version="1.0" encoding="utf-8"?>
<ds:datastoreItem xmlns:ds="http://schemas.openxmlformats.org/officeDocument/2006/customXml" ds:itemID="{AFAECB28-37CA-4045-BF32-C42435E00D43}">
  <ds:schemaRefs>
    <ds:schemaRef ds:uri="f2aea08d-7fae-41c6-92ff-91df552a059b"/>
    <ds:schemaRef ds:uri="http://purl.org/dc/terms/"/>
    <ds:schemaRef ds:uri="http://schemas.microsoft.com/office/2006/documentManagement/types"/>
    <ds:schemaRef ds:uri="http://purl.org/dc/dcmitype/"/>
    <ds:schemaRef ds:uri="http://schemas.microsoft.com/office/infopath/2007/PartnerControls"/>
    <ds:schemaRef ds:uri="http://purl.org/dc/elements/1.1/"/>
    <ds:schemaRef ds:uri="http://schemas.microsoft.com/office/2006/metadata/properties"/>
    <ds:schemaRef ds:uri="http://schemas.openxmlformats.org/package/2006/metadata/core-properties"/>
    <ds:schemaRef ds:uri="f8e9d96c-a07e-4933-9220-38ca5ec96d4e"/>
    <ds:schemaRef ds:uri="http://www.w3.org/XML/1998/namespace"/>
  </ds:schemaRefs>
</ds:datastoreItem>
</file>

<file path=customXml/itemProps2.xml><?xml version="1.0" encoding="utf-8"?>
<ds:datastoreItem xmlns:ds="http://schemas.openxmlformats.org/officeDocument/2006/customXml" ds:itemID="{058A66A6-D534-428F-A82C-122D5B434AA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2aea08d-7fae-41c6-92ff-91df552a059b"/>
    <ds:schemaRef ds:uri="f8e9d96c-a07e-4933-9220-38ca5ec96d4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33103812-5F43-467D-8CE4-1A77AB4B7149}">
  <ds:schemaRefs>
    <ds:schemaRef ds:uri="http://schemas.microsoft.com/sharepoint/v3/contenttype/forms"/>
  </ds:schemaRefs>
</ds:datastoreItem>
</file>

<file path=docMetadata/LabelInfo.xml><?xml version="1.0" encoding="utf-8"?>
<clbl:labelList xmlns:clbl="http://schemas.microsoft.com/office/2020/mipLabelMetadata">
  <clbl:label id="{fbd41ebe-fca6-4f2c-aecb-bf3a17e72416}" enabled="1" method="Privileged" siteId="{bf346810-9c7d-43de-a872-24a2ef3995a8}" removed="0"/>
</clbl:labelLis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Worksheets</vt:lpstr>
      </vt:variant>
      <vt:variant>
        <vt:i4>20</vt:i4>
      </vt:variant>
    </vt:vector>
  </HeadingPairs>
  <TitlesOfParts>
    <vt:vector size="20" baseType="lpstr">
      <vt:lpstr>Cover_sheet</vt:lpstr>
      <vt:lpstr>Contents</vt:lpstr>
      <vt:lpstr>Guidance</vt:lpstr>
      <vt:lpstr>(2010-11)</vt:lpstr>
      <vt:lpstr>(2011-12)</vt:lpstr>
      <vt:lpstr>(2012-13)</vt:lpstr>
      <vt:lpstr>(2013-14)</vt:lpstr>
      <vt:lpstr>(2014-15)</vt:lpstr>
      <vt:lpstr>(2015-16)</vt:lpstr>
      <vt:lpstr>(2016-17)</vt:lpstr>
      <vt:lpstr>(2017-18)</vt:lpstr>
      <vt:lpstr>FIRE1201_historical_raw</vt:lpstr>
      <vt:lpstr>FIRE1201_historical</vt:lpstr>
      <vt:lpstr>FIRE1201a</vt:lpstr>
      <vt:lpstr>FIRE1201a_working</vt:lpstr>
      <vt:lpstr>FIRE1201b_working</vt:lpstr>
      <vt:lpstr>FIRE1201b</vt:lpstr>
      <vt:lpstr>Data - Visits</vt:lpstr>
      <vt:lpstr>Data - Staff</vt:lpstr>
      <vt:lpstr>FRS geographical categories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Estella Agyepong</dc:creator>
  <cp:lastModifiedBy>Daniel Farrugia</cp:lastModifiedBy>
  <dcterms:created xsi:type="dcterms:W3CDTF">2023-04-27T15:52:59Z</dcterms:created>
  <dcterms:modified xsi:type="dcterms:W3CDTF">2026-04-07T12:53:30Z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0x010100B49A4B2752467149B314925194543C540100BA87D6D06E82E64EBECCFEC12E2E263E</vt:lpwstr>
  </property>
  <property fmtid="{D5CDD505-2E9C-101B-9397-08002B2CF9AE}" pid="3" name="MediaServiceImageTags">
    <vt:lpwstr/>
  </property>
  <property fmtid="{D5CDD505-2E9C-101B-9397-08002B2CF9AE}" pid="4" name="HOCopyrightLevel">
    <vt:lpwstr>2;#Crown|69589897-2828-4761-976e-717fd8e631c9</vt:lpwstr>
  </property>
  <property fmtid="{D5CDD505-2E9C-101B-9397-08002B2CF9AE}" pid="5" name="HOGovernmentSecurityClassification">
    <vt:lpwstr>3;#Official|14c80daa-741b-422c-9722-f71693c9ede4</vt:lpwstr>
  </property>
  <property fmtid="{D5CDD505-2E9C-101B-9397-08002B2CF9AE}" pid="6" name="HOSiteType">
    <vt:lpwstr>2;#Service Management – Significant|7857f63c-dacd-48aa-8ddf-58f3ef15ab94</vt:lpwstr>
  </property>
  <property fmtid="{D5CDD505-2E9C-101B-9397-08002B2CF9AE}" pid="7" name="HOBusinessUnit">
    <vt:lpwstr>4;#Policing and Fire Analysis Unit (PFAU)|8514c3ad-3c76-4f8d-a7db-b3b55693abd0</vt:lpwstr>
  </property>
  <property fmtid="{D5CDD505-2E9C-101B-9397-08002B2CF9AE}" pid="8" name="HOFrom">
    <vt:lpwstr/>
  </property>
  <property fmtid="{D5CDD505-2E9C-101B-9397-08002B2CF9AE}" pid="9" name="_ExtendedDescription">
    <vt:lpwstr/>
  </property>
  <property fmtid="{D5CDD505-2E9C-101B-9397-08002B2CF9AE}" pid="10" name="HOCC">
    <vt:lpwstr/>
  </property>
  <property fmtid="{D5CDD505-2E9C-101B-9397-08002B2CF9AE}" pid="11" name="HOTo">
    <vt:lpwstr/>
  </property>
  <property fmtid="{D5CDD505-2E9C-101B-9397-08002B2CF9AE}" pid="12" name="HOSubject">
    <vt:lpwstr/>
  </property>
  <property fmtid="{D5CDD505-2E9C-101B-9397-08002B2CF9AE}" pid="13" name="lcf76f155ced4ddcb4097134ff3c332f">
    <vt:lpwstr/>
  </property>
</Properties>
</file>